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15-002 ENCOURLET/h. Carbone/2025 LBC Reboisement/Dépôt/"/>
    </mc:Choice>
  </mc:AlternateContent>
  <xr:revisionPtr revIDLastSave="47" documentId="8_{438EE44C-0F3F-F142-85C1-C8F0D75736C3}" xr6:coauthVersionLast="47" xr6:coauthVersionMax="47" xr10:uidLastSave="{7176784A-8AB8-8F46-AF62-7A30F61B374D}"/>
  <bookViews>
    <workbookView xWindow="19960" yWindow="600" windowWidth="26520" windowHeight="22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G69" i="1" l="1"/>
  <c r="F69" i="1"/>
  <c r="G68" i="1"/>
  <c r="F68" i="1"/>
  <c r="G67" i="1"/>
  <c r="F67" i="1"/>
  <c r="G66" i="1"/>
  <c r="F66" i="1"/>
  <c r="G65" i="1"/>
  <c r="F65" i="1"/>
  <c r="G64" i="1"/>
  <c r="F64" i="1"/>
  <c r="F63" i="1"/>
  <c r="G62" i="1"/>
  <c r="F62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A7" i="2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A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W20" i="2"/>
  <c r="FS20" i="2"/>
  <c r="EC20" i="2"/>
  <c r="HH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C22" i="2"/>
  <c r="HG22" i="2"/>
  <c r="EB22" i="2"/>
  <c r="HH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B28" i="2"/>
  <c r="FS28" i="2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A33" i="2"/>
  <c r="HG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X38" i="2"/>
  <c r="FS38" i="2"/>
  <c r="EW38" i="2"/>
  <c r="EA38" i="2"/>
  <c r="HI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A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HG57" i="2"/>
  <c r="EB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EV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G85" i="2"/>
  <c r="EV85" i="2"/>
  <c r="EC85" i="2"/>
  <c r="EW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X98" i="2"/>
  <c r="FS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V105" i="2"/>
  <c r="EB105" i="2"/>
  <c r="EA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A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HI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FS113" i="2"/>
  <c r="HG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A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FS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FS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G124" i="2"/>
  <c r="HH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EW130" i="2"/>
  <c r="FS130" i="2"/>
  <c r="HI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EV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G140" i="2" l="1"/>
  <c r="FS140" i="2"/>
  <c r="EC140" i="2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FS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EA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G145" i="2"/>
  <c r="HH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EC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B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HG155" i="2"/>
  <c r="EX155" i="2"/>
  <c r="HH155" i="2"/>
  <c r="EW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HH156" i="2"/>
  <c r="DH156" i="2"/>
  <c r="AB156" i="2"/>
  <c r="FS156" i="2"/>
  <c r="ED155" i="2"/>
  <c r="EB156" i="2"/>
  <c r="HI156" i="2"/>
  <c r="HG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CN156" i="2"/>
  <c r="EX157" i="2"/>
  <c r="EA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D157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Y159" i="2"/>
  <c r="EC160" i="2"/>
  <c r="FS160" i="2"/>
  <c r="HI160" i="2"/>
  <c r="DG160" i="2"/>
  <c r="ED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D160" i="2"/>
  <c r="HG161" i="2"/>
  <c r="HH161" i="2"/>
  <c r="FS161" i="2"/>
  <c r="EX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W162" i="2"/>
  <c r="ED161" i="2"/>
  <c r="EB162" i="2"/>
  <c r="HH162" i="2"/>
  <c r="EC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V163" i="2"/>
  <c r="ED162" i="2"/>
  <c r="EB163" i="2"/>
  <c r="EA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EY163" i="2"/>
  <c r="EV164" i="2"/>
  <c r="FR164" i="2"/>
  <c r="ED163" i="2"/>
  <c r="EA164" i="2"/>
  <c r="DI163" i="2"/>
  <c r="HH164" i="2"/>
  <c r="EX164" i="2"/>
  <c r="D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D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B167" i="2"/>
  <c r="DG167" i="2"/>
  <c r="FR167" i="2"/>
  <c r="HH167" i="2"/>
  <c r="EA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I168" i="2"/>
  <c r="DI167" i="2"/>
  <c r="EB168" i="2"/>
  <c r="EV168" i="2"/>
  <c r="EC168" i="2"/>
  <c r="EW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FS169" i="2"/>
  <c r="EB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Y171" i="2"/>
  <c r="EV172" i="2"/>
  <c r="ED171" i="2"/>
  <c r="EA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D172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D174" i="2"/>
  <c r="EA175" i="2"/>
  <c r="EB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EC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S178" i="2"/>
  <c r="ED177" i="2"/>
  <c r="HG178" i="2"/>
  <c r="FQ178" i="2"/>
  <c r="EB178" i="2"/>
  <c r="EW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G179" i="2" l="1"/>
  <c r="HH179" i="2"/>
  <c r="ED178" i="2"/>
  <c r="EB179" i="2"/>
  <c r="HI179" i="2"/>
  <c r="EV179" i="2"/>
  <c r="DF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EW185" i="2"/>
  <c r="EB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G186" i="2"/>
  <c r="HH186" i="2"/>
  <c r="ED185" i="2"/>
  <c r="EB186" i="2"/>
  <c r="EA186" i="2"/>
  <c r="FS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ED187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B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V190" i="2"/>
  <c r="HG190" i="2"/>
  <c r="HH190" i="2"/>
  <c r="EY189" i="2"/>
  <c r="ED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HG191" i="2"/>
  <c r="ED190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I192" i="2"/>
  <c r="EB192" i="2"/>
  <c r="EV192" i="2"/>
  <c r="EW192" i="2"/>
  <c r="HG192" i="2"/>
  <c r="EA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Y192" i="2"/>
  <c r="DI192" i="2"/>
  <c r="ED192" i="2"/>
  <c r="FQ193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HI194" i="2"/>
  <c r="CN193" i="2"/>
  <c r="ED193" i="2"/>
  <c r="EB194" i="2"/>
  <c r="EA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HI195" i="2"/>
  <c r="DH195" i="2"/>
  <c r="EX195" i="2"/>
  <c r="FQ195" i="2"/>
  <c r="EY194" i="2"/>
  <c r="ED194" i="2"/>
  <c r="EA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FS197" i="2"/>
  <c r="EY196" i="2"/>
  <c r="EA197" i="2"/>
  <c r="EC197" i="2"/>
  <c r="HH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V198" i="2"/>
  <c r="ED197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EA199" i="2"/>
  <c r="HH199" i="2"/>
  <c r="EV199" i="2"/>
  <c r="FS199" i="2"/>
  <c r="EW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DI200" i="2" l="1"/>
  <c r="EY200" i="2"/>
  <c r="HJ200" i="2"/>
  <c r="HG201" i="2"/>
  <c r="HH201" i="2"/>
  <c r="FS201" i="2"/>
  <c r="ED200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Y201" i="2"/>
  <c r="FS202" i="2"/>
  <c r="HG202" i="2"/>
  <c r="ED201" i="2"/>
  <c r="FZ6" i="2"/>
  <c r="EW202" i="2"/>
  <c r="HH202" i="2"/>
  <c r="HJ202" i="2" s="1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02" i="2" a="1"/>
  <c r="FY102" i="2" s="1"/>
  <c r="FY111" i="2" a="1"/>
  <c r="FY111" i="2" s="1"/>
  <c r="FY92" i="2" a="1"/>
  <c r="FY92" i="2" s="1"/>
  <c r="FY116" i="2" a="1"/>
  <c r="FY116" i="2" s="1"/>
  <c r="FY99" i="2" a="1"/>
  <c r="FY99" i="2" s="1"/>
  <c r="FY126" i="2" a="1"/>
  <c r="FY126" i="2" s="1"/>
  <c r="FY55" i="2" a="1"/>
  <c r="FY55" i="2" s="1"/>
  <c r="FY178" i="2" a="1"/>
  <c r="FY178" i="2" s="1"/>
  <c r="FY72" i="2" a="1"/>
  <c r="FY72" i="2" s="1"/>
  <c r="FY24" i="2" a="1"/>
  <c r="FY24" i="2" s="1"/>
  <c r="FY149" i="2" a="1"/>
  <c r="FY149" i="2" s="1"/>
  <c r="FY164" i="2" a="1"/>
  <c r="FY164" i="2" s="1"/>
  <c r="FY34" i="2" a="1"/>
  <c r="FY34" i="2" s="1"/>
  <c r="FD21" i="2" a="1"/>
  <c r="FD21" i="2" s="1"/>
  <c r="BC58" i="2" a="1"/>
  <c r="BC58" i="2" s="1"/>
  <c r="BC68" i="2" a="1"/>
  <c r="BC68" i="2" s="1"/>
  <c r="BC47" i="2" a="1"/>
  <c r="BC47" i="2" s="1"/>
  <c r="BC117" i="2" a="1"/>
  <c r="BC117" i="2" s="1"/>
  <c r="GT51" i="2" a="1"/>
  <c r="GT51" i="2" s="1"/>
  <c r="GT122" i="2" a="1"/>
  <c r="GT122" i="2" s="1"/>
  <c r="GT121" i="2" a="1"/>
  <c r="GT121" i="2" s="1"/>
  <c r="GT33" i="2" a="1"/>
  <c r="GT33" i="2" s="1"/>
  <c r="GT152" i="2" a="1"/>
  <c r="GT152" i="2" s="1"/>
  <c r="GT102" i="2" a="1"/>
  <c r="GT102" i="2" s="1"/>
  <c r="GT11" i="2" a="1"/>
  <c r="GT11" i="2" s="1"/>
  <c r="EI198" i="2" a="1"/>
  <c r="EI198" i="2" s="1"/>
  <c r="EI166" i="2" a="1"/>
  <c r="EI166" i="2" s="1"/>
  <c r="EI29" i="2" a="1"/>
  <c r="EI29" i="2" s="1"/>
  <c r="EI162" i="2" a="1"/>
  <c r="EI162" i="2" s="1"/>
  <c r="EI145" i="2" a="1"/>
  <c r="EI145" i="2" s="1"/>
  <c r="EI178" i="2" a="1"/>
  <c r="EI178" i="2" s="1"/>
  <c r="EI142" i="2" a="1"/>
  <c r="EI142" i="2" s="1"/>
  <c r="DN25" i="2" a="1"/>
  <c r="DN25" i="2" s="1"/>
  <c r="DN113" i="2" a="1"/>
  <c r="DN113" i="2" s="1"/>
  <c r="DN188" i="2" a="1"/>
  <c r="DN188" i="2" s="1"/>
  <c r="DN66" i="2" a="1"/>
  <c r="DN66" i="2" s="1"/>
  <c r="EI195" i="2" a="1"/>
  <c r="EI195" i="2" s="1"/>
  <c r="DN123" i="2" a="1"/>
  <c r="DN123" i="2" s="1"/>
  <c r="DN114" i="2" a="1"/>
  <c r="DN114" i="2" s="1"/>
  <c r="FY58" i="2" a="1"/>
  <c r="FY58" i="2" s="1"/>
  <c r="FY86" i="2" a="1"/>
  <c r="FY86" i="2" s="1"/>
  <c r="FY42" i="2" a="1"/>
  <c r="FY42" i="2" s="1"/>
  <c r="FY30" i="2" a="1"/>
  <c r="FY30" i="2" s="1"/>
  <c r="FY80" i="2" a="1"/>
  <c r="FY80" i="2" s="1"/>
  <c r="FY142" i="2" a="1"/>
  <c r="FY142" i="2" s="1"/>
  <c r="FD60" i="2" a="1"/>
  <c r="FD60" i="2" s="1"/>
  <c r="FD131" i="2" a="1"/>
  <c r="FD131" i="2" s="1"/>
  <c r="FD167" i="2" a="1"/>
  <c r="FD167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35" i="2" a="1"/>
  <c r="DN135" i="2" s="1"/>
  <c r="DN164" i="2" a="1"/>
  <c r="DN164" i="2" s="1"/>
  <c r="DN49" i="2" a="1"/>
  <c r="DN49" i="2" s="1"/>
  <c r="DN31" i="2" a="1"/>
  <c r="DN31" i="2" s="1"/>
  <c r="DN55" i="2" a="1"/>
  <c r="DN55" i="2" s="1"/>
  <c r="DN70" i="2" a="1"/>
  <c r="DN70" i="2" s="1"/>
  <c r="DN65" i="2" a="1"/>
  <c r="DN65" i="2" s="1"/>
  <c r="DN6" i="2" a="1"/>
  <c r="DN6" i="2" s="1"/>
  <c r="DO6" i="2" s="1"/>
  <c r="DN30" i="2" a="1"/>
  <c r="DN30" i="2" s="1"/>
  <c r="DN132" i="2" a="1"/>
  <c r="DN132" i="2" s="1"/>
  <c r="DN45" i="2" a="1"/>
  <c r="DN45" i="2" s="1"/>
  <c r="DN187" i="2" a="1"/>
  <c r="DN187" i="2" s="1"/>
  <c r="AX200" i="2"/>
  <c r="GT203" i="2" l="1" a="1"/>
  <c r="GT203" i="2" s="1"/>
  <c r="GT68" i="2" a="1"/>
  <c r="GT68" i="2" s="1"/>
  <c r="FD144" i="2" a="1"/>
  <c r="FD144" i="2" s="1"/>
  <c r="FD43" i="2" a="1"/>
  <c r="FD43" i="2" s="1"/>
  <c r="FD64" i="2" a="1"/>
  <c r="FD64" i="2" s="1"/>
  <c r="FD82" i="2" a="1"/>
  <c r="FD82" i="2" s="1"/>
  <c r="FD188" i="2" a="1"/>
  <c r="FD188" i="2" s="1"/>
  <c r="FY167" i="2" a="1"/>
  <c r="FY167" i="2" s="1"/>
  <c r="FY115" i="2" a="1"/>
  <c r="FY115" i="2" s="1"/>
  <c r="FY104" i="2" a="1"/>
  <c r="FY104" i="2" s="1"/>
  <c r="FY190" i="2" a="1"/>
  <c r="FY190" i="2" s="1"/>
  <c r="FY174" i="2" a="1"/>
  <c r="FY174" i="2" s="1"/>
  <c r="FY173" i="2" a="1"/>
  <c r="FY173" i="2" s="1"/>
  <c r="FY159" i="2" a="1"/>
  <c r="FY159" i="2" s="1"/>
  <c r="FY143" i="2" a="1"/>
  <c r="FY143" i="2" s="1"/>
  <c r="FY191" i="2" a="1"/>
  <c r="FY191" i="2" s="1"/>
  <c r="FY196" i="2" a="1"/>
  <c r="FY196" i="2" s="1"/>
  <c r="FY124" i="2" a="1"/>
  <c r="FY124" i="2" s="1"/>
  <c r="FY188" i="2" a="1"/>
  <c r="FY188" i="2" s="1"/>
  <c r="FY73" i="2" a="1"/>
  <c r="FY73" i="2" s="1"/>
  <c r="FY69" i="2" a="1"/>
  <c r="FY69" i="2" s="1"/>
  <c r="FY82" i="2" a="1"/>
  <c r="FY82" i="2" s="1"/>
  <c r="FY169" i="2" a="1"/>
  <c r="FY169" i="2" s="1"/>
  <c r="FY28" i="2" a="1"/>
  <c r="FY28" i="2" s="1"/>
  <c r="FY152" i="2" a="1"/>
  <c r="FY152" i="2" s="1"/>
  <c r="FY66" i="2" a="1"/>
  <c r="FY66" i="2" s="1"/>
  <c r="FY121" i="2" a="1"/>
  <c r="FY121" i="2" s="1"/>
  <c r="FY182" i="2" a="1"/>
  <c r="FY182" i="2" s="1"/>
  <c r="FY172" i="2" a="1"/>
  <c r="FY172" i="2" s="1"/>
  <c r="FY62" i="2" a="1"/>
  <c r="FY62" i="2" s="1"/>
  <c r="FY78" i="2" a="1"/>
  <c r="FY78" i="2" s="1"/>
  <c r="FY186" i="2" a="1"/>
  <c r="FY186" i="2" s="1"/>
  <c r="FY120" i="2" a="1"/>
  <c r="FY120" i="2" s="1"/>
  <c r="EY202" i="2"/>
  <c r="FY153" i="2" a="1"/>
  <c r="FY153" i="2" s="1"/>
  <c r="FY71" i="2" a="1"/>
  <c r="FY71" i="2" s="1"/>
  <c r="FY18" i="2" a="1"/>
  <c r="FY18" i="2" s="1"/>
  <c r="FY29" i="2" a="1"/>
  <c r="FY29" i="2" s="1"/>
  <c r="FD107" i="2" a="1"/>
  <c r="FD107" i="2" s="1"/>
  <c r="FD44" i="2" a="1"/>
  <c r="FD44" i="2" s="1"/>
  <c r="FD160" i="2" a="1"/>
  <c r="FD160" i="2" s="1"/>
  <c r="FD189" i="2" a="1"/>
  <c r="FD189" i="2" s="1"/>
  <c r="FD137" i="2" a="1"/>
  <c r="FD137" i="2" s="1"/>
  <c r="FD14" i="2" a="1"/>
  <c r="FD14" i="2" s="1"/>
  <c r="FD159" i="2" a="1"/>
  <c r="FD159" i="2" s="1"/>
  <c r="FD48" i="2" a="1"/>
  <c r="FD48" i="2" s="1"/>
  <c r="BC82" i="2" a="1"/>
  <c r="BC82" i="2" s="1"/>
  <c r="FD59" i="2" a="1"/>
  <c r="FD59" i="2" s="1"/>
  <c r="FY110" i="2" a="1"/>
  <c r="FY110" i="2" s="1"/>
  <c r="FY133" i="2" a="1"/>
  <c r="FY133" i="2" s="1"/>
  <c r="CS114" i="2" a="1"/>
  <c r="CS114" i="2" s="1"/>
  <c r="FY47" i="2" a="1"/>
  <c r="FY47" i="2" s="1"/>
  <c r="BC126" i="2" a="1"/>
  <c r="BC126" i="2" s="1"/>
  <c r="BC181" i="2" a="1"/>
  <c r="BC181" i="2" s="1"/>
  <c r="BC34" i="2" a="1"/>
  <c r="BC34" i="2" s="1"/>
  <c r="BC65" i="2" a="1"/>
  <c r="BC65" i="2" s="1"/>
  <c r="BC114" i="2" a="1"/>
  <c r="BC114" i="2" s="1"/>
  <c r="DN86" i="2" a="1"/>
  <c r="DN86" i="2" s="1"/>
  <c r="DN152" i="2" a="1"/>
  <c r="DN152" i="2" s="1"/>
  <c r="DN46" i="2" a="1"/>
  <c r="DN46" i="2" s="1"/>
  <c r="DN110" i="2" a="1"/>
  <c r="DN110" i="2" s="1"/>
  <c r="DN38" i="2" a="1"/>
  <c r="DN38" i="2" s="1"/>
  <c r="DN103" i="2" a="1"/>
  <c r="DN103" i="2" s="1"/>
  <c r="DN115" i="2" a="1"/>
  <c r="DN115" i="2" s="1"/>
  <c r="DN43" i="2" a="1"/>
  <c r="DN43" i="2" s="1"/>
  <c r="DN153" i="2" a="1"/>
  <c r="DN153" i="2" s="1"/>
  <c r="DN186" i="2" a="1"/>
  <c r="DN186" i="2" s="1"/>
  <c r="DN176" i="2" a="1"/>
  <c r="DN176" i="2" s="1"/>
  <c r="DN167" i="2" a="1"/>
  <c r="DN167" i="2" s="1"/>
  <c r="DN80" i="2" a="1"/>
  <c r="DN80" i="2" s="1"/>
  <c r="DN170" i="2" a="1"/>
  <c r="DN170" i="2" s="1"/>
  <c r="DN137" i="2" a="1"/>
  <c r="DN137" i="2" s="1"/>
  <c r="DN16" i="2" a="1"/>
  <c r="DN16" i="2" s="1"/>
  <c r="DN168" i="2" a="1"/>
  <c r="DN168" i="2" s="1"/>
  <c r="DN63" i="2" a="1"/>
  <c r="DN63" i="2" s="1"/>
  <c r="DN150" i="2" a="1"/>
  <c r="DN150" i="2" s="1"/>
  <c r="DN129" i="2" a="1"/>
  <c r="DN129" i="2" s="1"/>
  <c r="DN190" i="2" a="1"/>
  <c r="DN190" i="2" s="1"/>
  <c r="DN133" i="2" a="1"/>
  <c r="DN133" i="2" s="1"/>
  <c r="DN162" i="2" a="1"/>
  <c r="DN162" i="2" s="1"/>
  <c r="DN192" i="2" a="1"/>
  <c r="DN192" i="2" s="1"/>
  <c r="DN50" i="2" a="1"/>
  <c r="DN50" i="2" s="1"/>
  <c r="CS105" i="2" a="1"/>
  <c r="CS105" i="2" s="1"/>
  <c r="CS185" i="2" a="1"/>
  <c r="CS185" i="2" s="1"/>
  <c r="CS137" i="2" a="1"/>
  <c r="CS137" i="2" s="1"/>
  <c r="CS56" i="2" a="1"/>
  <c r="CS56" i="2" s="1"/>
  <c r="CS161" i="2" a="1"/>
  <c r="CS161" i="2" s="1"/>
  <c r="CS129" i="2" a="1"/>
  <c r="CS129" i="2" s="1"/>
  <c r="CS72" i="2" a="1"/>
  <c r="CS72" i="2" s="1"/>
  <c r="CS116" i="2" a="1"/>
  <c r="CS116" i="2" s="1"/>
  <c r="CS24" i="2" a="1"/>
  <c r="CS24" i="2" s="1"/>
  <c r="CS77" i="2" a="1"/>
  <c r="CS77" i="2" s="1"/>
  <c r="CS38" i="2" a="1"/>
  <c r="CS38" i="2" s="1"/>
  <c r="CS134" i="2" a="1"/>
  <c r="CS134" i="2" s="1"/>
  <c r="CS120" i="2" a="1"/>
  <c r="CS120" i="2" s="1"/>
  <c r="FY146" i="2" a="1"/>
  <c r="FY146" i="2" s="1"/>
  <c r="FY140" i="2" a="1"/>
  <c r="FY140" i="2" s="1"/>
  <c r="FY35" i="2" a="1"/>
  <c r="FY35" i="2" s="1"/>
  <c r="FY90" i="2" a="1"/>
  <c r="FY90" i="2" s="1"/>
  <c r="FY165" i="2" a="1"/>
  <c r="FY165" i="2" s="1"/>
  <c r="FY32" i="2" a="1"/>
  <c r="FY32" i="2" s="1"/>
  <c r="FY50" i="2" a="1"/>
  <c r="FY50" i="2" s="1"/>
  <c r="FY22" i="2" a="1"/>
  <c r="FY22" i="2" s="1"/>
  <c r="FY57" i="2" a="1"/>
  <c r="FY57" i="2" s="1"/>
  <c r="FY79" i="2" a="1"/>
  <c r="FY79" i="2" s="1"/>
  <c r="FY54" i="2" a="1"/>
  <c r="FY54" i="2" s="1"/>
  <c r="FY109" i="2" a="1"/>
  <c r="FY109" i="2" s="1"/>
  <c r="BX107" i="2" a="1"/>
  <c r="BX107" i="2" s="1"/>
  <c r="AH151" i="2" a="1"/>
  <c r="AH151" i="2" s="1"/>
  <c r="AH92" i="2" a="1"/>
  <c r="AH92" i="2" s="1"/>
  <c r="AH199" i="2" a="1"/>
  <c r="AH199" i="2" s="1"/>
  <c r="AH62" i="2" a="1"/>
  <c r="AH62" i="2" s="1"/>
  <c r="AH19" i="2" a="1"/>
  <c r="AH19" i="2" s="1"/>
  <c r="AH163" i="2" a="1"/>
  <c r="AH163" i="2" s="1"/>
  <c r="AH90" i="2" a="1"/>
  <c r="AH90" i="2" s="1"/>
  <c r="DN41" i="2" a="1"/>
  <c r="DN41" i="2" s="1"/>
  <c r="DN155" i="2" a="1"/>
  <c r="DN155" i="2" s="1"/>
  <c r="EI153" i="2" a="1"/>
  <c r="EI153" i="2" s="1"/>
  <c r="GT133" i="2" a="1"/>
  <c r="GT133" i="2" s="1"/>
  <c r="DN56" i="2" a="1"/>
  <c r="DN56" i="2" s="1"/>
  <c r="HG203" i="2"/>
  <c r="FR203" i="2"/>
  <c r="AH166" i="2" a="1"/>
  <c r="AH166" i="2" s="1"/>
  <c r="DN177" i="2" a="1"/>
  <c r="DN177" i="2" s="1"/>
  <c r="DN184" i="2" a="1"/>
  <c r="DN184" i="2" s="1"/>
  <c r="CS52" i="2" a="1"/>
  <c r="CS52" i="2" s="1"/>
  <c r="EI150" i="2" a="1"/>
  <c r="EI150" i="2" s="1"/>
  <c r="GT147" i="2" a="1"/>
  <c r="GT147" i="2" s="1"/>
  <c r="GT181" i="2" a="1"/>
  <c r="GT181" i="2" s="1"/>
  <c r="DN124" i="2" a="1"/>
  <c r="DN124" i="2" s="1"/>
  <c r="GT184" i="2" a="1"/>
  <c r="GT184" i="2" s="1"/>
  <c r="BP203" i="2"/>
  <c r="HH203" i="2"/>
  <c r="DN29" i="2" a="1"/>
  <c r="DN29" i="2" s="1"/>
  <c r="CS66" i="2" a="1"/>
  <c r="CS66" i="2" s="1"/>
  <c r="EI106" i="2" a="1"/>
  <c r="EI106" i="2" s="1"/>
  <c r="GT115" i="2" a="1"/>
  <c r="GT115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T203" i="2"/>
  <c r="ED203" i="2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<sst xmlns="http://schemas.openxmlformats.org/spreadsheetml/2006/main" count="1201" uniqueCount="326">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</sst>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5">
    <cellStyle name="Lien hypertexte" xfId="2" builtinId="8"/>
    <cellStyle name="Normal" xfId="0" builtinId="0"/>
    <cellStyle name="Normal 2 2" xfId="4" xr:uid="{D26B9F35-0CB6-C44D-BE79-AF4C206ADCD1}"/>
    <cellStyle name="Pourcentage" xfId="1" builtinId="5"/>
    <cellStyle name="Pourcentage 2" xfId="3" xr:uid="{B5C0560E-4E33-2F47-8408-45FFC9AFAB18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</c:v>
                </c:pt>
                <c:pt idx="32">
                  <c:v>380.4892939371228</c:v>
                </c:pt>
                <c:pt idx="33">
                  <c:v>407.72413216850492</c:v>
                </c:pt>
                <c:pt idx="34">
                  <c:v>434.91968079517761</c:v>
                </c:pt>
                <c:pt idx="35">
                  <c:v>462.07873925701455</c:v>
                </c:pt>
                <c:pt idx="36">
                  <c:v>489.20375134717227</c:v>
                </c:pt>
                <c:pt idx="37">
                  <c:v>433.59961838636008</c:v>
                </c:pt>
                <c:pt idx="38">
                  <c:v>460.20839311111894</c:v>
                </c:pt>
                <c:pt idx="39">
                  <c:v>486.78434108389047</c:v>
                </c:pt>
                <c:pt idx="40">
                  <c:v>513.32950438861201</c:v>
                </c:pt>
                <c:pt idx="41">
                  <c:v>539.84569689767909</c:v>
                </c:pt>
                <c:pt idx="42">
                  <c:v>566.33453995655486</c:v>
                </c:pt>
                <c:pt idx="43">
                  <c:v>505.12943761341859</c:v>
                </c:pt>
                <c:pt idx="44">
                  <c:v>530.71596265986329</c:v>
                </c:pt>
                <c:pt idx="45">
                  <c:v>556.27653997817106</c:v>
                </c:pt>
                <c:pt idx="46">
                  <c:v>581.81252811346212</c:v>
                </c:pt>
                <c:pt idx="47">
                  <c:v>607.32515676835726</c:v>
                </c:pt>
                <c:pt idx="48">
                  <c:v>632.81554402908341</c:v>
                </c:pt>
                <c:pt idx="49">
                  <c:v>561.06523629540231</c:v>
                </c:pt>
                <c:pt idx="50">
                  <c:v>585.27746751979441</c:v>
                </c:pt>
                <c:pt idx="51">
                  <c:v>609.46883490395442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141.94790883673247</c:v>
                </c:pt>
                <c:pt idx="22">
                  <c:v>151.32319907420549</c:v>
                </c:pt>
                <c:pt idx="23">
                  <c:v>160.68465382913146</c:v>
                </c:pt>
                <c:pt idx="24">
                  <c:v>170.03319377205966</c:v>
                </c:pt>
                <c:pt idx="25">
                  <c:v>179.36962990969698</c:v>
                </c:pt>
                <c:pt idx="26">
                  <c:v>188.69468180254515</c:v>
                </c:pt>
                <c:pt idx="27">
                  <c:v>198.00899198585145</c:v>
                </c:pt>
                <c:pt idx="28">
                  <c:v>207.31313753029772</c:v>
                </c:pt>
                <c:pt idx="29">
                  <c:v>216.60763941535956</c:v>
                </c:pt>
                <c:pt idx="30">
                  <c:v>225.89297020726823</c:v>
                </c:pt>
                <c:pt idx="31">
                  <c:v>191.85462145986244</c:v>
                </c:pt>
                <c:pt idx="32">
                  <c:v>201.97457838762068</c:v>
                </c:pt>
                <c:pt idx="33">
                  <c:v>212.08279491786956</c:v>
                </c:pt>
                <c:pt idx="34">
                  <c:v>222.17990999337334</c:v>
                </c:pt>
                <c:pt idx="35">
                  <c:v>232.26649967942276</c:v>
                </c:pt>
                <c:pt idx="36">
                  <c:v>242.34308587306441</c:v>
                </c:pt>
                <c:pt idx="37">
                  <c:v>252.41014348628894</c:v>
                </c:pt>
                <c:pt idx="38">
                  <c:v>262.46810642204622</c:v>
                </c:pt>
                <c:pt idx="39">
                  <c:v>272.51737258540891</c:v>
                </c:pt>
                <c:pt idx="40">
                  <c:v>282.55830811624332</c:v>
                </c:pt>
                <c:pt idx="41">
                  <c:v>238.87380842442477</c:v>
                </c:pt>
                <c:pt idx="42">
                  <c:v>250.45383263090912</c:v>
                </c:pt>
                <c:pt idx="43">
                  <c:v>262.02172018206073</c:v>
                </c:pt>
                <c:pt idx="44">
                  <c:v>273.57808268324311</c:v>
                </c:pt>
                <c:pt idx="45">
                  <c:v>285.12347581886542</c:v>
                </c:pt>
                <c:pt idx="46">
                  <c:v>296.65840657145924</c:v>
                </c:pt>
                <c:pt idx="47">
                  <c:v>308.18333925844115</c:v>
                </c:pt>
                <c:pt idx="48">
                  <c:v>319.6987006180791</c:v>
                </c:pt>
                <c:pt idx="49">
                  <c:v>331.20488412397202</c:v>
                </c:pt>
                <c:pt idx="50">
                  <c:v>342.70225366835689</c:v>
                </c:pt>
                <c:pt idx="51">
                  <c:v>289.18172980650758</c:v>
                </c:pt>
                <c:pt idx="52">
                  <c:v>302.71753065256081</c:v>
                </c:pt>
                <c:pt idx="53">
                  <c:v>316.23986708946956</c:v>
                </c:pt>
                <c:pt idx="54">
                  <c:v>329.74939604140644</c:v>
                </c:pt>
                <c:pt idx="55">
                  <c:v>343.24671620025674</c:v>
                </c:pt>
                <c:pt idx="56">
                  <c:v>356.73237532285719</c:v>
                </c:pt>
                <c:pt idx="57">
                  <c:v>370.20687636679116</c:v>
                </c:pt>
                <c:pt idx="58">
                  <c:v>383.67068268600025</c:v>
                </c:pt>
                <c:pt idx="59">
                  <c:v>397.12422245888297</c:v>
                </c:pt>
                <c:pt idx="60">
                  <c:v>410.56789248494528</c:v>
                </c:pt>
                <c:pt idx="61">
                  <c:v>345.68081564301752</c:v>
                </c:pt>
                <c:pt idx="62">
                  <c:v>361.16104428055809</c:v>
                </c:pt>
                <c:pt idx="63">
                  <c:v>376.62676867372988</c:v>
                </c:pt>
                <c:pt idx="64">
                  <c:v>392.07866819155953</c:v>
                </c:pt>
                <c:pt idx="65">
                  <c:v>407.51736429280373</c:v>
                </c:pt>
                <c:pt idx="66">
                  <c:v>422.94342751493468</c:v>
                </c:pt>
                <c:pt idx="67">
                  <c:v>438.35738339029859</c:v>
                </c:pt>
                <c:pt idx="68">
                  <c:v>453.75971748681332</c:v>
                </c:pt>
                <c:pt idx="69">
                  <c:v>469.15087972866837</c:v>
                </c:pt>
                <c:pt idx="70">
                  <c:v>484.53128812058782</c:v>
                </c:pt>
                <c:pt idx="71">
                  <c:v>406.57016834542907</c:v>
                </c:pt>
                <c:pt idx="72">
                  <c:v>423.48925744071431</c:v>
                </c:pt>
                <c:pt idx="73">
                  <c:v>440.3938030990808</c:v>
                </c:pt>
                <c:pt idx="74">
                  <c:v>457.28444193768973</c:v>
                </c:pt>
                <c:pt idx="75">
                  <c:v>474.1617597271516</c:v>
                </c:pt>
                <c:pt idx="76">
                  <c:v>491.02629715523852</c:v>
                </c:pt>
                <c:pt idx="77">
                  <c:v>507.87855475772972</c:v>
                </c:pt>
                <c:pt idx="78">
                  <c:v>524.71899716093287</c:v>
                </c:pt>
                <c:pt idx="79">
                  <c:v>541.54805675141267</c:v>
                </c:pt>
                <c:pt idx="80">
                  <c:v>558.3661368660072</c:v>
                </c:pt>
                <c:pt idx="81">
                  <c:v>466.35904776537882</c:v>
                </c:pt>
                <c:pt idx="82">
                  <c:v>483.72542644560394</c:v>
                </c:pt>
                <c:pt idx="83">
                  <c:v>501.07856738590061</c:v>
                </c:pt>
                <c:pt idx="84">
                  <c:v>518.41899332341563</c:v>
                </c:pt>
                <c:pt idx="85">
                  <c:v>535.74718919333725</c:v>
                </c:pt>
                <c:pt idx="86">
                  <c:v>553.06360602188818</c:v>
                </c:pt>
                <c:pt idx="87">
                  <c:v>570.368664306612</c:v>
                </c:pt>
                <c:pt idx="88">
                  <c:v>587.66275696529431</c:v>
                </c:pt>
                <c:pt idx="89">
                  <c:v>604.94625191988484</c:v>
                </c:pt>
                <c:pt idx="90">
                  <c:v>622.21949436994851</c:v>
                </c:pt>
                <c:pt idx="91">
                  <c:v>518.62814241583544</c:v>
                </c:pt>
                <c:pt idx="92">
                  <c:v>536.94600814995761</c:v>
                </c:pt>
                <c:pt idx="93">
                  <c:v>555.25074345458188</c:v>
                </c:pt>
                <c:pt idx="94">
                  <c:v>573.54284182845595</c:v>
                </c:pt>
                <c:pt idx="95">
                  <c:v>591.82276274805349</c:v>
                </c:pt>
                <c:pt idx="96">
                  <c:v>610.09093501293262</c:v>
                </c:pt>
                <c:pt idx="97">
                  <c:v>628.3477596698234</c:v>
                </c:pt>
                <c:pt idx="98">
                  <c:v>646.5936125794351</c:v>
                </c:pt>
                <c:pt idx="99">
                  <c:v>664.82884667868814</c:v>
                </c:pt>
                <c:pt idx="100">
                  <c:v>683.05379398203058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290.76583591551019</c:v>
                </c:pt>
                <c:pt idx="32">
                  <c:v>315.60720104640671</c:v>
                </c:pt>
                <c:pt idx="33">
                  <c:v>340.40524529090209</c:v>
                </c:pt>
                <c:pt idx="34">
                  <c:v>365.16356584619308</c:v>
                </c:pt>
                <c:pt idx="35">
                  <c:v>389.88523246274644</c:v>
                </c:pt>
                <c:pt idx="36">
                  <c:v>342.19321863218693</c:v>
                </c:pt>
                <c:pt idx="37">
                  <c:v>364.65346486081313</c:v>
                </c:pt>
                <c:pt idx="38">
                  <c:v>387.08350012671536</c:v>
                </c:pt>
                <c:pt idx="39">
                  <c:v>409.48531996489601</c:v>
                </c:pt>
                <c:pt idx="40">
                  <c:v>431.86068387305681</c:v>
                </c:pt>
                <c:pt idx="41">
                  <c:v>396.25118655434943</c:v>
                </c:pt>
                <c:pt idx="42">
                  <c:v>421.69323961894679</c:v>
                </c:pt>
                <c:pt idx="43">
                  <c:v>447.10225323882634</c:v>
                </c:pt>
                <c:pt idx="44">
                  <c:v>472.48036714392634</c:v>
                </c:pt>
                <c:pt idx="45">
                  <c:v>497.82947264900918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491.74823970258643</c:v>
                </c:pt>
                <c:pt idx="49">
                  <c:v>513.78528004261875</c:v>
                </c:pt>
                <c:pt idx="50">
                  <c:v>535.80237321728089</c:v>
                </c:pt>
                <c:pt idx="51">
                  <c:v>500.61617734977284</c:v>
                </c:pt>
                <c:pt idx="52">
                  <c:v>524.9227941200179</c:v>
                </c:pt>
                <c:pt idx="53">
                  <c:v>549.20570960219936</c:v>
                </c:pt>
                <c:pt idx="54">
                  <c:v>573.46611798533218</c:v>
                </c:pt>
                <c:pt idx="55">
                  <c:v>597.70510428718899</c:v>
                </c:pt>
                <c:pt idx="56">
                  <c:v>558.55867937490245</c:v>
                </c:pt>
                <c:pt idx="57">
                  <c:v>580.03291566489895</c:v>
                </c:pt>
                <c:pt idx="58">
                  <c:v>601.49057626451429</c:v>
                </c:pt>
                <c:pt idx="59">
                  <c:v>622.93233512534766</c:v>
                </c:pt>
                <c:pt idx="60">
                  <c:v>644.35881606732414</c:v>
                </c:pt>
                <c:pt idx="61">
                  <c:v>625.95816246291997</c:v>
                </c:pt>
                <c:pt idx="62">
                  <c:v>647.88645878177351</c:v>
                </c:pt>
                <c:pt idx="63">
                  <c:v>669.79945190168905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9.3982536598331823</c:v>
                </c:pt>
                <c:pt idx="2">
                  <c:v>18.384964403092471</c:v>
                </c:pt>
                <c:pt idx="3">
                  <c:v>27.238767442460503</c:v>
                </c:pt>
                <c:pt idx="4">
                  <c:v>36.01064308072884</c:v>
                </c:pt>
                <c:pt idx="5">
                  <c:v>44.723697262367438</c:v>
                </c:pt>
                <c:pt idx="6">
                  <c:v>53.391110582802071</c:v>
                </c:pt>
                <c:pt idx="7">
                  <c:v>62.021380062268605</c:v>
                </c:pt>
                <c:pt idx="8">
                  <c:v>70.620424210823487</c:v>
                </c:pt>
                <c:pt idx="9">
                  <c:v>79.192593208647665</c:v>
                </c:pt>
                <c:pt idx="10">
                  <c:v>87.741213817240293</c:v>
                </c:pt>
                <c:pt idx="11">
                  <c:v>96.268908943641279</c:v>
                </c:pt>
                <c:pt idx="12">
                  <c:v>104.77779724973435</c:v>
                </c:pt>
                <c:pt idx="13">
                  <c:v>113.26962415124929</c:v>
                </c:pt>
                <c:pt idx="14">
                  <c:v>121.74585128444294</c:v>
                </c:pt>
                <c:pt idx="15">
                  <c:v>130.20771964850627</c:v>
                </c:pt>
                <c:pt idx="16">
                  <c:v>84.816080094016797</c:v>
                </c:pt>
                <c:pt idx="17">
                  <c:v>112.80473477436908</c:v>
                </c:pt>
                <c:pt idx="18">
                  <c:v>140.62196514550021</c:v>
                </c:pt>
                <c:pt idx="19">
                  <c:v>168.30668061428082</c:v>
                </c:pt>
                <c:pt idx="20">
                  <c:v>195.8838145879254</c:v>
                </c:pt>
                <c:pt idx="21">
                  <c:v>152.402488147409</c:v>
                </c:pt>
                <c:pt idx="22">
                  <c:v>181.41803885083917</c:v>
                </c:pt>
                <c:pt idx="23">
                  <c:v>210.32478012170284</c:v>
                </c:pt>
                <c:pt idx="24">
                  <c:v>239.13978647609795</c:v>
                </c:pt>
                <c:pt idx="25">
                  <c:v>267.87566841306403</c:v>
                </c:pt>
                <c:pt idx="26">
                  <c:v>224.05679616015803</c:v>
                </c:pt>
                <c:pt idx="27">
                  <c:v>252.14851694322201</c:v>
                </c:pt>
                <c:pt idx="28">
                  <c:v>280.16930243047454</c:v>
                </c:pt>
                <c:pt idx="29">
                  <c:v>308.12724136993626</c:v>
                </c:pt>
                <c:pt idx="30">
                  <c:v>336.02883386480784</c:v>
                </c:pt>
                <c:pt idx="31">
                  <c:v>290.40473451571637</c:v>
                </c:pt>
                <c:pt idx="32">
                  <c:v>316.29913637651737</c:v>
                </c:pt>
                <c:pt idx="33">
                  <c:v>342.14657846410142</c:v>
                </c:pt>
                <c:pt idx="34">
                  <c:v>367.95110424042514</c:v>
                </c:pt>
                <c:pt idx="35">
                  <c:v>393.71614391217764</c:v>
                </c:pt>
                <c:pt idx="36">
                  <c:v>344.86480128250224</c:v>
                </c:pt>
                <c:pt idx="37">
                  <c:v>367.27255754339438</c:v>
                </c:pt>
                <c:pt idx="38">
                  <c:v>389.65047961932464</c:v>
                </c:pt>
                <c:pt idx="39">
                  <c:v>412.00052062728975</c:v>
                </c:pt>
                <c:pt idx="40">
                  <c:v>434.32440460746267</c:v>
                </c:pt>
                <c:pt idx="41">
                  <c:v>385.9228118091616</c:v>
                </c:pt>
                <c:pt idx="42">
                  <c:v>405.23061819687064</c:v>
                </c:pt>
                <c:pt idx="43">
                  <c:v>424.51854465454761</c:v>
                </c:pt>
                <c:pt idx="44">
                  <c:v>443.78762100961416</c:v>
                </c:pt>
                <c:pt idx="45">
                  <c:v>463.03878041146299</c:v>
                </c:pt>
                <c:pt idx="46">
                  <c:v>435.67656131929743</c:v>
                </c:pt>
                <c:pt idx="47">
                  <c:v>452.23326587455654</c:v>
                </c:pt>
                <c:pt idx="48">
                  <c:v>468.77701352901096</c:v>
                </c:pt>
                <c:pt idx="49">
                  <c:v>485.3083257376432</c:v>
                </c:pt>
                <c:pt idx="50">
                  <c:v>501.82768554824059</c:v>
                </c:pt>
                <c:pt idx="51">
                  <c:v>480.58633375842027</c:v>
                </c:pt>
                <c:pt idx="52">
                  <c:v>494.74939395246042</c:v>
                </c:pt>
                <c:pt idx="53">
                  <c:v>508.903864599077</c:v>
                </c:pt>
                <c:pt idx="54">
                  <c:v>523.05001818966036</c:v>
                </c:pt>
                <c:pt idx="55">
                  <c:v>537.18811127897254</c:v>
                </c:pt>
                <c:pt idx="56">
                  <c:v>519.34586245463845</c:v>
                </c:pt>
                <c:pt idx="57">
                  <c:v>531.80310579563172</c:v>
                </c:pt>
                <c:pt idx="58">
                  <c:v>544.25421128308915</c:v>
                </c:pt>
                <c:pt idx="59">
                  <c:v>556.69933909209135</c:v>
                </c:pt>
                <c:pt idx="60">
                  <c:v>569.13864165395955</c:v>
                </c:pt>
                <c:pt idx="61">
                  <c:v>550.64568947389887</c:v>
                </c:pt>
                <c:pt idx="62">
                  <c:v>560.73433859166767</c:v>
                </c:pt>
                <c:pt idx="63">
                  <c:v>570.81918970877257</c:v>
                </c:pt>
                <c:pt idx="64">
                  <c:v>580.90031938116931</c:v>
                </c:pt>
                <c:pt idx="65">
                  <c:v>590.97780129118485</c:v>
                </c:pt>
                <c:pt idx="66">
                  <c:v>572.83571096063667</c:v>
                </c:pt>
                <c:pt idx="67">
                  <c:v>581.57226419525387</c:v>
                </c:pt>
                <c:pt idx="68">
                  <c:v>590.30608121292812</c:v>
                </c:pt>
                <c:pt idx="69">
                  <c:v>599.03720820615865</c:v>
                </c:pt>
                <c:pt idx="70">
                  <c:v>607.76568991108968</c:v>
                </c:pt>
                <c:pt idx="71">
                  <c:v>590.64194324033781</c:v>
                </c:pt>
                <c:pt idx="72">
                  <c:v>598.70144482575188</c:v>
                </c:pt>
                <c:pt idx="73">
                  <c:v>606.75869100848013</c:v>
                </c:pt>
                <c:pt idx="74">
                  <c:v>614.81371596302711</c:v>
                </c:pt>
                <c:pt idx="75">
                  <c:v>622.86655289536111</c:v>
                </c:pt>
                <c:pt idx="76">
                  <c:v>606.08733912999833</c:v>
                </c:pt>
                <c:pt idx="77">
                  <c:v>612.80016613241162</c:v>
                </c:pt>
                <c:pt idx="78">
                  <c:v>619.51146798813386</c:v>
                </c:pt>
                <c:pt idx="79">
                  <c:v>626.22126355197054</c:v>
                </c:pt>
                <c:pt idx="80">
                  <c:v>632.92957124167299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9.3982536598331823</c:v>
                </c:pt>
                <c:pt idx="2">
                  <c:v>18.384964403092471</c:v>
                </c:pt>
                <c:pt idx="3">
                  <c:v>27.238767442460503</c:v>
                </c:pt>
                <c:pt idx="4">
                  <c:v>36.01064308072884</c:v>
                </c:pt>
                <c:pt idx="5">
                  <c:v>44.723697262367438</c:v>
                </c:pt>
                <c:pt idx="6">
                  <c:v>53.391110582802071</c:v>
                </c:pt>
                <c:pt idx="7">
                  <c:v>62.021380062268605</c:v>
                </c:pt>
                <c:pt idx="8">
                  <c:v>70.620424210823487</c:v>
                </c:pt>
                <c:pt idx="9">
                  <c:v>79.192593208647665</c:v>
                </c:pt>
                <c:pt idx="10">
                  <c:v>87.741213817240293</c:v>
                </c:pt>
                <c:pt idx="11">
                  <c:v>96.268908943641279</c:v>
                </c:pt>
                <c:pt idx="12">
                  <c:v>104.77779724973435</c:v>
                </c:pt>
                <c:pt idx="13">
                  <c:v>113.26962415124929</c:v>
                </c:pt>
                <c:pt idx="14">
                  <c:v>121.74585128444294</c:v>
                </c:pt>
                <c:pt idx="15">
                  <c:v>130.20771964850627</c:v>
                </c:pt>
                <c:pt idx="16">
                  <c:v>84.816080094016797</c:v>
                </c:pt>
                <c:pt idx="17">
                  <c:v>112.80473477436908</c:v>
                </c:pt>
                <c:pt idx="18">
                  <c:v>140.62196514550021</c:v>
                </c:pt>
                <c:pt idx="19">
                  <c:v>168.30668061428082</c:v>
                </c:pt>
                <c:pt idx="20">
                  <c:v>195.8838145879254</c:v>
                </c:pt>
                <c:pt idx="21">
                  <c:v>152.402488147409</c:v>
                </c:pt>
                <c:pt idx="22">
                  <c:v>181.41803885083917</c:v>
                </c:pt>
                <c:pt idx="23">
                  <c:v>210.32478012170284</c:v>
                </c:pt>
                <c:pt idx="24">
                  <c:v>239.13978647609795</c:v>
                </c:pt>
                <c:pt idx="25">
                  <c:v>267.87566841306403</c:v>
                </c:pt>
                <c:pt idx="26">
                  <c:v>224.05679616015803</c:v>
                </c:pt>
                <c:pt idx="27">
                  <c:v>252.14851694322201</c:v>
                </c:pt>
                <c:pt idx="28">
                  <c:v>280.16930243047454</c:v>
                </c:pt>
                <c:pt idx="29">
                  <c:v>308.12724136993626</c:v>
                </c:pt>
                <c:pt idx="30">
                  <c:v>336.02883386480784</c:v>
                </c:pt>
                <c:pt idx="31">
                  <c:v>290.40473451571637</c:v>
                </c:pt>
                <c:pt idx="32">
                  <c:v>316.29913637651737</c:v>
                </c:pt>
                <c:pt idx="33">
                  <c:v>342.14657846410142</c:v>
                </c:pt>
                <c:pt idx="34">
                  <c:v>367.95110424042514</c:v>
                </c:pt>
                <c:pt idx="35">
                  <c:v>393.71614391217764</c:v>
                </c:pt>
                <c:pt idx="36">
                  <c:v>344.86480128250224</c:v>
                </c:pt>
                <c:pt idx="37">
                  <c:v>367.27255754339438</c:v>
                </c:pt>
                <c:pt idx="38">
                  <c:v>389.65047961932464</c:v>
                </c:pt>
                <c:pt idx="39">
                  <c:v>412.00052062728975</c:v>
                </c:pt>
                <c:pt idx="40">
                  <c:v>434.32440460746267</c:v>
                </c:pt>
                <c:pt idx="41">
                  <c:v>385.9228118091616</c:v>
                </c:pt>
                <c:pt idx="42">
                  <c:v>405.23061819687064</c:v>
                </c:pt>
                <c:pt idx="43">
                  <c:v>424.51854465454761</c:v>
                </c:pt>
                <c:pt idx="44">
                  <c:v>443.78762100961416</c:v>
                </c:pt>
                <c:pt idx="45">
                  <c:v>463.03878041146299</c:v>
                </c:pt>
                <c:pt idx="46">
                  <c:v>435.67656131929743</c:v>
                </c:pt>
                <c:pt idx="47">
                  <c:v>452.23326587455654</c:v>
                </c:pt>
                <c:pt idx="48">
                  <c:v>468.77701352901096</c:v>
                </c:pt>
                <c:pt idx="49">
                  <c:v>485.3083257376432</c:v>
                </c:pt>
                <c:pt idx="50">
                  <c:v>501.82768554824059</c:v>
                </c:pt>
                <c:pt idx="51">
                  <c:v>480.58633375842027</c:v>
                </c:pt>
                <c:pt idx="52">
                  <c:v>494.74939395246042</c:v>
                </c:pt>
                <c:pt idx="53">
                  <c:v>508.903864599077</c:v>
                </c:pt>
                <c:pt idx="54">
                  <c:v>523.05001818966036</c:v>
                </c:pt>
                <c:pt idx="55">
                  <c:v>537.18811127897254</c:v>
                </c:pt>
                <c:pt idx="56">
                  <c:v>519.34586245463845</c:v>
                </c:pt>
                <c:pt idx="57">
                  <c:v>531.80310579563172</c:v>
                </c:pt>
                <c:pt idx="58">
                  <c:v>544.25421128308915</c:v>
                </c:pt>
                <c:pt idx="59">
                  <c:v>556.69933909209135</c:v>
                </c:pt>
                <c:pt idx="60">
                  <c:v>569.13864165395955</c:v>
                </c:pt>
                <c:pt idx="61">
                  <c:v>550.64568947389887</c:v>
                </c:pt>
                <c:pt idx="62">
                  <c:v>560.73433859166767</c:v>
                </c:pt>
                <c:pt idx="63">
                  <c:v>570.81918970877257</c:v>
                </c:pt>
                <c:pt idx="64">
                  <c:v>580.90031938116931</c:v>
                </c:pt>
                <c:pt idx="65">
                  <c:v>590.97780129118485</c:v>
                </c:pt>
                <c:pt idx="66">
                  <c:v>572.83571096063667</c:v>
                </c:pt>
                <c:pt idx="67">
                  <c:v>581.57226419525387</c:v>
                </c:pt>
                <c:pt idx="68">
                  <c:v>590.30608121292812</c:v>
                </c:pt>
                <c:pt idx="69">
                  <c:v>599.03720820615865</c:v>
                </c:pt>
                <c:pt idx="70">
                  <c:v>607.76568991108968</c:v>
                </c:pt>
                <c:pt idx="71">
                  <c:v>590.64194324033781</c:v>
                </c:pt>
                <c:pt idx="72">
                  <c:v>598.70144482575188</c:v>
                </c:pt>
                <c:pt idx="73">
                  <c:v>606.75869100848013</c:v>
                </c:pt>
                <c:pt idx="74">
                  <c:v>614.81371596302711</c:v>
                </c:pt>
                <c:pt idx="75">
                  <c:v>622.86655289536111</c:v>
                </c:pt>
                <c:pt idx="76">
                  <c:v>606.08733912999833</c:v>
                </c:pt>
                <c:pt idx="77">
                  <c:v>612.80016613241162</c:v>
                </c:pt>
                <c:pt idx="78">
                  <c:v>619.51146798813386</c:v>
                </c:pt>
                <c:pt idx="79">
                  <c:v>626.22126355197054</c:v>
                </c:pt>
                <c:pt idx="80">
                  <c:v>632.92957124167299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1.4748075162286964</c:v>
                </c:pt>
                <c:pt idx="2">
                  <c:v>1.7289300073345741</c:v>
                </c:pt>
                <c:pt idx="3">
                  <c:v>2.0270048151165745</c:v>
                </c:pt>
                <c:pt idx="4">
                  <c:v>2.3766608296649143</c:v>
                </c:pt>
                <c:pt idx="5">
                  <c:v>2.7868555175437328</c:v>
                </c:pt>
                <c:pt idx="6">
                  <c:v>3.2681070131464067</c:v>
                </c:pt>
                <c:pt idx="7">
                  <c:v>3.8327668711494169</c:v>
                </c:pt>
                <c:pt idx="8">
                  <c:v>4.4953406225316863</c:v>
                </c:pt>
                <c:pt idx="9">
                  <c:v>5.272864534305425</c:v>
                </c:pt>
                <c:pt idx="10">
                  <c:v>6.1853484527313745</c:v>
                </c:pt>
                <c:pt idx="11">
                  <c:v>7.2562963506126366</c:v>
                </c:pt>
                <c:pt idx="12">
                  <c:v>8.5133182474762226</c:v>
                </c:pt>
                <c:pt idx="13">
                  <c:v>9.9888495814451375</c:v>
                </c:pt>
                <c:pt idx="14">
                  <c:v>11.720996947400748</c:v>
                </c:pt>
                <c:pt idx="15">
                  <c:v>13.754532453009704</c:v>
                </c:pt>
                <c:pt idx="16">
                  <c:v>16.14206287108123</c:v>
                </c:pt>
                <c:pt idx="17">
                  <c:v>18.945404388008239</c:v>
                </c:pt>
                <c:pt idx="18">
                  <c:v>22.237199186742114</c:v>
                </c:pt>
                <c:pt idx="19">
                  <c:v>26.102816503697493</c:v>
                </c:pt>
                <c:pt idx="20">
                  <c:v>30.642588332726174</c:v>
                </c:pt>
                <c:pt idx="21">
                  <c:v>35.97443881666139</c:v>
                </c:pt>
                <c:pt idx="22">
                  <c:v>42.236976804393827</c:v>
                </c:pt>
                <c:pt idx="23">
                  <c:v>49.593133337476523</c:v>
                </c:pt>
                <c:pt idx="24">
                  <c:v>58.234440292808017</c:v>
                </c:pt>
                <c:pt idx="25">
                  <c:v>68.386063433222418</c:v>
                </c:pt>
                <c:pt idx="26">
                  <c:v>80.312723160652638</c:v>
                </c:pt>
                <c:pt idx="27">
                  <c:v>94.325659862615012</c:v>
                </c:pt>
                <c:pt idx="28">
                  <c:v>110.79082852299048</c:v>
                </c:pt>
                <c:pt idx="29">
                  <c:v>130.13853997553917</c:v>
                </c:pt>
                <c:pt idx="30">
                  <c:v>152.87480468851905</c:v>
                </c:pt>
                <c:pt idx="31">
                  <c:v>166.89133444294561</c:v>
                </c:pt>
                <c:pt idx="32">
                  <c:v>180.88008881040676</c:v>
                </c:pt>
                <c:pt idx="33">
                  <c:v>194.84351960942453</c:v>
                </c:pt>
                <c:pt idx="34">
                  <c:v>208.78369810897141</c:v>
                </c:pt>
                <c:pt idx="35">
                  <c:v>222.70239611918885</c:v>
                </c:pt>
                <c:pt idx="36">
                  <c:v>236.60114570497134</c:v>
                </c:pt>
                <c:pt idx="37">
                  <c:v>250.48128410902621</c:v>
                </c:pt>
                <c:pt idx="38">
                  <c:v>264.34398818158456</c:v>
                </c:pt>
                <c:pt idx="39">
                  <c:v>278.19030120100507</c:v>
                </c:pt>
                <c:pt idx="40">
                  <c:v>292.02115406974093</c:v>
                </c:pt>
                <c:pt idx="41">
                  <c:v>305.83738228122428</c:v>
                </c:pt>
                <c:pt idx="42">
                  <c:v>319.63973965830445</c:v>
                </c:pt>
                <c:pt idx="43">
                  <c:v>333.42890959326382</c:v>
                </c:pt>
                <c:pt idx="44">
                  <c:v>347.20551433040424</c:v>
                </c:pt>
                <c:pt idx="45">
                  <c:v>360.97012269780367</c:v>
                </c:pt>
                <c:pt idx="46">
                  <c:v>229.76199452006745</c:v>
                </c:pt>
                <c:pt idx="47">
                  <c:v>249.4180618282256</c:v>
                </c:pt>
                <c:pt idx="48">
                  <c:v>269.03899891409782</c:v>
                </c:pt>
                <c:pt idx="49">
                  <c:v>288.62772764061646</c:v>
                </c:pt>
                <c:pt idx="50">
                  <c:v>308.18674079108729</c:v>
                </c:pt>
                <c:pt idx="51">
                  <c:v>327.71818888983671</c:v>
                </c:pt>
                <c:pt idx="52">
                  <c:v>347.22394522042651</c:v>
                </c:pt>
                <c:pt idx="53">
                  <c:v>288.06458812233899</c:v>
                </c:pt>
                <c:pt idx="54">
                  <c:v>306.63890206194975</c:v>
                </c:pt>
                <c:pt idx="55">
                  <c:v>325.18821881167565</c:v>
                </c:pt>
                <c:pt idx="56">
                  <c:v>343.7141644226262</c:v>
                </c:pt>
                <c:pt idx="57">
                  <c:v>362.21817537725337</c:v>
                </c:pt>
                <c:pt idx="58">
                  <c:v>380.70152944626716</c:v>
                </c:pt>
                <c:pt idx="59">
                  <c:v>399.16537023802061</c:v>
                </c:pt>
                <c:pt idx="60">
                  <c:v>320.01166362191731</c:v>
                </c:pt>
                <c:pt idx="61">
                  <c:v>337.26019956517558</c:v>
                </c:pt>
                <c:pt idx="62">
                  <c:v>354.4893209840364</c:v>
                </c:pt>
                <c:pt idx="63">
                  <c:v>371.70010402542817</c:v>
                </c:pt>
                <c:pt idx="64">
                  <c:v>389.14171724933834</c:v>
                </c:pt>
                <c:pt idx="65">
                  <c:v>406.56636855177106</c:v>
                </c:pt>
                <c:pt idx="66">
                  <c:v>423.97488693075366</c:v>
                </c:pt>
                <c:pt idx="67">
                  <c:v>441.36802777690099</c:v>
                </c:pt>
                <c:pt idx="68">
                  <c:v>363.05354019885925</c:v>
                </c:pt>
                <c:pt idx="69">
                  <c:v>379.04938459318828</c:v>
                </c:pt>
                <c:pt idx="70">
                  <c:v>395.03054410755067</c:v>
                </c:pt>
                <c:pt idx="71">
                  <c:v>410.99769632746273</c:v>
                </c:pt>
                <c:pt idx="72">
                  <c:v>426.95146190670397</c:v>
                </c:pt>
                <c:pt idx="73">
                  <c:v>442.84264802212869</c:v>
                </c:pt>
                <c:pt idx="74">
                  <c:v>458.72161918152227</c:v>
                </c:pt>
                <c:pt idx="75">
                  <c:v>474.58885760722302</c:v>
                </c:pt>
                <c:pt idx="76">
                  <c:v>400.30589352820135</c:v>
                </c:pt>
                <c:pt idx="77">
                  <c:v>414.88245788167796</c:v>
                </c:pt>
                <c:pt idx="78">
                  <c:v>429.44798031024266</c:v>
                </c:pt>
                <c:pt idx="79">
                  <c:v>444.00288800296352</c:v>
                </c:pt>
                <c:pt idx="80">
                  <c:v>458.54757786201907</c:v>
                </c:pt>
                <c:pt idx="81">
                  <c:v>473.08241956259138</c:v>
                </c:pt>
                <c:pt idx="82">
                  <c:v>487.41303290439191</c:v>
                </c:pt>
                <c:pt idx="83">
                  <c:v>501.73470660726474</c:v>
                </c:pt>
                <c:pt idx="84">
                  <c:v>421.87095978636313</c:v>
                </c:pt>
                <c:pt idx="85">
                  <c:v>435.05713144656647</c:v>
                </c:pt>
                <c:pt idx="86">
                  <c:v>447.95193248440569</c:v>
                </c:pt>
                <c:pt idx="87">
                  <c:v>460.83879105816192</c:v>
                </c:pt>
                <c:pt idx="88">
                  <c:v>473.71796054648297</c:v>
                </c:pt>
                <c:pt idx="89">
                  <c:v>486.58967942826274</c:v>
                </c:pt>
                <c:pt idx="90">
                  <c:v>499.45417253806659</c:v>
                </c:pt>
                <c:pt idx="91">
                  <c:v>512.3116521854987</c:v>
                </c:pt>
                <c:pt idx="92">
                  <c:v>434.44401361249925</c:v>
                </c:pt>
                <c:pt idx="93">
                  <c:v>446.23937516405437</c:v>
                </c:pt>
                <c:pt idx="94">
                  <c:v>458.02806267316049</c:v>
                </c:pt>
                <c:pt idx="95">
                  <c:v>469.48067646943247</c:v>
                </c:pt>
                <c:pt idx="96">
                  <c:v>480.92734007244991</c:v>
                </c:pt>
                <c:pt idx="97">
                  <c:v>492.36821506683287</c:v>
                </c:pt>
                <c:pt idx="98">
                  <c:v>503.80345491548695</c:v>
                </c:pt>
                <c:pt idx="99">
                  <c:v>515.23320554681561</c:v>
                </c:pt>
                <c:pt idx="100">
                  <c:v>454.78309736243182</c:v>
                </c:pt>
                <c:pt idx="101">
                  <c:v>465.39563413135147</c:v>
                </c:pt>
                <c:pt idx="102">
                  <c:v>476.00301216087706</c:v>
                </c:pt>
                <c:pt idx="103">
                  <c:v>486.60536262777504</c:v>
                </c:pt>
                <c:pt idx="104">
                  <c:v>496.89320688956292</c:v>
                </c:pt>
                <c:pt idx="105">
                  <c:v>507.17654009457851</c:v>
                </c:pt>
                <c:pt idx="106">
                  <c:v>517.45546660786442</c:v>
                </c:pt>
                <c:pt idx="107">
                  <c:v>527.73008630980019</c:v>
                </c:pt>
                <c:pt idx="108">
                  <c:v>459.47429894428757</c:v>
                </c:pt>
                <c:pt idx="109">
                  <c:v>468.9815650821763</c:v>
                </c:pt>
                <c:pt idx="110">
                  <c:v>478.48472574333528</c:v>
                </c:pt>
                <c:pt idx="111">
                  <c:v>487.98387398107894</c:v>
                </c:pt>
                <c:pt idx="112">
                  <c:v>497.47909892971353</c:v>
                </c:pt>
                <c:pt idx="113">
                  <c:v>506.61635098784183</c:v>
                </c:pt>
                <c:pt idx="114">
                  <c:v>515.75011953425042</c:v>
                </c:pt>
                <c:pt idx="115">
                  <c:v>524.88047496966146</c:v>
                </c:pt>
                <c:pt idx="116">
                  <c:v>534.00748504541355</c:v>
                </c:pt>
                <c:pt idx="117">
                  <c:v>462.74485321067647</c:v>
                </c:pt>
                <c:pt idx="118">
                  <c:v>471.11761976275926</c:v>
                </c:pt>
                <c:pt idx="119">
                  <c:v>479.48721795743381</c:v>
                </c:pt>
                <c:pt idx="120">
                  <c:v>487.85371091770054</c:v>
                </c:pt>
                <c:pt idx="121">
                  <c:v>496.21715942417615</c:v>
                </c:pt>
                <c:pt idx="122">
                  <c:v>504.29906581439428</c:v>
                </c:pt>
                <c:pt idx="123">
                  <c:v>512.37823304869289</c:v>
                </c:pt>
                <c:pt idx="124">
                  <c:v>520.45471042145175</c:v>
                </c:pt>
                <c:pt idx="125">
                  <c:v>528.52854557193496</c:v>
                </c:pt>
                <c:pt idx="126">
                  <c:v>460.9487003598972</c:v>
                </c:pt>
                <c:pt idx="127">
                  <c:v>460.9487003598972</c:v>
                </c:pt>
                <c:pt idx="128">
                  <c:v>460.9487003598972</c:v>
                </c:pt>
                <c:pt idx="129">
                  <c:v>460.9487003598972</c:v>
                </c:pt>
                <c:pt idx="130">
                  <c:v>460.9487003598972</c:v>
                </c:pt>
                <c:pt idx="131">
                  <c:v>460.9487003598972</c:v>
                </c:pt>
                <c:pt idx="132">
                  <c:v>460.9487003598972</c:v>
                </c:pt>
                <c:pt idx="133">
                  <c:v>460.9487003598972</c:v>
                </c:pt>
                <c:pt idx="134">
                  <c:v>460.9487003598972</c:v>
                </c:pt>
                <c:pt idx="135">
                  <c:v>460.9487003598972</c:v>
                </c:pt>
                <c:pt idx="136">
                  <c:v>460.9487003598972</c:v>
                </c:pt>
                <c:pt idx="137">
                  <c:v>460.9487003598972</c:v>
                </c:pt>
                <c:pt idx="138">
                  <c:v>460.9487003598972</c:v>
                </c:pt>
                <c:pt idx="139">
                  <c:v>460.9487003598972</c:v>
                </c:pt>
                <c:pt idx="140">
                  <c:v>460.9487003598972</c:v>
                </c:pt>
                <c:pt idx="141">
                  <c:v>460.9487003598972</c:v>
                </c:pt>
                <c:pt idx="142">
                  <c:v>460.9487003598972</c:v>
                </c:pt>
                <c:pt idx="143">
                  <c:v>460.9487003598972</c:v>
                </c:pt>
                <c:pt idx="144">
                  <c:v>460.9487003598972</c:v>
                </c:pt>
                <c:pt idx="145">
                  <c:v>460.9487003598972</c:v>
                </c:pt>
                <c:pt idx="146">
                  <c:v>460.9487003598972</c:v>
                </c:pt>
                <c:pt idx="147">
                  <c:v>460.9487003598972</c:v>
                </c:pt>
                <c:pt idx="148">
                  <c:v>460.9487003598972</c:v>
                </c:pt>
                <c:pt idx="149">
                  <c:v>460.9487003598972</c:v>
                </c:pt>
                <c:pt idx="150">
                  <c:v>460.9487003598972</c:v>
                </c:pt>
                <c:pt idx="151">
                  <c:v>460.9487003598972</c:v>
                </c:pt>
                <c:pt idx="152">
                  <c:v>460.9487003598972</c:v>
                </c:pt>
                <c:pt idx="153">
                  <c:v>460.9487003598972</c:v>
                </c:pt>
                <c:pt idx="154">
                  <c:v>460.9487003598972</c:v>
                </c:pt>
                <c:pt idx="155">
                  <c:v>460.9487003598972</c:v>
                </c:pt>
                <c:pt idx="156">
                  <c:v>460.9487003598972</c:v>
                </c:pt>
                <c:pt idx="157">
                  <c:v>460.9487003598972</c:v>
                </c:pt>
                <c:pt idx="158">
                  <c:v>460.9487003598972</c:v>
                </c:pt>
                <c:pt idx="159">
                  <c:v>460.9487003598972</c:v>
                </c:pt>
                <c:pt idx="160">
                  <c:v>460.9487003598972</c:v>
                </c:pt>
                <c:pt idx="161">
                  <c:v>460.9487003598972</c:v>
                </c:pt>
                <c:pt idx="162">
                  <c:v>460.9487003598972</c:v>
                </c:pt>
                <c:pt idx="163">
                  <c:v>460.9487003598972</c:v>
                </c:pt>
                <c:pt idx="164">
                  <c:v>460.9487003598972</c:v>
                </c:pt>
                <c:pt idx="165">
                  <c:v>460.9487003598972</c:v>
                </c:pt>
                <c:pt idx="166">
                  <c:v>460.9487003598972</c:v>
                </c:pt>
                <c:pt idx="167">
                  <c:v>460.9487003598972</c:v>
                </c:pt>
                <c:pt idx="168">
                  <c:v>460.9487003598972</c:v>
                </c:pt>
                <c:pt idx="169">
                  <c:v>460.9487003598972</c:v>
                </c:pt>
                <c:pt idx="170">
                  <c:v>460.9487003598972</c:v>
                </c:pt>
                <c:pt idx="171">
                  <c:v>460.9487003598972</c:v>
                </c:pt>
                <c:pt idx="172">
                  <c:v>460.9487003598972</c:v>
                </c:pt>
                <c:pt idx="173">
                  <c:v>460.9487003598972</c:v>
                </c:pt>
                <c:pt idx="174">
                  <c:v>460.9487003598972</c:v>
                </c:pt>
                <c:pt idx="175">
                  <c:v>460.9487003598972</c:v>
                </c:pt>
                <c:pt idx="176">
                  <c:v>460.9487003598972</c:v>
                </c:pt>
                <c:pt idx="177">
                  <c:v>460.9487003598972</c:v>
                </c:pt>
                <c:pt idx="178">
                  <c:v>460.9487003598972</c:v>
                </c:pt>
                <c:pt idx="179">
                  <c:v>460.9487003598972</c:v>
                </c:pt>
                <c:pt idx="180">
                  <c:v>460.9487003598972</c:v>
                </c:pt>
                <c:pt idx="181">
                  <c:v>460.9487003598972</c:v>
                </c:pt>
                <c:pt idx="182">
                  <c:v>460.9487003598972</c:v>
                </c:pt>
                <c:pt idx="183">
                  <c:v>460.9487003598972</c:v>
                </c:pt>
                <c:pt idx="184">
                  <c:v>460.9487003598972</c:v>
                </c:pt>
                <c:pt idx="185">
                  <c:v>460.9487003598972</c:v>
                </c:pt>
                <c:pt idx="186">
                  <c:v>460.9487003598972</c:v>
                </c:pt>
                <c:pt idx="187">
                  <c:v>460.9487003598972</c:v>
                </c:pt>
                <c:pt idx="188">
                  <c:v>460.9487003598972</c:v>
                </c:pt>
                <c:pt idx="189">
                  <c:v>460.9487003598972</c:v>
                </c:pt>
                <c:pt idx="190">
                  <c:v>460.9487003598972</c:v>
                </c:pt>
                <c:pt idx="191">
                  <c:v>460.9487003598972</c:v>
                </c:pt>
                <c:pt idx="192">
                  <c:v>460.9487003598972</c:v>
                </c:pt>
                <c:pt idx="193">
                  <c:v>460.9487003598972</c:v>
                </c:pt>
                <c:pt idx="194">
                  <c:v>460.9487003598972</c:v>
                </c:pt>
                <c:pt idx="195">
                  <c:v>460.9487003598972</c:v>
                </c:pt>
                <c:pt idx="196">
                  <c:v>460.9487003598972</c:v>
                </c:pt>
                <c:pt idx="197">
                  <c:v>460.9487003598972</c:v>
                </c:pt>
                <c:pt idx="198">
                  <c:v>460.9487003598972</c:v>
                </c:pt>
                <c:pt idx="199">
                  <c:v>460.9487003598972</c:v>
                </c:pt>
                <c:pt idx="200">
                  <c:v>460.9487003598972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2.5365396498713784</c:v>
                </c:pt>
                <c:pt idx="2">
                  <c:v>3.0936866940920846</c:v>
                </c:pt>
                <c:pt idx="3">
                  <c:v>3.7736749325937615</c:v>
                </c:pt>
                <c:pt idx="4">
                  <c:v>4.6036853937893438</c:v>
                </c:pt>
                <c:pt idx="5">
                  <c:v>5.6169334850084764</c:v>
                </c:pt>
                <c:pt idx="6">
                  <c:v>6.8540128065562209</c:v>
                </c:pt>
                <c:pt idx="7">
                  <c:v>8.3645390759615257</c:v>
                </c:pt>
                <c:pt idx="8">
                  <c:v>10.209161360063431</c:v>
                </c:pt>
                <c:pt idx="9">
                  <c:v>12.462022894592508</c:v>
                </c:pt>
                <c:pt idx="10">
                  <c:v>15.213772245263874</c:v>
                </c:pt>
                <c:pt idx="11">
                  <c:v>18.57524819562407</c:v>
                </c:pt>
                <c:pt idx="12">
                  <c:v>22.68198947210379</c:v>
                </c:pt>
                <c:pt idx="13">
                  <c:v>27.699754384662487</c:v>
                </c:pt>
                <c:pt idx="14">
                  <c:v>33.831277080300929</c:v>
                </c:pt>
                <c:pt idx="15">
                  <c:v>41.324538102988818</c:v>
                </c:pt>
                <c:pt idx="16">
                  <c:v>30.33550189142494</c:v>
                </c:pt>
                <c:pt idx="17">
                  <c:v>46.787802861560664</c:v>
                </c:pt>
                <c:pt idx="18">
                  <c:v>63.083123613579382</c:v>
                </c:pt>
                <c:pt idx="19">
                  <c:v>79.268465758174287</c:v>
                </c:pt>
                <c:pt idx="20">
                  <c:v>95.369646427190915</c:v>
                </c:pt>
                <c:pt idx="21">
                  <c:v>67.768793999899231</c:v>
                </c:pt>
                <c:pt idx="22">
                  <c:v>90.368299531904839</c:v>
                </c:pt>
                <c:pt idx="23">
                  <c:v>112.82524558929946</c:v>
                </c:pt>
                <c:pt idx="24">
                  <c:v>135.17221080393281</c:v>
                </c:pt>
                <c:pt idx="25">
                  <c:v>157.43000487343213</c:v>
                </c:pt>
                <c:pt idx="26">
                  <c:v>128.79722242762872</c:v>
                </c:pt>
                <c:pt idx="27">
                  <c:v>149.66657413173758</c:v>
                </c:pt>
                <c:pt idx="28">
                  <c:v>170.46644969365801</c:v>
                </c:pt>
                <c:pt idx="29">
                  <c:v>191.20652823376994</c:v>
                </c:pt>
                <c:pt idx="30">
                  <c:v>211.89421177306693</c:v>
                </c:pt>
                <c:pt idx="31">
                  <c:v>181.72221165400219</c:v>
                </c:pt>
                <c:pt idx="32">
                  <c:v>200.67989328789301</c:v>
                </c:pt>
                <c:pt idx="33">
                  <c:v>219.59607285206536</c:v>
                </c:pt>
                <c:pt idx="34">
                  <c:v>238.47482868961117</c:v>
                </c:pt>
                <c:pt idx="35">
                  <c:v>257.31954013248082</c:v>
                </c:pt>
                <c:pt idx="36">
                  <c:v>225.19351582573117</c:v>
                </c:pt>
                <c:pt idx="37">
                  <c:v>241.96706736739358</c:v>
                </c:pt>
                <c:pt idx="38">
                  <c:v>258.71417149720077</c:v>
                </c:pt>
                <c:pt idx="39">
                  <c:v>275.43678115454327</c:v>
                </c:pt>
                <c:pt idx="40">
                  <c:v>292.13659270097304</c:v>
                </c:pt>
                <c:pt idx="41">
                  <c:v>259.76003343111978</c:v>
                </c:pt>
                <c:pt idx="42">
                  <c:v>276.13305084516708</c:v>
                </c:pt>
                <c:pt idx="43">
                  <c:v>292.48427398832825</c:v>
                </c:pt>
                <c:pt idx="44">
                  <c:v>308.8150926809592</c:v>
                </c:pt>
                <c:pt idx="45">
                  <c:v>325.1267377323847</c:v>
                </c:pt>
                <c:pt idx="46">
                  <c:v>301.17333821716494</c:v>
                </c:pt>
                <c:pt idx="47">
                  <c:v>315.41140617079787</c:v>
                </c:pt>
                <c:pt idx="48">
                  <c:v>329.63523412538729</c:v>
                </c:pt>
                <c:pt idx="49">
                  <c:v>343.84552311327383</c:v>
                </c:pt>
                <c:pt idx="50">
                  <c:v>358.0429114873923</c:v>
                </c:pt>
                <c:pt idx="51">
                  <c:v>340.38081192870794</c:v>
                </c:pt>
                <c:pt idx="52">
                  <c:v>352.15771646451259</c:v>
                </c:pt>
                <c:pt idx="53">
                  <c:v>363.92598951915755</c:v>
                </c:pt>
                <c:pt idx="54">
                  <c:v>375.68594961377954</c:v>
                </c:pt>
                <c:pt idx="55">
                  <c:v>387.43789369626415</c:v>
                </c:pt>
                <c:pt idx="56">
                  <c:v>374.30284650982259</c:v>
                </c:pt>
                <c:pt idx="57">
                  <c:v>383.63665398425104</c:v>
                </c:pt>
                <c:pt idx="58">
                  <c:v>392.96552636677075</c:v>
                </c:pt>
                <c:pt idx="59">
                  <c:v>402.28959738992967</c:v>
                </c:pt>
                <c:pt idx="60">
                  <c:v>411.60899407848501</c:v>
                </c:pt>
                <c:pt idx="61">
                  <c:v>398.83678939579448</c:v>
                </c:pt>
                <c:pt idx="62">
                  <c:v>406.7772902174122</c:v>
                </c:pt>
                <c:pt idx="63">
                  <c:v>414.71444195012668</c:v>
                </c:pt>
                <c:pt idx="64">
                  <c:v>422.64831776969339</c:v>
                </c:pt>
                <c:pt idx="65">
                  <c:v>430.57898787887979</c:v>
                </c:pt>
                <c:pt idx="66">
                  <c:v>418.50930863032562</c:v>
                </c:pt>
                <c:pt idx="67">
                  <c:v>425.40717182534786</c:v>
                </c:pt>
                <c:pt idx="68">
                  <c:v>432.30262904622123</c:v>
                </c:pt>
                <c:pt idx="69">
                  <c:v>439.19572410876793</c:v>
                </c:pt>
                <c:pt idx="70">
                  <c:v>446.08649934034253</c:v>
                </c:pt>
                <c:pt idx="71">
                  <c:v>435.06014812737641</c:v>
                </c:pt>
                <c:pt idx="72">
                  <c:v>441.2631983722506</c:v>
                </c:pt>
                <c:pt idx="73">
                  <c:v>447.4643796313315</c:v>
                </c:pt>
                <c:pt idx="74">
                  <c:v>453.6637214784476</c:v>
                </c:pt>
                <c:pt idx="75">
                  <c:v>459.86125261266943</c:v>
                </c:pt>
                <c:pt idx="76">
                  <c:v>449.53102985794379</c:v>
                </c:pt>
                <c:pt idx="77">
                  <c:v>454.69676831549236</c:v>
                </c:pt>
                <c:pt idx="78">
                  <c:v>459.86125261266943</c:v>
                </c:pt>
                <c:pt idx="79">
                  <c:v>465.02449883304229</c:v>
                </c:pt>
                <c:pt idx="80">
                  <c:v>470.18652267359931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3.331394082601733</c:v>
                </c:pt>
                <c:pt idx="2">
                  <c:v>4.0638154157807067</c:v>
                </c:pt>
                <c:pt idx="3">
                  <c:v>4.9578655433886984</c:v>
                </c:pt>
                <c:pt idx="4">
                  <c:v>6.0493375877763205</c:v>
                </c:pt>
                <c:pt idx="5">
                  <c:v>7.3819771040616198</c:v>
                </c:pt>
                <c:pt idx="6">
                  <c:v>9.0092542889046143</c:v>
                </c:pt>
                <c:pt idx="7">
                  <c:v>10.996532229724204</c:v>
                </c:pt>
                <c:pt idx="8">
                  <c:v>13.42371992455322</c:v>
                </c:pt>
                <c:pt idx="9">
                  <c:v>16.388518728335804</c:v>
                </c:pt>
                <c:pt idx="10">
                  <c:v>20.010395291079643</c:v>
                </c:pt>
                <c:pt idx="11">
                  <c:v>24.4354439578678</c:v>
                </c:pt>
                <c:pt idx="12">
                  <c:v>29.84233823962667</c:v>
                </c:pt>
                <c:pt idx="13">
                  <c:v>36.449615856030938</c:v>
                </c:pt>
                <c:pt idx="14">
                  <c:v>44.524596860621834</c:v>
                </c:pt>
                <c:pt idx="15">
                  <c:v>54.394301766761821</c:v>
                </c:pt>
                <c:pt idx="16">
                  <c:v>39.920656183703365</c:v>
                </c:pt>
                <c:pt idx="17">
                  <c:v>61.590996971852803</c:v>
                </c:pt>
                <c:pt idx="18">
                  <c:v>83.059783755906594</c:v>
                </c:pt>
                <c:pt idx="19">
                  <c:v>104.38736403026746</c:v>
                </c:pt>
                <c:pt idx="20">
                  <c:v>125.6068855785234</c:v>
                </c:pt>
                <c:pt idx="21">
                  <c:v>89.233802044880818</c:v>
                </c:pt>
                <c:pt idx="22">
                  <c:v>119.01541177700149</c:v>
                </c:pt>
                <c:pt idx="23">
                  <c:v>148.61398295003312</c:v>
                </c:pt>
                <c:pt idx="24">
                  <c:v>178.07134474332099</c:v>
                </c:pt>
                <c:pt idx="25">
                  <c:v>207.41421566911518</c:v>
                </c:pt>
                <c:pt idx="26">
                  <c:v>169.66761385466589</c:v>
                </c:pt>
                <c:pt idx="27">
                  <c:v>197.17922416826369</c:v>
                </c:pt>
                <c:pt idx="28">
                  <c:v>224.6016309196855</c:v>
                </c:pt>
                <c:pt idx="29">
                  <c:v>251.94726156948718</c:v>
                </c:pt>
                <c:pt idx="30">
                  <c:v>279.22561990730264</c:v>
                </c:pt>
                <c:pt idx="31">
                  <c:v>239.44202608060968</c:v>
                </c:pt>
                <c:pt idx="32">
                  <c:v>264.4384358991237</c:v>
                </c:pt>
                <c:pt idx="33">
                  <c:v>289.3815593327011</c:v>
                </c:pt>
                <c:pt idx="34">
                  <c:v>314.27663275054891</c:v>
                </c:pt>
                <c:pt idx="35">
                  <c:v>339.12799502984507</c:v>
                </c:pt>
                <c:pt idx="36">
                  <c:v>296.76267617954204</c:v>
                </c:pt>
                <c:pt idx="37">
                  <c:v>318.88191759321546</c:v>
                </c:pt>
                <c:pt idx="38">
                  <c:v>340.96720197828142</c:v>
                </c:pt>
                <c:pt idx="39">
                  <c:v>363.02103680197814</c:v>
                </c:pt>
                <c:pt idx="40">
                  <c:v>385.0456000996482</c:v>
                </c:pt>
                <c:pt idx="41">
                  <c:v>342.34646391464616</c:v>
                </c:pt>
                <c:pt idx="42">
                  <c:v>363.93929728008396</c:v>
                </c:pt>
                <c:pt idx="43">
                  <c:v>385.5041479951206</c:v>
                </c:pt>
                <c:pt idx="44">
                  <c:v>407.04280051298912</c:v>
                </c:pt>
                <c:pt idx="45">
                  <c:v>428.55683512546557</c:v>
                </c:pt>
                <c:pt idx="46">
                  <c:v>396.96403469017787</c:v>
                </c:pt>
                <c:pt idx="47">
                  <c:v>415.74284488897769</c:v>
                </c:pt>
                <c:pt idx="48">
                  <c:v>434.50337170876332</c:v>
                </c:pt>
                <c:pt idx="49">
                  <c:v>453.24651523667291</c:v>
                </c:pt>
                <c:pt idx="50">
                  <c:v>471.97309508291983</c:v>
                </c:pt>
                <c:pt idx="51">
                  <c:v>448.67657418793851</c:v>
                </c:pt>
                <c:pt idx="52">
                  <c:v>464.21037620075805</c:v>
                </c:pt>
                <c:pt idx="53">
                  <c:v>479.73309586441366</c:v>
                </c:pt>
                <c:pt idx="54">
                  <c:v>495.24514214260324</c:v>
                </c:pt>
                <c:pt idx="55">
                  <c:v>510.74689630015138</c:v>
                </c:pt>
                <c:pt idx="56">
                  <c:v>493.42073684971859</c:v>
                </c:pt>
                <c:pt idx="57">
                  <c:v>505.73272688896014</c:v>
                </c:pt>
                <c:pt idx="58">
                  <c:v>518.03838054042774</c:v>
                </c:pt>
                <c:pt idx="59">
                  <c:v>530.33786950939054</c:v>
                </c:pt>
                <c:pt idx="60">
                  <c:v>542.63135688868067</c:v>
                </c:pt>
                <c:pt idx="61">
                  <c:v>525.78321150537079</c:v>
                </c:pt>
                <c:pt idx="62">
                  <c:v>536.25769545372816</c:v>
                </c:pt>
                <c:pt idx="63">
                  <c:v>546.72787935532415</c:v>
                </c:pt>
                <c:pt idx="64">
                  <c:v>557.1938571638218</c:v>
                </c:pt>
                <c:pt idx="65">
                  <c:v>567.65571901573026</c:v>
                </c:pt>
                <c:pt idx="66">
                  <c:v>551.73386614264234</c:v>
                </c:pt>
                <c:pt idx="67">
                  <c:v>560.83322798868096</c:v>
                </c:pt>
                <c:pt idx="68">
                  <c:v>569.92950069565961</c:v>
                </c:pt>
                <c:pt idx="69">
                  <c:v>579.02274052069424</c:v>
                </c:pt>
                <c:pt idx="70">
                  <c:v>588.1130018097914</c:v>
                </c:pt>
                <c:pt idx="71">
                  <c:v>573.56715748636259</c:v>
                </c:pt>
                <c:pt idx="72">
                  <c:v>581.75012922929795</c:v>
                </c:pt>
                <c:pt idx="73">
                  <c:v>589.93070129681712</c:v>
                </c:pt>
                <c:pt idx="74">
                  <c:v>598.10891166009674</c:v>
                </c:pt>
                <c:pt idx="75">
                  <c:v>606.28479716717118</c:v>
                </c:pt>
                <c:pt idx="76">
                  <c:v>592.65703198720178</c:v>
                </c:pt>
                <c:pt idx="77">
                  <c:v>599.47171971380715</c:v>
                </c:pt>
                <c:pt idx="78">
                  <c:v>606.28479716717118</c:v>
                </c:pt>
                <c:pt idx="79">
                  <c:v>613.0962849977135</c:v>
                </c:pt>
                <c:pt idx="80">
                  <c:v>619.90620335950769</c:v>
                </c:pt>
                <c:pt idx="81">
                  <c:v>1.8017017738191463E-12</c:v>
                </c:pt>
                <c:pt idx="82">
                  <c:v>1.8017017738191463E-12</c:v>
                </c:pt>
                <c:pt idx="83">
                  <c:v>1.8017017738191463E-12</c:v>
                </c:pt>
                <c:pt idx="84">
                  <c:v>1.8017017738191463E-12</c:v>
                </c:pt>
                <c:pt idx="85">
                  <c:v>1.8017017738191463E-12</c:v>
                </c:pt>
                <c:pt idx="86">
                  <c:v>1.8017017738191463E-12</c:v>
                </c:pt>
                <c:pt idx="87">
                  <c:v>1.8017017738191463E-12</c:v>
                </c:pt>
                <c:pt idx="88">
                  <c:v>1.8017017738191463E-12</c:v>
                </c:pt>
                <c:pt idx="89">
                  <c:v>1.8017017738191463E-12</c:v>
                </c:pt>
                <c:pt idx="90">
                  <c:v>1.8017017738191463E-12</c:v>
                </c:pt>
                <c:pt idx="91">
                  <c:v>1.8017017738191463E-12</c:v>
                </c:pt>
                <c:pt idx="92">
                  <c:v>1.8017017738191463E-12</c:v>
                </c:pt>
                <c:pt idx="93">
                  <c:v>1.8017017738191463E-12</c:v>
                </c:pt>
                <c:pt idx="94">
                  <c:v>1.8017017738191463E-12</c:v>
                </c:pt>
                <c:pt idx="95">
                  <c:v>1.8017017738191463E-12</c:v>
                </c:pt>
                <c:pt idx="96">
                  <c:v>1.8017017738191463E-12</c:v>
                </c:pt>
                <c:pt idx="97">
                  <c:v>1.8017017738191463E-12</c:v>
                </c:pt>
                <c:pt idx="98">
                  <c:v>1.8017017738191463E-12</c:v>
                </c:pt>
                <c:pt idx="99">
                  <c:v>1.8017017738191463E-12</c:v>
                </c:pt>
                <c:pt idx="100">
                  <c:v>1.8017017738191463E-12</c:v>
                </c:pt>
                <c:pt idx="101">
                  <c:v>1.8017017738191463E-12</c:v>
                </c:pt>
                <c:pt idx="102">
                  <c:v>1.8017017738191463E-12</c:v>
                </c:pt>
                <c:pt idx="103">
                  <c:v>1.8017017738191463E-12</c:v>
                </c:pt>
                <c:pt idx="104">
                  <c:v>1.8017017738191463E-12</c:v>
                </c:pt>
                <c:pt idx="105">
                  <c:v>1.8017017738191463E-12</c:v>
                </c:pt>
                <c:pt idx="106">
                  <c:v>1.8017017738191463E-12</c:v>
                </c:pt>
                <c:pt idx="107">
                  <c:v>1.8017017738191463E-12</c:v>
                </c:pt>
                <c:pt idx="108">
                  <c:v>1.8017017738191463E-12</c:v>
                </c:pt>
                <c:pt idx="109">
                  <c:v>1.8017017738191463E-12</c:v>
                </c:pt>
                <c:pt idx="110">
                  <c:v>1.8017017738191463E-12</c:v>
                </c:pt>
                <c:pt idx="111">
                  <c:v>1.8017017738191463E-12</c:v>
                </c:pt>
                <c:pt idx="112">
                  <c:v>1.8017017738191463E-12</c:v>
                </c:pt>
                <c:pt idx="113">
                  <c:v>1.8017017738191463E-12</c:v>
                </c:pt>
                <c:pt idx="114">
                  <c:v>1.8017017738191463E-12</c:v>
                </c:pt>
                <c:pt idx="115">
                  <c:v>1.8017017738191463E-12</c:v>
                </c:pt>
                <c:pt idx="116">
                  <c:v>1.8017017738191463E-12</c:v>
                </c:pt>
                <c:pt idx="117">
                  <c:v>1.8017017738191463E-12</c:v>
                </c:pt>
                <c:pt idx="118">
                  <c:v>1.8017017738191463E-12</c:v>
                </c:pt>
                <c:pt idx="119">
                  <c:v>1.8017017738191463E-12</c:v>
                </c:pt>
                <c:pt idx="120">
                  <c:v>1.8017017738191463E-12</c:v>
                </c:pt>
                <c:pt idx="121">
                  <c:v>1.8017017738191463E-12</c:v>
                </c:pt>
                <c:pt idx="122">
                  <c:v>1.8017017738191463E-12</c:v>
                </c:pt>
                <c:pt idx="123">
                  <c:v>1.8017017738191463E-12</c:v>
                </c:pt>
                <c:pt idx="124">
                  <c:v>1.8017017738191463E-12</c:v>
                </c:pt>
                <c:pt idx="125">
                  <c:v>1.8017017738191463E-12</c:v>
                </c:pt>
                <c:pt idx="126">
                  <c:v>1.8017017738191463E-12</c:v>
                </c:pt>
                <c:pt idx="127">
                  <c:v>1.8017017738191463E-12</c:v>
                </c:pt>
                <c:pt idx="128">
                  <c:v>1.8017017738191463E-12</c:v>
                </c:pt>
                <c:pt idx="129">
                  <c:v>1.8017017738191463E-12</c:v>
                </c:pt>
                <c:pt idx="130">
                  <c:v>1.8017017738191463E-12</c:v>
                </c:pt>
                <c:pt idx="131">
                  <c:v>1.8017017738191463E-12</c:v>
                </c:pt>
                <c:pt idx="132">
                  <c:v>1.8017017738191463E-12</c:v>
                </c:pt>
                <c:pt idx="133">
                  <c:v>1.8017017738191463E-12</c:v>
                </c:pt>
                <c:pt idx="134">
                  <c:v>1.8017017738191463E-12</c:v>
                </c:pt>
                <c:pt idx="135">
                  <c:v>1.8017017738191463E-12</c:v>
                </c:pt>
                <c:pt idx="136">
                  <c:v>1.8017017738191463E-12</c:v>
                </c:pt>
                <c:pt idx="137">
                  <c:v>1.8017017738191463E-12</c:v>
                </c:pt>
                <c:pt idx="138">
                  <c:v>1.8017017738191463E-12</c:v>
                </c:pt>
                <c:pt idx="139">
                  <c:v>1.8017017738191463E-12</c:v>
                </c:pt>
                <c:pt idx="140">
                  <c:v>1.8017017738191463E-12</c:v>
                </c:pt>
                <c:pt idx="141">
                  <c:v>1.8017017738191463E-12</c:v>
                </c:pt>
                <c:pt idx="142">
                  <c:v>1.8017017738191463E-12</c:v>
                </c:pt>
                <c:pt idx="143">
                  <c:v>1.8017017738191463E-12</c:v>
                </c:pt>
                <c:pt idx="144">
                  <c:v>1.8017017738191463E-12</c:v>
                </c:pt>
                <c:pt idx="145">
                  <c:v>1.8017017738191463E-12</c:v>
                </c:pt>
                <c:pt idx="146">
                  <c:v>1.8017017738191463E-12</c:v>
                </c:pt>
                <c:pt idx="147">
                  <c:v>1.8017017738191463E-12</c:v>
                </c:pt>
                <c:pt idx="148">
                  <c:v>1.8017017738191463E-12</c:v>
                </c:pt>
                <c:pt idx="149">
                  <c:v>1.8017017738191463E-12</c:v>
                </c:pt>
                <c:pt idx="150">
                  <c:v>1.8017017738191463E-12</c:v>
                </c:pt>
                <c:pt idx="151">
                  <c:v>1.8017017738191463E-12</c:v>
                </c:pt>
                <c:pt idx="152">
                  <c:v>1.8017017738191463E-12</c:v>
                </c:pt>
                <c:pt idx="153">
                  <c:v>1.8017017738191463E-12</c:v>
                </c:pt>
                <c:pt idx="154">
                  <c:v>1.8017017738191463E-12</c:v>
                </c:pt>
                <c:pt idx="155">
                  <c:v>1.8017017738191463E-12</c:v>
                </c:pt>
                <c:pt idx="156">
                  <c:v>1.8017017738191463E-12</c:v>
                </c:pt>
                <c:pt idx="157">
                  <c:v>1.8017017738191463E-12</c:v>
                </c:pt>
                <c:pt idx="158">
                  <c:v>1.8017017738191463E-12</c:v>
                </c:pt>
                <c:pt idx="159">
                  <c:v>1.8017017738191463E-12</c:v>
                </c:pt>
                <c:pt idx="160">
                  <c:v>1.8017017738191463E-12</c:v>
                </c:pt>
                <c:pt idx="161">
                  <c:v>1.8017017738191463E-12</c:v>
                </c:pt>
                <c:pt idx="162">
                  <c:v>1.8017017738191463E-12</c:v>
                </c:pt>
                <c:pt idx="163">
                  <c:v>1.8017017738191463E-12</c:v>
                </c:pt>
                <c:pt idx="164">
                  <c:v>1.8017017738191463E-12</c:v>
                </c:pt>
                <c:pt idx="165">
                  <c:v>1.8017017738191463E-12</c:v>
                </c:pt>
                <c:pt idx="166">
                  <c:v>1.8017017738191463E-12</c:v>
                </c:pt>
                <c:pt idx="167">
                  <c:v>1.8017017738191463E-12</c:v>
                </c:pt>
                <c:pt idx="168">
                  <c:v>1.8017017738191463E-12</c:v>
                </c:pt>
                <c:pt idx="169">
                  <c:v>1.8017017738191463E-12</c:v>
                </c:pt>
                <c:pt idx="170">
                  <c:v>1.8017017738191463E-12</c:v>
                </c:pt>
                <c:pt idx="171">
                  <c:v>1.8017017738191463E-12</c:v>
                </c:pt>
                <c:pt idx="172">
                  <c:v>1.8017017738191463E-12</c:v>
                </c:pt>
                <c:pt idx="173">
                  <c:v>1.8017017738191463E-12</c:v>
                </c:pt>
                <c:pt idx="174">
                  <c:v>1.8017017738191463E-12</c:v>
                </c:pt>
                <c:pt idx="175">
                  <c:v>1.8017017738191463E-12</c:v>
                </c:pt>
                <c:pt idx="176">
                  <c:v>1.8017017738191463E-12</c:v>
                </c:pt>
                <c:pt idx="177">
                  <c:v>1.8017017738191463E-12</c:v>
                </c:pt>
                <c:pt idx="178">
                  <c:v>1.8017017738191463E-12</c:v>
                </c:pt>
                <c:pt idx="179">
                  <c:v>1.8017017738191463E-12</c:v>
                </c:pt>
                <c:pt idx="180">
                  <c:v>1.8017017738191463E-12</c:v>
                </c:pt>
                <c:pt idx="181">
                  <c:v>1.8017017738191463E-12</c:v>
                </c:pt>
                <c:pt idx="182">
                  <c:v>1.8017017738191463E-12</c:v>
                </c:pt>
                <c:pt idx="183">
                  <c:v>1.8017017738191463E-12</c:v>
                </c:pt>
                <c:pt idx="184">
                  <c:v>1.8017017738191463E-12</c:v>
                </c:pt>
                <c:pt idx="185">
                  <c:v>1.8017017738191463E-12</c:v>
                </c:pt>
                <c:pt idx="186">
                  <c:v>1.8017017738191463E-12</c:v>
                </c:pt>
                <c:pt idx="187">
                  <c:v>1.8017017738191463E-12</c:v>
                </c:pt>
                <c:pt idx="188">
                  <c:v>1.8017017738191463E-12</c:v>
                </c:pt>
                <c:pt idx="189">
                  <c:v>1.8017017738191463E-12</c:v>
                </c:pt>
                <c:pt idx="190">
                  <c:v>1.8017017738191463E-12</c:v>
                </c:pt>
                <c:pt idx="191">
                  <c:v>1.8017017738191463E-12</c:v>
                </c:pt>
                <c:pt idx="192">
                  <c:v>1.8017017738191463E-12</c:v>
                </c:pt>
                <c:pt idx="193">
                  <c:v>1.8017017738191463E-12</c:v>
                </c:pt>
                <c:pt idx="194">
                  <c:v>1.8017017738191463E-12</c:v>
                </c:pt>
                <c:pt idx="195">
                  <c:v>1.8017017738191463E-12</c:v>
                </c:pt>
                <c:pt idx="196">
                  <c:v>1.8017017738191463E-12</c:v>
                </c:pt>
                <c:pt idx="197">
                  <c:v>1.8017017738191463E-12</c:v>
                </c:pt>
                <c:pt idx="198">
                  <c:v>1.8017017738191463E-12</c:v>
                </c:pt>
                <c:pt idx="199">
                  <c:v>1.8017017738191463E-12</c:v>
                </c:pt>
                <c:pt idx="200">
                  <c:v>1.8017017738191463E-12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70" t="s">
        <v>291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2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2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2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2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2">
      <c r="B18" s="270" t="s">
        <v>292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2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2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2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2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2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2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2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2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2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2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2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2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2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18" sqref="C18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26.8</v>
      </c>
      <c r="D5" s="268" t="s">
        <v>229</v>
      </c>
      <c r="E5" s="269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18</v>
      </c>
      <c r="C9" s="32">
        <v>0.2313433</v>
      </c>
      <c r="D9" s="33">
        <f t="shared" ref="D9:D18" si="0">C9*$C$5</f>
        <v>6.2000004400000002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27</v>
      </c>
      <c r="C10" s="32">
        <v>0.2313433</v>
      </c>
      <c r="D10" s="33">
        <f t="shared" si="0"/>
        <v>6.2000004400000002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164</v>
      </c>
      <c r="C11" s="32">
        <v>0.2313433</v>
      </c>
      <c r="D11" s="33">
        <f t="shared" si="0"/>
        <v>6.2000004400000002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35</v>
      </c>
      <c r="C12" s="32">
        <v>0.2313433</v>
      </c>
      <c r="D12" s="33">
        <f t="shared" si="0"/>
        <v>6.2000004400000002</v>
      </c>
      <c r="E12" s="34">
        <v>65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23</v>
      </c>
      <c r="C13" s="32">
        <v>9.3284000000000006E-3</v>
      </c>
      <c r="D13" s="33">
        <f t="shared" si="0"/>
        <v>0.25000112000000002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22</v>
      </c>
      <c r="C14" s="32">
        <v>9.3284000000000006E-3</v>
      </c>
      <c r="D14" s="33">
        <f t="shared" si="0"/>
        <v>0.25000112000000002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47</v>
      </c>
      <c r="C15" s="32">
        <v>1.8656699999999998E-2</v>
      </c>
      <c r="D15" s="33">
        <f t="shared" si="0"/>
        <v>0.49999955999999995</v>
      </c>
      <c r="E15" s="34">
        <v>125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5</v>
      </c>
      <c r="C16" s="32">
        <v>1.8656699999999998E-2</v>
      </c>
      <c r="D16" s="33">
        <f t="shared" si="0"/>
        <v>0.49999955999999995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 t="s">
        <v>52</v>
      </c>
      <c r="C17" s="32">
        <v>1.8499999999999999E-2</v>
      </c>
      <c r="D17" s="33">
        <f t="shared" si="0"/>
        <v>0.49579999999999996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0.99984339999999994</v>
      </c>
      <c r="D19" s="38">
        <f>SUM(D9:D18)</f>
        <v>26.795803119999999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18</v>
      </c>
      <c r="B36" s="60">
        <v>182.89230769230767</v>
      </c>
      <c r="C36" s="60">
        <v>1</v>
      </c>
      <c r="D36" s="60">
        <v>69.284615384615378</v>
      </c>
      <c r="E36" s="51">
        <v>0</v>
      </c>
      <c r="F36" s="51">
        <v>0.2</v>
      </c>
      <c r="G36" s="51">
        <v>0.4</v>
      </c>
      <c r="H36" s="51">
        <v>0.4</v>
      </c>
      <c r="I36" s="49">
        <f>IFERROR(B36/A36,"")</f>
        <v>10.16068376068376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24</v>
      </c>
      <c r="B37" s="60">
        <v>237.56153846153845</v>
      </c>
      <c r="C37" s="60">
        <v>2</v>
      </c>
      <c r="D37" s="60">
        <v>42.661538461538463</v>
      </c>
      <c r="E37" s="51">
        <v>0</v>
      </c>
      <c r="F37" s="51">
        <v>0.4</v>
      </c>
      <c r="G37" s="51">
        <v>0.3</v>
      </c>
      <c r="H37" s="51">
        <v>0.3</v>
      </c>
      <c r="I37" s="53">
        <f t="shared" ref="I37:I55" si="1">IF(A37&lt;&gt;0,(B37-(B36-D36))/(A37-A36),"")</f>
        <v>20.658974358974358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331.86923076923074</v>
      </c>
      <c r="C38" s="60">
        <v>3</v>
      </c>
      <c r="D38" s="60">
        <v>65.669230769230765</v>
      </c>
      <c r="E38" s="51">
        <v>0.2</v>
      </c>
      <c r="F38" s="51">
        <v>0.4</v>
      </c>
      <c r="G38" s="51">
        <v>0.2</v>
      </c>
      <c r="H38" s="51">
        <v>0.2</v>
      </c>
      <c r="I38" s="53">
        <f t="shared" si="1"/>
        <v>22.828205128205127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36</v>
      </c>
      <c r="B39" s="60">
        <v>403.50769230769225</v>
      </c>
      <c r="C39" s="60">
        <v>4</v>
      </c>
      <c r="D39" s="60">
        <v>69.3</v>
      </c>
      <c r="E39" s="51" t="s">
        <v>325</v>
      </c>
      <c r="F39" s="51" t="s">
        <v>325</v>
      </c>
      <c r="G39" s="51" t="s">
        <v>325</v>
      </c>
      <c r="H39" s="51" t="s">
        <v>325</v>
      </c>
      <c r="I39" s="49">
        <f t="shared" si="1"/>
        <v>22.884615384615376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42</v>
      </c>
      <c r="B40" s="60">
        <v>468.72307692307692</v>
      </c>
      <c r="C40" s="60">
        <v>5</v>
      </c>
      <c r="D40" s="60">
        <v>73.392307692307682</v>
      </c>
      <c r="E40" s="51" t="s">
        <v>325</v>
      </c>
      <c r="F40" s="51" t="s">
        <v>325</v>
      </c>
      <c r="G40" s="51" t="s">
        <v>325</v>
      </c>
      <c r="H40" s="51" t="s">
        <v>325</v>
      </c>
      <c r="I40" s="49">
        <f t="shared" si="1"/>
        <v>22.419230769230779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48</v>
      </c>
      <c r="B41" s="60">
        <v>525.0846153846154</v>
      </c>
      <c r="C41" s="60">
        <v>6</v>
      </c>
      <c r="D41" s="60">
        <v>81.330769230769235</v>
      </c>
      <c r="E41" s="51" t="s">
        <v>325</v>
      </c>
      <c r="F41" s="51" t="s">
        <v>325</v>
      </c>
      <c r="G41" s="51" t="s">
        <v>325</v>
      </c>
      <c r="H41" s="51" t="s">
        <v>325</v>
      </c>
      <c r="I41" s="53">
        <f t="shared" si="1"/>
        <v>21.625641025641027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54</v>
      </c>
      <c r="B42" s="60">
        <v>566.79999999999995</v>
      </c>
      <c r="C42" s="60">
        <v>7</v>
      </c>
      <c r="D42" s="60">
        <v>566.79999999999995</v>
      </c>
      <c r="E42" s="51" t="s">
        <v>325</v>
      </c>
      <c r="F42" s="51" t="s">
        <v>325</v>
      </c>
      <c r="G42" s="51" t="s">
        <v>325</v>
      </c>
      <c r="H42" s="51" t="s">
        <v>325</v>
      </c>
      <c r="I42" s="53">
        <f t="shared" si="1"/>
        <v>20.507692307692299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18</v>
      </c>
      <c r="B62" s="60">
        <v>112</v>
      </c>
      <c r="C62" s="60">
        <v>1</v>
      </c>
      <c r="D62" s="60">
        <v>20</v>
      </c>
      <c r="E62" s="51">
        <v>0</v>
      </c>
      <c r="F62" s="51">
        <f>0.56</f>
        <v>0.56000000000000005</v>
      </c>
      <c r="G62" s="51">
        <f>0.44</f>
        <v>0.44</v>
      </c>
      <c r="H62" s="51">
        <v>0</v>
      </c>
      <c r="I62" s="53">
        <f>IFERROR(B62/A62,"")</f>
        <v>6.2222222222222223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21</v>
      </c>
      <c r="B63" s="60">
        <v>146</v>
      </c>
      <c r="C63" s="60">
        <v>2</v>
      </c>
      <c r="D63" s="60">
        <v>26</v>
      </c>
      <c r="E63" s="51">
        <v>0</v>
      </c>
      <c r="F63" s="51">
        <f>0.56</f>
        <v>0.56000000000000005</v>
      </c>
      <c r="G63" s="51">
        <v>0.44</v>
      </c>
      <c r="H63" s="51">
        <v>0</v>
      </c>
      <c r="I63" s="49">
        <f>IF(A63&lt;&gt;0,(B63-(B62-D62))/(A63-A62),"")</f>
        <v>18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24</v>
      </c>
      <c r="B64" s="60">
        <v>168</v>
      </c>
      <c r="C64" s="60">
        <v>3</v>
      </c>
      <c r="D64" s="60">
        <v>29</v>
      </c>
      <c r="E64" s="51">
        <v>0.7</v>
      </c>
      <c r="F64" s="51">
        <f>0.3*0.56</f>
        <v>0.16800000000000001</v>
      </c>
      <c r="G64" s="51">
        <f>0.3*0.44</f>
        <v>0.13200000000000001</v>
      </c>
      <c r="H64" s="51">
        <v>0</v>
      </c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30</v>
      </c>
      <c r="B65" s="60">
        <v>224</v>
      </c>
      <c r="C65" s="60">
        <v>4</v>
      </c>
      <c r="D65" s="60">
        <v>53</v>
      </c>
      <c r="E65" s="51">
        <v>0.7</v>
      </c>
      <c r="F65" s="51">
        <f t="shared" ref="F65:F69" si="2">0.3*0.56</f>
        <v>0.16800000000000001</v>
      </c>
      <c r="G65" s="51">
        <f t="shared" ref="G65:G69" si="3">0.3*0.44</f>
        <v>0.13200000000000001</v>
      </c>
      <c r="H65" s="51">
        <v>0</v>
      </c>
      <c r="I65" s="49">
        <f>IF(A65&lt;&gt;0,(B65-(B64-D64))/(A65-A64),"")</f>
        <v>14.166666666666666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36</v>
      </c>
      <c r="B66" s="60">
        <v>248</v>
      </c>
      <c r="C66" s="60">
        <v>5</v>
      </c>
      <c r="D66" s="60">
        <v>62</v>
      </c>
      <c r="E66" s="51">
        <v>0.7</v>
      </c>
      <c r="F66" s="51">
        <f t="shared" si="2"/>
        <v>0.16800000000000001</v>
      </c>
      <c r="G66" s="51">
        <f t="shared" si="3"/>
        <v>0.13200000000000001</v>
      </c>
      <c r="H66" s="51">
        <v>0</v>
      </c>
      <c r="I66" s="49">
        <f t="shared" ref="I66:I81" si="4">IF(A66&lt;&gt;0,(B66-(B65-D65))/(A66-A65),"")</f>
        <v>12.833333333333334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42</v>
      </c>
      <c r="B67" s="60">
        <v>255</v>
      </c>
      <c r="C67" s="60">
        <v>6</v>
      </c>
      <c r="D67" s="60">
        <v>67</v>
      </c>
      <c r="E67" s="51">
        <v>0.7</v>
      </c>
      <c r="F67" s="51">
        <f t="shared" si="2"/>
        <v>0.16800000000000001</v>
      </c>
      <c r="G67" s="51">
        <f t="shared" si="3"/>
        <v>0.13200000000000001</v>
      </c>
      <c r="H67" s="51">
        <v>0</v>
      </c>
      <c r="I67" s="49">
        <f t="shared" si="4"/>
        <v>11.5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48</v>
      </c>
      <c r="B68" s="60">
        <v>252</v>
      </c>
      <c r="C68" s="60">
        <v>7</v>
      </c>
      <c r="D68" s="60">
        <v>65</v>
      </c>
      <c r="E68" s="51">
        <v>0.7</v>
      </c>
      <c r="F68" s="51">
        <f t="shared" si="2"/>
        <v>0.16800000000000001</v>
      </c>
      <c r="G68" s="51">
        <f t="shared" si="3"/>
        <v>0.13200000000000001</v>
      </c>
      <c r="H68" s="51">
        <v>0</v>
      </c>
      <c r="I68" s="49">
        <f t="shared" si="4"/>
        <v>10.666666666666666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60</v>
      </c>
      <c r="B69" s="50">
        <v>304</v>
      </c>
      <c r="C69" s="50" t="s">
        <v>324</v>
      </c>
      <c r="D69" s="50">
        <v>304</v>
      </c>
      <c r="E69" s="51">
        <v>0.7</v>
      </c>
      <c r="F69" s="51">
        <f t="shared" si="2"/>
        <v>0.16800000000000001</v>
      </c>
      <c r="G69" s="51">
        <f t="shared" si="3"/>
        <v>0.13200000000000001</v>
      </c>
      <c r="H69" s="51">
        <v>0</v>
      </c>
      <c r="I69" s="49">
        <f t="shared" si="4"/>
        <v>9.75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4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4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4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4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4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4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4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4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4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4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4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4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20</v>
      </c>
      <c r="B88" s="60">
        <v>158</v>
      </c>
      <c r="C88" s="60">
        <v>1</v>
      </c>
      <c r="D88" s="60">
        <v>31.6</v>
      </c>
      <c r="E88" s="51">
        <v>0</v>
      </c>
      <c r="F88" s="51">
        <v>0.56000000000000005</v>
      </c>
      <c r="G88" s="51">
        <v>0.44</v>
      </c>
      <c r="H88" s="87">
        <v>0</v>
      </c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30</v>
      </c>
      <c r="B89" s="60">
        <v>218.4</v>
      </c>
      <c r="C89" s="60">
        <v>2</v>
      </c>
      <c r="D89" s="60">
        <v>43.680000000000007</v>
      </c>
      <c r="E89" s="51">
        <v>0.7</v>
      </c>
      <c r="F89" s="51">
        <v>0.16800000000000001</v>
      </c>
      <c r="G89" s="51">
        <v>0.13200000000000001</v>
      </c>
      <c r="H89" s="87">
        <v>0</v>
      </c>
      <c r="I89" s="53">
        <f t="shared" ref="I89:I107" si="5">IF(A89&lt;&gt;0,(B89-(B88-D88))/(A89-A88),"")</f>
        <v>9.1999999999999993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40</v>
      </c>
      <c r="B90" s="60">
        <v>274.72000000000003</v>
      </c>
      <c r="C90" s="60">
        <v>3</v>
      </c>
      <c r="D90" s="60">
        <v>54.94400000000001</v>
      </c>
      <c r="E90" s="87">
        <v>0.7</v>
      </c>
      <c r="F90" s="87">
        <v>0.16800000000000001</v>
      </c>
      <c r="G90" s="87">
        <v>0.13200000000000001</v>
      </c>
      <c r="H90" s="87">
        <v>0</v>
      </c>
      <c r="I90" s="53">
        <f t="shared" si="5"/>
        <v>10.000000000000004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50</v>
      </c>
      <c r="B91" s="60">
        <v>334.77600000000001</v>
      </c>
      <c r="C91" s="60">
        <v>4</v>
      </c>
      <c r="D91" s="60">
        <v>66.955200000000005</v>
      </c>
      <c r="E91" s="87">
        <v>0.7</v>
      </c>
      <c r="F91" s="87">
        <v>0.16800000000000001</v>
      </c>
      <c r="G91" s="87">
        <v>0.13200000000000001</v>
      </c>
      <c r="H91" s="87">
        <v>0</v>
      </c>
      <c r="I91" s="53">
        <f t="shared" si="5"/>
        <v>11.5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60</v>
      </c>
      <c r="B92" s="60">
        <v>402.82080000000002</v>
      </c>
      <c r="C92" s="60">
        <v>5</v>
      </c>
      <c r="D92" s="60">
        <v>80.564160000000015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5"/>
        <v>13.5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70</v>
      </c>
      <c r="B93" s="60">
        <v>477.25664</v>
      </c>
      <c r="C93" s="60">
        <v>6</v>
      </c>
      <c r="D93" s="60">
        <v>95.451328000000004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5"/>
        <v>15.5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80</v>
      </c>
      <c r="B94" s="60">
        <v>551.80531199999996</v>
      </c>
      <c r="C94" s="60">
        <v>7</v>
      </c>
      <c r="D94" s="60">
        <v>110.36106239999999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5"/>
        <v>16.999999999999993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90</v>
      </c>
      <c r="B95" s="60">
        <v>616.44424959999992</v>
      </c>
      <c r="C95" s="60">
        <v>8</v>
      </c>
      <c r="D95" s="60">
        <v>123.28884991999999</v>
      </c>
      <c r="E95" s="87">
        <v>0.7</v>
      </c>
      <c r="F95" s="87">
        <v>0.16800000000000001</v>
      </c>
      <c r="G95" s="87">
        <v>0.13200000000000001</v>
      </c>
      <c r="H95" s="87">
        <v>0</v>
      </c>
      <c r="I95" s="53">
        <f t="shared" si="5"/>
        <v>17.499999999999993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100</v>
      </c>
      <c r="B96" s="60">
        <v>678.15539967999996</v>
      </c>
      <c r="C96" s="60" t="s">
        <v>324</v>
      </c>
      <c r="D96" s="60">
        <v>678.15539967999996</v>
      </c>
      <c r="E96" s="87">
        <v>0.7</v>
      </c>
      <c r="F96" s="87">
        <v>0.16800000000000001</v>
      </c>
      <c r="G96" s="87">
        <v>0.13200000000000001</v>
      </c>
      <c r="H96" s="87">
        <v>0</v>
      </c>
      <c r="I96" s="53">
        <f t="shared" si="5"/>
        <v>18.5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5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5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5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5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5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5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5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5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5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17</v>
      </c>
      <c r="B114" s="60">
        <v>118</v>
      </c>
      <c r="C114" s="50">
        <v>1</v>
      </c>
      <c r="D114" s="60">
        <v>15</v>
      </c>
      <c r="E114" s="51">
        <v>0</v>
      </c>
      <c r="F114" s="51">
        <v>0.6</v>
      </c>
      <c r="G114" s="51">
        <v>0.4</v>
      </c>
      <c r="H114" s="51">
        <v>0</v>
      </c>
      <c r="I114" s="53">
        <f>IFERROR(B114/A114,"")</f>
        <v>6.9411764705882355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20</v>
      </c>
      <c r="B115" s="60">
        <v>137</v>
      </c>
      <c r="C115" s="50">
        <v>2</v>
      </c>
      <c r="D115" s="60">
        <v>15</v>
      </c>
      <c r="E115" s="51">
        <v>0</v>
      </c>
      <c r="F115" s="51">
        <v>0.6</v>
      </c>
      <c r="G115" s="51">
        <v>0.4</v>
      </c>
      <c r="H115" s="51">
        <v>0</v>
      </c>
      <c r="I115" s="53">
        <f t="shared" ref="I115:I133" si="6">IF(A115&lt;&gt;0,(B115-(B114-D114))/(A115-A114),"")</f>
        <v>11.333333333333334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25</v>
      </c>
      <c r="B116" s="60">
        <v>204</v>
      </c>
      <c r="C116" s="50">
        <v>3</v>
      </c>
      <c r="D116" s="60">
        <v>36</v>
      </c>
      <c r="E116" s="51">
        <v>0</v>
      </c>
      <c r="F116" s="51">
        <v>0.6</v>
      </c>
      <c r="G116" s="51">
        <v>0.4</v>
      </c>
      <c r="H116" s="51">
        <v>0</v>
      </c>
      <c r="I116" s="53">
        <f t="shared" si="6"/>
        <v>16.399999999999999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30</v>
      </c>
      <c r="B117" s="60">
        <v>256</v>
      </c>
      <c r="C117" s="50">
        <v>4</v>
      </c>
      <c r="D117" s="60">
        <v>54</v>
      </c>
      <c r="E117" s="51">
        <v>0</v>
      </c>
      <c r="F117" s="51">
        <v>0.6</v>
      </c>
      <c r="G117" s="51">
        <v>0.4</v>
      </c>
      <c r="H117" s="51">
        <v>0</v>
      </c>
      <c r="I117" s="53">
        <f t="shared" si="6"/>
        <v>17.600000000000001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35</v>
      </c>
      <c r="B118" s="60">
        <v>299</v>
      </c>
      <c r="C118" s="50">
        <v>5</v>
      </c>
      <c r="D118" s="60">
        <v>55</v>
      </c>
      <c r="E118" s="51">
        <v>0</v>
      </c>
      <c r="F118" s="51">
        <v>0.6</v>
      </c>
      <c r="G118" s="51">
        <v>0.4</v>
      </c>
      <c r="H118" s="51">
        <v>0</v>
      </c>
      <c r="I118" s="53">
        <f t="shared" si="6"/>
        <v>19.399999999999999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40</v>
      </c>
      <c r="B119" s="60">
        <v>332</v>
      </c>
      <c r="C119" s="50">
        <v>6</v>
      </c>
      <c r="D119" s="60">
        <v>48</v>
      </c>
      <c r="E119" s="51">
        <v>0</v>
      </c>
      <c r="F119" s="51">
        <v>0.6</v>
      </c>
      <c r="G119" s="51">
        <v>0.4</v>
      </c>
      <c r="H119" s="51">
        <v>0</v>
      </c>
      <c r="I119" s="53">
        <f t="shared" si="6"/>
        <v>17.600000000000001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45</v>
      </c>
      <c r="B120" s="60">
        <v>384</v>
      </c>
      <c r="C120" s="60">
        <v>7</v>
      </c>
      <c r="D120" s="60">
        <v>57</v>
      </c>
      <c r="E120" s="87">
        <v>0.2</v>
      </c>
      <c r="F120" s="87">
        <v>0.4</v>
      </c>
      <c r="G120" s="87">
        <v>0.4</v>
      </c>
      <c r="H120" s="87">
        <v>0</v>
      </c>
      <c r="I120" s="53">
        <f t="shared" si="6"/>
        <v>20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50</v>
      </c>
      <c r="B121" s="60">
        <v>414</v>
      </c>
      <c r="C121" s="60">
        <v>8</v>
      </c>
      <c r="D121" s="60">
        <v>47</v>
      </c>
      <c r="E121" s="87">
        <v>0.3</v>
      </c>
      <c r="F121" s="87">
        <v>0.4</v>
      </c>
      <c r="G121" s="87">
        <v>0.3</v>
      </c>
      <c r="H121" s="87">
        <v>0</v>
      </c>
      <c r="I121" s="53">
        <f t="shared" si="6"/>
        <v>17.399999999999999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55</v>
      </c>
      <c r="B122" s="60">
        <v>463</v>
      </c>
      <c r="C122" s="60">
        <v>9</v>
      </c>
      <c r="D122" s="60">
        <v>48</v>
      </c>
      <c r="E122" s="87">
        <v>0.3</v>
      </c>
      <c r="F122" s="87">
        <v>0.4</v>
      </c>
      <c r="G122" s="87">
        <v>0.3</v>
      </c>
      <c r="H122" s="87">
        <v>0</v>
      </c>
      <c r="I122" s="53">
        <f t="shared" si="6"/>
        <v>19.2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60</v>
      </c>
      <c r="B123" s="60">
        <v>500</v>
      </c>
      <c r="C123" s="60">
        <v>10</v>
      </c>
      <c r="D123" s="60">
        <v>32</v>
      </c>
      <c r="E123" s="87">
        <v>0.5</v>
      </c>
      <c r="F123" s="87">
        <v>0.3</v>
      </c>
      <c r="G123" s="87">
        <v>0.2</v>
      </c>
      <c r="H123" s="87">
        <v>0</v>
      </c>
      <c r="I123" s="53">
        <f t="shared" si="6"/>
        <v>17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65</v>
      </c>
      <c r="B124" s="60">
        <v>555</v>
      </c>
      <c r="C124" s="60" t="s">
        <v>324</v>
      </c>
      <c r="D124" s="60">
        <v>555</v>
      </c>
      <c r="E124" s="87">
        <v>0.5</v>
      </c>
      <c r="F124" s="87">
        <v>0.3</v>
      </c>
      <c r="G124" s="87">
        <v>0.2</v>
      </c>
      <c r="H124" s="87">
        <v>0</v>
      </c>
      <c r="I124" s="53">
        <f t="shared" si="6"/>
        <v>17.399999999999999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Erable sycomore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>
        <v>19</v>
      </c>
      <c r="C140" s="50">
        <v>0</v>
      </c>
      <c r="D140" s="60">
        <v>7</v>
      </c>
      <c r="E140" s="51">
        <v>0</v>
      </c>
      <c r="F140" s="51">
        <v>0</v>
      </c>
      <c r="G140" s="51">
        <v>0</v>
      </c>
      <c r="H140" s="51">
        <v>1</v>
      </c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15</v>
      </c>
      <c r="B141" s="60">
        <v>85</v>
      </c>
      <c r="C141" s="50">
        <v>0</v>
      </c>
      <c r="D141" s="60">
        <v>42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7">IF(A141&lt;&gt;0,(B141-(B140-D140))/(A141-A140),"")</f>
        <v>4.8666666666666663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20</v>
      </c>
      <c r="B142" s="60">
        <v>123</v>
      </c>
      <c r="C142" s="50">
        <v>0</v>
      </c>
      <c r="D142" s="60">
        <v>42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7"/>
        <v>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25</v>
      </c>
      <c r="B143" s="60">
        <v>165</v>
      </c>
      <c r="C143" s="50">
        <v>1</v>
      </c>
      <c r="D143" s="60">
        <v>42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7"/>
        <v>16.8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30</v>
      </c>
      <c r="B144" s="60">
        <v>205</v>
      </c>
      <c r="C144" s="50">
        <v>2</v>
      </c>
      <c r="D144" s="60">
        <v>42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7"/>
        <v>16.399999999999999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35</v>
      </c>
      <c r="B145" s="60">
        <v>239</v>
      </c>
      <c r="C145" s="50">
        <v>3</v>
      </c>
      <c r="D145" s="60">
        <v>42</v>
      </c>
      <c r="E145" s="51">
        <v>0</v>
      </c>
      <c r="F145" s="51">
        <v>0</v>
      </c>
      <c r="G145" s="51">
        <v>0</v>
      </c>
      <c r="H145" s="51">
        <v>1</v>
      </c>
      <c r="I145" s="57">
        <f t="shared" si="7"/>
        <v>15.2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40</v>
      </c>
      <c r="B146" s="60">
        <v>263</v>
      </c>
      <c r="C146" s="50">
        <v>4</v>
      </c>
      <c r="D146" s="60">
        <v>40</v>
      </c>
      <c r="E146" s="51">
        <v>0.25</v>
      </c>
      <c r="F146" s="51">
        <v>0</v>
      </c>
      <c r="G146" s="51">
        <v>0</v>
      </c>
      <c r="H146" s="51">
        <v>0.75</v>
      </c>
      <c r="I146" s="57">
        <f t="shared" si="7"/>
        <v>13.2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45</v>
      </c>
      <c r="B147" s="60">
        <v>280</v>
      </c>
      <c r="C147" s="50">
        <v>5</v>
      </c>
      <c r="D147" s="60">
        <v>26</v>
      </c>
      <c r="E147" s="51">
        <v>0.3</v>
      </c>
      <c r="F147" s="51">
        <v>0</v>
      </c>
      <c r="G147" s="51">
        <v>0</v>
      </c>
      <c r="H147" s="51">
        <v>0.7</v>
      </c>
      <c r="I147" s="57">
        <f>IF(A147&lt;&gt;0,(B147-(B146-D146))/(A147-A146),"")</f>
        <v>11.4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50</v>
      </c>
      <c r="B148" s="60">
        <v>303</v>
      </c>
      <c r="C148" s="50">
        <v>6</v>
      </c>
      <c r="D148" s="60">
        <v>21</v>
      </c>
      <c r="E148" s="51">
        <v>0.35</v>
      </c>
      <c r="F148" s="51">
        <v>0</v>
      </c>
      <c r="G148" s="51">
        <v>0</v>
      </c>
      <c r="H148" s="51">
        <v>0.65</v>
      </c>
      <c r="I148" s="57">
        <f t="shared" si="7"/>
        <v>9.8000000000000007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55</v>
      </c>
      <c r="B149" s="60">
        <v>324</v>
      </c>
      <c r="C149" s="50">
        <v>7</v>
      </c>
      <c r="D149" s="60">
        <v>18</v>
      </c>
      <c r="E149" s="51">
        <v>0.35</v>
      </c>
      <c r="F149" s="51">
        <v>0</v>
      </c>
      <c r="G149" s="51">
        <v>0</v>
      </c>
      <c r="H149" s="51">
        <v>0.65</v>
      </c>
      <c r="I149" s="57">
        <f t="shared" si="7"/>
        <v>8.4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60</v>
      </c>
      <c r="B150" s="60">
        <v>343</v>
      </c>
      <c r="C150" s="50">
        <v>8</v>
      </c>
      <c r="D150" s="60">
        <v>17</v>
      </c>
      <c r="E150" s="51">
        <v>0.4</v>
      </c>
      <c r="F150" s="51">
        <v>0</v>
      </c>
      <c r="G150" s="51">
        <v>0</v>
      </c>
      <c r="H150" s="51">
        <v>0.6</v>
      </c>
      <c r="I150" s="57">
        <f t="shared" si="7"/>
        <v>7.4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65</v>
      </c>
      <c r="B151" s="60">
        <v>356</v>
      </c>
      <c r="C151" s="50">
        <v>9</v>
      </c>
      <c r="D151" s="60">
        <v>16</v>
      </c>
      <c r="E151" s="51">
        <v>0.45</v>
      </c>
      <c r="F151" s="51">
        <v>0</v>
      </c>
      <c r="G151" s="51">
        <v>0</v>
      </c>
      <c r="H151" s="51">
        <v>0.55000000000000004</v>
      </c>
      <c r="I151" s="57">
        <f t="shared" si="7"/>
        <v>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70</v>
      </c>
      <c r="B152" s="60">
        <v>366</v>
      </c>
      <c r="C152" s="50">
        <v>10</v>
      </c>
      <c r="D152" s="60">
        <v>15</v>
      </c>
      <c r="E152" s="54">
        <v>0.45</v>
      </c>
      <c r="F152" s="54">
        <v>0</v>
      </c>
      <c r="G152" s="54">
        <v>0</v>
      </c>
      <c r="H152" s="54">
        <v>0.55000000000000004</v>
      </c>
      <c r="I152" s="57">
        <f t="shared" si="7"/>
        <v>5.2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75</v>
      </c>
      <c r="B153" s="60">
        <v>375</v>
      </c>
      <c r="C153" s="50">
        <v>11</v>
      </c>
      <c r="D153" s="60">
        <v>14</v>
      </c>
      <c r="E153" s="54">
        <v>0.5</v>
      </c>
      <c r="F153" s="54">
        <v>0</v>
      </c>
      <c r="G153" s="54">
        <v>0</v>
      </c>
      <c r="H153" s="54">
        <v>0.5</v>
      </c>
      <c r="I153" s="57">
        <f t="shared" si="7"/>
        <v>4.8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>
        <v>80</v>
      </c>
      <c r="B154" s="56">
        <v>381</v>
      </c>
      <c r="C154" s="50" t="s">
        <v>324</v>
      </c>
      <c r="D154" s="50">
        <v>381</v>
      </c>
      <c r="E154" s="54">
        <v>0.7</v>
      </c>
      <c r="F154" s="54">
        <v>0</v>
      </c>
      <c r="G154" s="54">
        <v>0</v>
      </c>
      <c r="H154" s="54">
        <v>0.30000000000000004</v>
      </c>
      <c r="I154" s="57">
        <f t="shared" si="7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Erable plane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>
        <v>19</v>
      </c>
      <c r="C166" s="60">
        <v>0</v>
      </c>
      <c r="D166" s="60">
        <v>7</v>
      </c>
      <c r="E166" s="51">
        <v>0</v>
      </c>
      <c r="F166" s="51">
        <v>0</v>
      </c>
      <c r="G166" s="51">
        <v>0</v>
      </c>
      <c r="H166" s="51">
        <v>1</v>
      </c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15</v>
      </c>
      <c r="B167" s="60">
        <v>85</v>
      </c>
      <c r="C167" s="60">
        <v>0</v>
      </c>
      <c r="D167" s="60">
        <v>42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8">IF(A167&lt;&gt;0,(B167-(B166-D166))/(A167-A166),"")</f>
        <v>4.8666666666666663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20</v>
      </c>
      <c r="B168" s="60">
        <v>123</v>
      </c>
      <c r="C168" s="60">
        <v>0</v>
      </c>
      <c r="D168" s="60">
        <v>42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8"/>
        <v>16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25</v>
      </c>
      <c r="B169" s="60">
        <v>165</v>
      </c>
      <c r="C169" s="60">
        <v>1</v>
      </c>
      <c r="D169" s="60">
        <v>42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8"/>
        <v>16.8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30</v>
      </c>
      <c r="B170" s="60">
        <v>205</v>
      </c>
      <c r="C170" s="60">
        <v>2</v>
      </c>
      <c r="D170" s="60">
        <v>42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8"/>
        <v>16.399999999999999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35</v>
      </c>
      <c r="B171" s="60">
        <v>239</v>
      </c>
      <c r="C171" s="60">
        <v>3</v>
      </c>
      <c r="D171" s="60">
        <v>42</v>
      </c>
      <c r="E171" s="51">
        <v>0</v>
      </c>
      <c r="F171" s="51">
        <v>0</v>
      </c>
      <c r="G171" s="51">
        <v>0</v>
      </c>
      <c r="H171" s="51">
        <v>1</v>
      </c>
      <c r="I171" s="49">
        <f t="shared" si="8"/>
        <v>15.2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40</v>
      </c>
      <c r="B172" s="60">
        <v>263</v>
      </c>
      <c r="C172" s="60">
        <v>4</v>
      </c>
      <c r="D172" s="60">
        <v>40</v>
      </c>
      <c r="E172" s="51">
        <v>0.25</v>
      </c>
      <c r="F172" s="51">
        <v>0</v>
      </c>
      <c r="G172" s="51">
        <v>0</v>
      </c>
      <c r="H172" s="51">
        <v>0.75</v>
      </c>
      <c r="I172" s="49">
        <f t="shared" si="8"/>
        <v>13.2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45</v>
      </c>
      <c r="B173" s="50">
        <v>280</v>
      </c>
      <c r="C173" s="50">
        <v>5</v>
      </c>
      <c r="D173" s="50">
        <v>26</v>
      </c>
      <c r="E173" s="51">
        <v>0.3</v>
      </c>
      <c r="F173" s="51">
        <v>0</v>
      </c>
      <c r="G173" s="51">
        <v>0</v>
      </c>
      <c r="H173" s="51">
        <v>0.7</v>
      </c>
      <c r="I173" s="49">
        <f t="shared" si="8"/>
        <v>11.4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50</v>
      </c>
      <c r="B174" s="50">
        <v>303</v>
      </c>
      <c r="C174" s="50">
        <v>6</v>
      </c>
      <c r="D174" s="50">
        <v>21</v>
      </c>
      <c r="E174" s="51">
        <v>0.35</v>
      </c>
      <c r="F174" s="51">
        <v>0</v>
      </c>
      <c r="G174" s="51">
        <v>0</v>
      </c>
      <c r="H174" s="51">
        <v>0.65</v>
      </c>
      <c r="I174" s="49">
        <f t="shared" si="8"/>
        <v>9.8000000000000007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55</v>
      </c>
      <c r="B175" s="50">
        <v>324</v>
      </c>
      <c r="C175" s="50">
        <v>7</v>
      </c>
      <c r="D175" s="50">
        <v>18</v>
      </c>
      <c r="E175" s="51">
        <v>0.35</v>
      </c>
      <c r="F175" s="51">
        <v>0</v>
      </c>
      <c r="G175" s="51">
        <v>0</v>
      </c>
      <c r="H175" s="51">
        <v>0.65</v>
      </c>
      <c r="I175" s="49">
        <f t="shared" si="8"/>
        <v>8.4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60</v>
      </c>
      <c r="B176" s="50">
        <v>343</v>
      </c>
      <c r="C176" s="50">
        <v>8</v>
      </c>
      <c r="D176" s="50">
        <v>17</v>
      </c>
      <c r="E176" s="51">
        <v>0.4</v>
      </c>
      <c r="F176" s="51">
        <v>0</v>
      </c>
      <c r="G176" s="51">
        <v>0</v>
      </c>
      <c r="H176" s="51">
        <v>0.6</v>
      </c>
      <c r="I176" s="49">
        <f t="shared" si="8"/>
        <v>7.4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65</v>
      </c>
      <c r="B177" s="50">
        <v>356</v>
      </c>
      <c r="C177" s="50">
        <v>9</v>
      </c>
      <c r="D177" s="50">
        <v>16</v>
      </c>
      <c r="E177" s="51">
        <v>0.45</v>
      </c>
      <c r="F177" s="51">
        <v>0</v>
      </c>
      <c r="G177" s="51">
        <v>0</v>
      </c>
      <c r="H177" s="51">
        <v>0.55000000000000004</v>
      </c>
      <c r="I177" s="49">
        <f t="shared" si="8"/>
        <v>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>
        <v>70</v>
      </c>
      <c r="B178" s="50">
        <v>366</v>
      </c>
      <c r="C178" s="50">
        <v>10</v>
      </c>
      <c r="D178" s="50">
        <v>15</v>
      </c>
      <c r="E178" s="51">
        <v>0.45</v>
      </c>
      <c r="F178" s="51">
        <v>0</v>
      </c>
      <c r="G178" s="51">
        <v>0</v>
      </c>
      <c r="H178" s="51">
        <v>0.55000000000000004</v>
      </c>
      <c r="I178" s="49">
        <f t="shared" si="8"/>
        <v>5.2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>
        <v>75</v>
      </c>
      <c r="B179" s="50">
        <v>375</v>
      </c>
      <c r="C179" s="50">
        <v>11</v>
      </c>
      <c r="D179" s="50">
        <v>14</v>
      </c>
      <c r="E179" s="51">
        <v>0.5</v>
      </c>
      <c r="F179" s="51">
        <v>0</v>
      </c>
      <c r="G179" s="51">
        <v>0</v>
      </c>
      <c r="H179" s="51">
        <v>0.5</v>
      </c>
      <c r="I179" s="49">
        <f t="shared" si="8"/>
        <v>4.8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>
        <v>80</v>
      </c>
      <c r="B180" s="50">
        <v>381</v>
      </c>
      <c r="C180" s="50" t="s">
        <v>324</v>
      </c>
      <c r="D180" s="50">
        <v>381</v>
      </c>
      <c r="E180" s="51">
        <v>0.7</v>
      </c>
      <c r="F180" s="51">
        <v>0</v>
      </c>
      <c r="G180" s="51">
        <v>0</v>
      </c>
      <c r="H180" s="51">
        <v>0.30000000000000004</v>
      </c>
      <c r="I180" s="49">
        <f t="shared" si="8"/>
        <v>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Sapin méditerranéen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30</v>
      </c>
      <c r="B192" s="60">
        <v>142.36923076923077</v>
      </c>
      <c r="C192" s="60">
        <v>0</v>
      </c>
      <c r="D192" s="60">
        <v>0</v>
      </c>
      <c r="E192" s="51">
        <v>0</v>
      </c>
      <c r="F192" s="51">
        <v>0</v>
      </c>
      <c r="G192" s="51">
        <v>0</v>
      </c>
      <c r="H192" s="51">
        <v>0</v>
      </c>
      <c r="I192" s="49">
        <f>IFERROR(B192/A192,"")</f>
        <v>4.7456410256410253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45</v>
      </c>
      <c r="B193" s="60">
        <v>343.52307692307687</v>
      </c>
      <c r="C193" s="60">
        <v>1</v>
      </c>
      <c r="D193" s="60">
        <v>146.27692307692308</v>
      </c>
      <c r="E193" s="51"/>
      <c r="F193" s="51"/>
      <c r="G193" s="51"/>
      <c r="H193" s="51"/>
      <c r="I193" s="49">
        <f t="shared" ref="I193:I211" si="9">IF(A193&lt;&gt;0,(B193-(B192-D192))/(A193-A192),"")</f>
        <v>13.410256410256407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52</v>
      </c>
      <c r="B194" s="60">
        <v>330.1307692307692</v>
      </c>
      <c r="C194" s="60">
        <v>2</v>
      </c>
      <c r="D194" s="60">
        <v>75.523076923076928</v>
      </c>
      <c r="E194" s="51"/>
      <c r="F194" s="51"/>
      <c r="G194" s="51"/>
      <c r="H194" s="51"/>
      <c r="I194" s="49">
        <f t="shared" si="9"/>
        <v>18.983516483516489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59</v>
      </c>
      <c r="B195" s="60">
        <v>380.79230769230765</v>
      </c>
      <c r="C195" s="60">
        <v>3</v>
      </c>
      <c r="D195" s="60">
        <v>93.91538461538461</v>
      </c>
      <c r="E195" s="51"/>
      <c r="F195" s="51"/>
      <c r="G195" s="51"/>
      <c r="H195" s="51"/>
      <c r="I195" s="49">
        <f t="shared" si="9"/>
        <v>18.026373626373623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63</v>
      </c>
      <c r="B196" s="60">
        <v>353.98461538461538</v>
      </c>
      <c r="C196" s="60">
        <v>0</v>
      </c>
      <c r="D196" s="60">
        <v>0</v>
      </c>
      <c r="E196" s="51"/>
      <c r="F196" s="51"/>
      <c r="G196" s="51"/>
      <c r="H196" s="51"/>
      <c r="I196" s="49">
        <f t="shared" si="9"/>
        <v>16.776923076923083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67</v>
      </c>
      <c r="B197" s="60">
        <v>422.06153846153842</v>
      </c>
      <c r="C197" s="60">
        <v>4</v>
      </c>
      <c r="D197" s="60">
        <v>92.107692307692304</v>
      </c>
      <c r="E197" s="51"/>
      <c r="F197" s="51"/>
      <c r="G197" s="51"/>
      <c r="H197" s="51"/>
      <c r="I197" s="49">
        <f t="shared" si="9"/>
        <v>17.019230769230759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72</v>
      </c>
      <c r="B198" s="60">
        <v>407.95384615384614</v>
      </c>
      <c r="C198" s="60">
        <v>0</v>
      </c>
      <c r="D198" s="60">
        <v>0</v>
      </c>
      <c r="E198" s="51"/>
      <c r="F198" s="51"/>
      <c r="G198" s="51"/>
      <c r="H198" s="51"/>
      <c r="I198" s="49">
        <f t="shared" si="9"/>
        <v>15.6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>
        <v>75</v>
      </c>
      <c r="B199" s="50">
        <v>454.60769230769228</v>
      </c>
      <c r="C199" s="50">
        <v>5</v>
      </c>
      <c r="D199" s="50">
        <v>86.946153846153848</v>
      </c>
      <c r="E199" s="51"/>
      <c r="F199" s="51"/>
      <c r="G199" s="51"/>
      <c r="H199" s="51"/>
      <c r="I199" s="49">
        <f t="shared" si="9"/>
        <v>15.551282051282044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>
        <v>81</v>
      </c>
      <c r="B200" s="50">
        <v>453.13076923076926</v>
      </c>
      <c r="C200" s="50">
        <v>0</v>
      </c>
      <c r="D200" s="50">
        <v>0</v>
      </c>
      <c r="E200" s="51"/>
      <c r="F200" s="51"/>
      <c r="G200" s="51"/>
      <c r="H200" s="51"/>
      <c r="I200" s="49">
        <f t="shared" si="9"/>
        <v>14.244871794871804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>
        <v>83</v>
      </c>
      <c r="B201" s="50">
        <v>481.23846153846154</v>
      </c>
      <c r="C201" s="50">
        <v>6</v>
      </c>
      <c r="D201" s="50">
        <v>91.153846153846146</v>
      </c>
      <c r="E201" s="51"/>
      <c r="F201" s="51"/>
      <c r="G201" s="51"/>
      <c r="H201" s="51"/>
      <c r="I201" s="49">
        <f t="shared" si="9"/>
        <v>14.053846153846138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>
        <v>85</v>
      </c>
      <c r="B202" s="50">
        <v>415.88461538461536</v>
      </c>
      <c r="C202" s="50">
        <v>0</v>
      </c>
      <c r="D202" s="50">
        <v>0</v>
      </c>
      <c r="E202" s="51"/>
      <c r="F202" s="51"/>
      <c r="G202" s="51"/>
      <c r="H202" s="51"/>
      <c r="I202" s="49">
        <f t="shared" si="9"/>
        <v>12.899999999999977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>
        <v>91</v>
      </c>
      <c r="B203" s="50">
        <v>491.62307692307689</v>
      </c>
      <c r="C203" s="50">
        <v>7</v>
      </c>
      <c r="D203" s="50">
        <v>87.884615384615387</v>
      </c>
      <c r="E203" s="51"/>
      <c r="F203" s="51"/>
      <c r="G203" s="51"/>
      <c r="H203" s="51"/>
      <c r="I203" s="49">
        <f t="shared" si="9"/>
        <v>12.623076923076923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>
        <v>94</v>
      </c>
      <c r="B204" s="50">
        <v>438.37692307692305</v>
      </c>
      <c r="C204" s="50">
        <v>0</v>
      </c>
      <c r="D204" s="50">
        <v>0</v>
      </c>
      <c r="E204" s="51"/>
      <c r="F204" s="51"/>
      <c r="G204" s="51"/>
      <c r="H204" s="51"/>
      <c r="I204" s="49">
        <f t="shared" si="9"/>
        <v>11.546153846153857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>
        <v>99</v>
      </c>
      <c r="B205" s="50">
        <v>494.49230769230769</v>
      </c>
      <c r="C205" s="50">
        <v>8</v>
      </c>
      <c r="D205" s="50">
        <v>69.692307692307679</v>
      </c>
      <c r="E205" s="51"/>
      <c r="F205" s="51"/>
      <c r="G205" s="51"/>
      <c r="H205" s="51"/>
      <c r="I205" s="49">
        <f t="shared" si="9"/>
        <v>11.223076923076928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>
        <v>103</v>
      </c>
      <c r="B206" s="50">
        <v>466.39230769230761</v>
      </c>
      <c r="C206" s="50">
        <v>0</v>
      </c>
      <c r="D206" s="50">
        <v>0</v>
      </c>
      <c r="E206" s="51"/>
      <c r="F206" s="51"/>
      <c r="G206" s="51"/>
      <c r="H206" s="51"/>
      <c r="I206" s="49">
        <f t="shared" si="9"/>
        <v>10.3980769230769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>
        <v>107</v>
      </c>
      <c r="B207" s="50">
        <v>506.76923076923072</v>
      </c>
      <c r="C207" s="50">
        <v>9</v>
      </c>
      <c r="D207" s="50">
        <v>76.292307692307702</v>
      </c>
      <c r="E207" s="51"/>
      <c r="F207" s="51"/>
      <c r="G207" s="51"/>
      <c r="H207" s="51"/>
      <c r="I207" s="49">
        <f t="shared" si="9"/>
        <v>10.094230769230776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>
        <v>112</v>
      </c>
      <c r="B208" s="50">
        <v>477.06153846153842</v>
      </c>
      <c r="C208" s="50">
        <v>0</v>
      </c>
      <c r="D208" s="50">
        <v>0</v>
      </c>
      <c r="E208" s="51"/>
      <c r="F208" s="51"/>
      <c r="G208" s="51"/>
      <c r="H208" s="51"/>
      <c r="I208" s="49">
        <f t="shared" si="9"/>
        <v>9.3169230769230804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>
        <v>116</v>
      </c>
      <c r="B209" s="50">
        <v>512.93846153846152</v>
      </c>
      <c r="C209" s="50">
        <v>10</v>
      </c>
      <c r="D209" s="50">
        <v>78.146153846153851</v>
      </c>
      <c r="E209" s="51"/>
      <c r="F209" s="51"/>
      <c r="G209" s="51"/>
      <c r="H209" s="51"/>
      <c r="I209" s="49">
        <f t="shared" si="9"/>
        <v>8.9692307692307764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>
        <v>121</v>
      </c>
      <c r="B210" s="50">
        <v>475.82307692307694</v>
      </c>
      <c r="C210" s="50">
        <v>0</v>
      </c>
      <c r="D210" s="50">
        <v>0</v>
      </c>
      <c r="E210" s="51"/>
      <c r="F210" s="51"/>
      <c r="G210" s="51"/>
      <c r="H210" s="51"/>
      <c r="I210" s="49">
        <f t="shared" si="9"/>
        <v>8.2061538461538586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>
        <v>125</v>
      </c>
      <c r="B211" s="50">
        <v>507.55384615384617</v>
      </c>
      <c r="C211" s="50">
        <v>11</v>
      </c>
      <c r="D211" s="50">
        <v>66.315384615384602</v>
      </c>
      <c r="E211" s="51"/>
      <c r="F211" s="51"/>
      <c r="G211" s="51"/>
      <c r="H211" s="51"/>
      <c r="I211" s="49">
        <f t="shared" si="9"/>
        <v>7.9326923076923066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Bouleau verruqueux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15</v>
      </c>
      <c r="B218" s="60">
        <v>22</v>
      </c>
      <c r="C218" s="50">
        <v>0</v>
      </c>
      <c r="D218" s="60">
        <v>15</v>
      </c>
      <c r="E218" s="63">
        <v>0</v>
      </c>
      <c r="F218" s="63">
        <v>0</v>
      </c>
      <c r="G218" s="63">
        <v>0</v>
      </c>
      <c r="H218" s="63">
        <v>1</v>
      </c>
      <c r="I218" s="53">
        <f>IFERROR(B218/A218,"")</f>
        <v>1.4666666666666666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20</v>
      </c>
      <c r="B219" s="60">
        <v>52</v>
      </c>
      <c r="C219" s="50">
        <v>1</v>
      </c>
      <c r="D219" s="60">
        <v>28</v>
      </c>
      <c r="E219" s="63">
        <v>0</v>
      </c>
      <c r="F219" s="63">
        <v>0</v>
      </c>
      <c r="G219" s="63">
        <v>0</v>
      </c>
      <c r="H219" s="63">
        <v>1</v>
      </c>
      <c r="I219" s="53">
        <f t="shared" ref="I219:I237" si="10">IF(A219&lt;&gt;0,(B219-(B218-D218))/(A219-A218),"")</f>
        <v>9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25</v>
      </c>
      <c r="B220" s="60">
        <v>87</v>
      </c>
      <c r="C220" s="50">
        <v>2</v>
      </c>
      <c r="D220" s="60">
        <v>28</v>
      </c>
      <c r="E220" s="63">
        <v>0</v>
      </c>
      <c r="F220" s="63">
        <v>0</v>
      </c>
      <c r="G220" s="63">
        <v>0</v>
      </c>
      <c r="H220" s="63">
        <v>1</v>
      </c>
      <c r="I220" s="53">
        <f t="shared" si="10"/>
        <v>12.6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>
        <v>30</v>
      </c>
      <c r="B221" s="55">
        <v>118</v>
      </c>
      <c r="C221" s="55">
        <v>3</v>
      </c>
      <c r="D221" s="55">
        <v>28</v>
      </c>
      <c r="E221" s="63">
        <v>0</v>
      </c>
      <c r="F221" s="63">
        <v>0</v>
      </c>
      <c r="G221" s="63">
        <v>0</v>
      </c>
      <c r="H221" s="63">
        <v>1</v>
      </c>
      <c r="I221" s="53">
        <f t="shared" si="10"/>
        <v>11.8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>
        <v>35</v>
      </c>
      <c r="B222" s="55">
        <v>144</v>
      </c>
      <c r="C222" s="55">
        <v>4</v>
      </c>
      <c r="D222" s="55">
        <v>28</v>
      </c>
      <c r="E222" s="63">
        <v>0.3</v>
      </c>
      <c r="F222" s="63">
        <v>0</v>
      </c>
      <c r="G222" s="63">
        <v>0.4</v>
      </c>
      <c r="H222" s="63">
        <v>0.3</v>
      </c>
      <c r="I222" s="53">
        <f t="shared" si="10"/>
        <v>10.8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>
        <v>40</v>
      </c>
      <c r="B223" s="55">
        <v>164</v>
      </c>
      <c r="C223" s="55">
        <v>5</v>
      </c>
      <c r="D223" s="55">
        <v>28</v>
      </c>
      <c r="E223" s="63">
        <v>0.3</v>
      </c>
      <c r="F223" s="63">
        <v>0</v>
      </c>
      <c r="G223" s="63">
        <v>0.4</v>
      </c>
      <c r="H223" s="63">
        <v>0.3</v>
      </c>
      <c r="I223" s="53">
        <f t="shared" si="10"/>
        <v>9.6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>
        <v>45</v>
      </c>
      <c r="B224" s="55">
        <v>183</v>
      </c>
      <c r="C224" s="55">
        <v>6</v>
      </c>
      <c r="D224" s="55">
        <v>22</v>
      </c>
      <c r="E224" s="63">
        <v>0.3</v>
      </c>
      <c r="F224" s="63">
        <v>0</v>
      </c>
      <c r="G224" s="63">
        <v>0.4</v>
      </c>
      <c r="H224" s="63">
        <v>0.3</v>
      </c>
      <c r="I224" s="53">
        <f t="shared" si="10"/>
        <v>9.4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>
        <v>50</v>
      </c>
      <c r="B225" s="55">
        <v>202</v>
      </c>
      <c r="C225" s="55">
        <v>7</v>
      </c>
      <c r="D225" s="55">
        <v>17</v>
      </c>
      <c r="E225" s="63">
        <v>0.3</v>
      </c>
      <c r="F225" s="63">
        <v>0</v>
      </c>
      <c r="G225" s="63">
        <v>0.4</v>
      </c>
      <c r="H225" s="63">
        <v>0.3</v>
      </c>
      <c r="I225" s="53">
        <f t="shared" si="10"/>
        <v>8.1999999999999993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>
        <v>55</v>
      </c>
      <c r="B226" s="55">
        <v>219</v>
      </c>
      <c r="C226" s="55">
        <v>8</v>
      </c>
      <c r="D226" s="55">
        <v>13</v>
      </c>
      <c r="E226" s="63">
        <v>0.5</v>
      </c>
      <c r="F226" s="63">
        <v>0</v>
      </c>
      <c r="G226" s="63">
        <v>0.3</v>
      </c>
      <c r="H226" s="63">
        <v>0.2</v>
      </c>
      <c r="I226" s="53">
        <f t="shared" si="10"/>
        <v>6.8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>
        <v>60</v>
      </c>
      <c r="B227" s="55">
        <v>233</v>
      </c>
      <c r="C227" s="55">
        <v>9</v>
      </c>
      <c r="D227" s="55">
        <v>12</v>
      </c>
      <c r="E227" s="63">
        <v>0.5</v>
      </c>
      <c r="F227" s="63">
        <v>0</v>
      </c>
      <c r="G227" s="63">
        <v>0.3</v>
      </c>
      <c r="H227" s="63">
        <v>0.2</v>
      </c>
      <c r="I227" s="53">
        <f t="shared" si="10"/>
        <v>5.4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>
        <v>65</v>
      </c>
      <c r="B228" s="55">
        <v>244</v>
      </c>
      <c r="C228" s="55">
        <v>10</v>
      </c>
      <c r="D228" s="55">
        <v>11</v>
      </c>
      <c r="E228" s="63">
        <v>0.5</v>
      </c>
      <c r="F228" s="63">
        <v>0</v>
      </c>
      <c r="G228" s="63">
        <v>0.3</v>
      </c>
      <c r="H228" s="63">
        <v>0.2</v>
      </c>
      <c r="I228" s="53">
        <f t="shared" si="10"/>
        <v>4.5999999999999996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>
        <v>70</v>
      </c>
      <c r="B229" s="55">
        <v>253</v>
      </c>
      <c r="C229" s="55">
        <v>11</v>
      </c>
      <c r="D229" s="55">
        <v>10</v>
      </c>
      <c r="E229" s="63">
        <v>0.5</v>
      </c>
      <c r="F229" s="63">
        <v>0</v>
      </c>
      <c r="G229" s="63">
        <v>0.3</v>
      </c>
      <c r="H229" s="63">
        <v>0.2</v>
      </c>
      <c r="I229" s="53">
        <f t="shared" si="10"/>
        <v>4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>
        <v>75</v>
      </c>
      <c r="B230" s="55">
        <v>261</v>
      </c>
      <c r="C230" s="55">
        <v>12</v>
      </c>
      <c r="D230" s="55">
        <v>9</v>
      </c>
      <c r="E230" s="64">
        <v>0.7</v>
      </c>
      <c r="F230" s="64">
        <v>0</v>
      </c>
      <c r="G230" s="64">
        <v>0.2</v>
      </c>
      <c r="H230" s="64">
        <v>0.1</v>
      </c>
      <c r="I230" s="53">
        <f t="shared" si="10"/>
        <v>3.6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>
        <v>80</v>
      </c>
      <c r="B231" s="60">
        <v>267</v>
      </c>
      <c r="C231" s="88" t="s">
        <v>324</v>
      </c>
      <c r="D231" s="60">
        <v>267</v>
      </c>
      <c r="E231" s="54">
        <v>0.7</v>
      </c>
      <c r="F231" s="54">
        <v>0</v>
      </c>
      <c r="G231" s="54">
        <v>0.2</v>
      </c>
      <c r="H231" s="54">
        <v>0.1</v>
      </c>
      <c r="I231" s="53">
        <f t="shared" si="10"/>
        <v>3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>Cormier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>
        <v>15</v>
      </c>
      <c r="B244" s="60">
        <v>22</v>
      </c>
      <c r="C244" s="60">
        <v>0</v>
      </c>
      <c r="D244" s="60">
        <v>15</v>
      </c>
      <c r="E244" s="51">
        <v>0</v>
      </c>
      <c r="F244" s="51">
        <v>0</v>
      </c>
      <c r="G244" s="51">
        <v>0</v>
      </c>
      <c r="H244" s="63">
        <v>1</v>
      </c>
      <c r="I244" s="53">
        <f>IFERROR(B244/A244,"")</f>
        <v>1.4666666666666666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>
        <v>20</v>
      </c>
      <c r="B245" s="60">
        <v>52</v>
      </c>
      <c r="C245" s="60">
        <v>1</v>
      </c>
      <c r="D245" s="60">
        <v>28</v>
      </c>
      <c r="E245" s="63">
        <v>0</v>
      </c>
      <c r="F245" s="63">
        <v>0</v>
      </c>
      <c r="G245" s="63">
        <v>0</v>
      </c>
      <c r="H245" s="63">
        <v>1</v>
      </c>
      <c r="I245" s="53">
        <f>IF(A245&lt;&gt;0,(B245-(B244-D244))/(A245-A244),"")</f>
        <v>9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>
        <v>25</v>
      </c>
      <c r="B246" s="60">
        <v>87</v>
      </c>
      <c r="C246" s="60">
        <v>2</v>
      </c>
      <c r="D246" s="60">
        <v>28</v>
      </c>
      <c r="E246" s="63">
        <v>0</v>
      </c>
      <c r="F246" s="63">
        <v>0</v>
      </c>
      <c r="G246" s="63">
        <v>0</v>
      </c>
      <c r="H246" s="63">
        <v>1</v>
      </c>
      <c r="I246" s="53">
        <f>IF(A246&lt;&gt;0,(B246-(B245-D245))/(A246-A245),"")</f>
        <v>12.6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>
        <v>30</v>
      </c>
      <c r="B247" s="60">
        <v>118</v>
      </c>
      <c r="C247" s="60">
        <v>3</v>
      </c>
      <c r="D247" s="60">
        <v>28</v>
      </c>
      <c r="E247" s="63">
        <v>0</v>
      </c>
      <c r="F247" s="63">
        <v>0</v>
      </c>
      <c r="G247" s="63">
        <v>0</v>
      </c>
      <c r="H247" s="63">
        <v>1</v>
      </c>
      <c r="I247" s="53">
        <f t="shared" ref="I247:I263" si="11">IF(A247&lt;&gt;0,(B247-(B246-D246))/(A247-A246),"")</f>
        <v>11.8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>
        <v>35</v>
      </c>
      <c r="B248" s="60">
        <v>144</v>
      </c>
      <c r="C248" s="60">
        <v>4</v>
      </c>
      <c r="D248" s="60">
        <v>28</v>
      </c>
      <c r="E248" s="63">
        <v>0.3</v>
      </c>
      <c r="F248" s="63">
        <v>0</v>
      </c>
      <c r="G248" s="63">
        <v>0.4</v>
      </c>
      <c r="H248" s="63">
        <v>0.3</v>
      </c>
      <c r="I248" s="53">
        <f t="shared" si="11"/>
        <v>10.8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>
        <v>40</v>
      </c>
      <c r="B249" s="60">
        <v>164</v>
      </c>
      <c r="C249" s="60">
        <v>5</v>
      </c>
      <c r="D249" s="60">
        <v>28</v>
      </c>
      <c r="E249" s="63">
        <v>0.3</v>
      </c>
      <c r="F249" s="63">
        <v>0</v>
      </c>
      <c r="G249" s="63">
        <v>0.4</v>
      </c>
      <c r="H249" s="63">
        <v>0.3</v>
      </c>
      <c r="I249" s="53">
        <f t="shared" si="11"/>
        <v>9.6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>
        <v>45</v>
      </c>
      <c r="B250" s="60">
        <v>183</v>
      </c>
      <c r="C250" s="60">
        <v>6</v>
      </c>
      <c r="D250" s="60">
        <v>22</v>
      </c>
      <c r="E250" s="63">
        <v>0.3</v>
      </c>
      <c r="F250" s="63">
        <v>0</v>
      </c>
      <c r="G250" s="63">
        <v>0.4</v>
      </c>
      <c r="H250" s="63">
        <v>0.3</v>
      </c>
      <c r="I250" s="53">
        <f t="shared" si="11"/>
        <v>9.4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>
        <v>50</v>
      </c>
      <c r="B251" s="55">
        <v>202</v>
      </c>
      <c r="C251" s="55">
        <v>7</v>
      </c>
      <c r="D251" s="55">
        <v>17</v>
      </c>
      <c r="E251" s="63">
        <v>0.3</v>
      </c>
      <c r="F251" s="63">
        <v>0</v>
      </c>
      <c r="G251" s="63">
        <v>0.4</v>
      </c>
      <c r="H251" s="63">
        <v>0.3</v>
      </c>
      <c r="I251" s="53">
        <f t="shared" si="11"/>
        <v>8.1999999999999993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>
        <v>55</v>
      </c>
      <c r="B252" s="55">
        <v>219</v>
      </c>
      <c r="C252" s="55">
        <v>8</v>
      </c>
      <c r="D252" s="55">
        <v>13</v>
      </c>
      <c r="E252" s="63">
        <v>0.5</v>
      </c>
      <c r="F252" s="63">
        <v>0</v>
      </c>
      <c r="G252" s="63">
        <v>0.3</v>
      </c>
      <c r="H252" s="63">
        <v>0.2</v>
      </c>
      <c r="I252" s="53">
        <f t="shared" si="11"/>
        <v>6.8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>
        <v>60</v>
      </c>
      <c r="B253" s="55">
        <v>233</v>
      </c>
      <c r="C253" s="55">
        <v>9</v>
      </c>
      <c r="D253" s="55">
        <v>12</v>
      </c>
      <c r="E253" s="63">
        <v>0.5</v>
      </c>
      <c r="F253" s="63">
        <v>0</v>
      </c>
      <c r="G253" s="63">
        <v>0.3</v>
      </c>
      <c r="H253" s="63">
        <v>0.2</v>
      </c>
      <c r="I253" s="53">
        <f t="shared" si="11"/>
        <v>5.4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>
        <v>65</v>
      </c>
      <c r="B254" s="55">
        <v>244</v>
      </c>
      <c r="C254" s="55">
        <v>10</v>
      </c>
      <c r="D254" s="55">
        <v>11</v>
      </c>
      <c r="E254" s="63">
        <v>0.5</v>
      </c>
      <c r="F254" s="63">
        <v>0</v>
      </c>
      <c r="G254" s="63">
        <v>0.3</v>
      </c>
      <c r="H254" s="63">
        <v>0.2</v>
      </c>
      <c r="I254" s="53">
        <f t="shared" si="11"/>
        <v>4.5999999999999996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>
        <v>70</v>
      </c>
      <c r="B255" s="55">
        <v>253</v>
      </c>
      <c r="C255" s="55">
        <v>11</v>
      </c>
      <c r="D255" s="55">
        <v>10</v>
      </c>
      <c r="E255" s="63">
        <v>0.5</v>
      </c>
      <c r="F255" s="63">
        <v>0</v>
      </c>
      <c r="G255" s="63">
        <v>0.3</v>
      </c>
      <c r="H255" s="63">
        <v>0.2</v>
      </c>
      <c r="I255" s="53">
        <f t="shared" si="11"/>
        <v>4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>
        <v>75</v>
      </c>
      <c r="B256" s="55">
        <v>261</v>
      </c>
      <c r="C256" s="55">
        <v>12</v>
      </c>
      <c r="D256" s="55">
        <v>9</v>
      </c>
      <c r="E256" s="64">
        <v>0.7</v>
      </c>
      <c r="F256" s="64">
        <v>0</v>
      </c>
      <c r="G256" s="64">
        <v>0.2</v>
      </c>
      <c r="H256" s="64">
        <v>0.1</v>
      </c>
      <c r="I256" s="53">
        <f t="shared" si="11"/>
        <v>3.6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>
        <v>80</v>
      </c>
      <c r="B257" s="60">
        <v>267</v>
      </c>
      <c r="C257" s="88" t="s">
        <v>324</v>
      </c>
      <c r="D257" s="60">
        <v>267</v>
      </c>
      <c r="E257" s="54">
        <v>0.7</v>
      </c>
      <c r="F257" s="54">
        <v>0</v>
      </c>
      <c r="G257" s="54">
        <v>0.2</v>
      </c>
      <c r="H257" s="54">
        <v>0.1</v>
      </c>
      <c r="I257" s="53">
        <f t="shared" si="11"/>
        <v>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sycomore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Erable plane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Sapin méditerranéen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Bouleau verruqueux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Cormier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274.57619581652199</v>
      </c>
      <c r="T3" s="59">
        <f>IF('Données projet'!E9&gt;30,$R$33-$H$33,LOOKUP('Données projet'!$E$9,$A$3:$A$203,R3:R203)-LOOKUP('Données projet'!$E$9,$A$3:$A$203,$H$3:$H$203))</f>
        <v>366.15117322598775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175.05987582828078</v>
      </c>
      <c r="AO3" s="59">
        <f>IF('Données projet'!E10&gt;30,$AM$33-$H$33,LOOKUP('Données projet'!$E$10,$A$3:$A$203,AM3:AM203)-LOOKUP('Données projet'!$E$10,$A$3:$A$203,$H$3:$H$203))</f>
        <v>268.54782308462387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252.70779718608964</v>
      </c>
      <c r="BJ3" s="59">
        <f>IF('Données projet'!E11&gt;30,$BH$33-$H$33,LOOKUP('Données projet'!$E$11,$A$3:$A$203,BH3:BH203)-LOOKUP('Données projet'!$E$11,$A$3:$A$203,$H$3:$H$203))</f>
        <v>187.86969111712705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279.86432710889352</v>
      </c>
      <c r="CE3" s="59">
        <f>IF('Données projet'!E12&gt;30,$CC$33-$H$33,LOOKUP('Données projet'!$E$12,$A$3:$A$203,CC3:CC203)-LOOKUP('Données projet'!$E$12,$A$3:$A$203,$H$3:$H$203))</f>
        <v>297.01680128882509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314.6300257056194</v>
      </c>
      <c r="CZ3" s="59">
        <f>IF('Données projet'!E13&gt;30,$CX$33-$H$33,LOOKUP('Données projet'!$E$13,$A$3:$A$203,CX3:CX203)-LOOKUP('Données projet'!$E$13,$A$3:$A$203,$H$3:$H$203))</f>
        <v>298.00555477466668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314.6300257056194</v>
      </c>
      <c r="DU3" s="59">
        <f>IF('Données projet'!E14&gt;30,$DS$33-$H$33,LOOKUP('Données projet'!$E$14,$A$3:$A$203,DS3:DS203)-LOOKUP('Données projet'!$E$14,$A$3:$A$203,$H$3:$H$203))</f>
        <v>298.00555477466668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238.83604534181978</v>
      </c>
      <c r="EP3" s="59">
        <f>IF('Données projet'!E15&gt;30,$EN$33-$H$33,LOOKUP('Données projet'!$E$15,$A$3:$A$203,EN3:EN203)-LOOKUP('Données projet'!$E$15,$A$3:$A$203,$H$3:$H$203))</f>
        <v>114.85152559837792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196.95467273423861</v>
      </c>
      <c r="FK3" s="59">
        <f>IF('Données projet'!E16&gt;30,$FI$33-$H$33,LOOKUP('Données projet'!$E$16,$A$3:$A$203,FI3:FI203)-LOOKUP('Données projet'!$E$16,$A$3:$A$203,$H$3:$H$203))</f>
        <v>173.8709326829258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275.5229427552884</v>
      </c>
      <c r="GF3" s="59">
        <f>IF('Données projet'!E17&gt;30,$GD$33-$H$33,LOOKUP('Données projet'!$E$17,$A$3:$A$203,GD3:GD203)-LOOKUP('Données projet'!$E$17,$A$3:$A$203,$H$3:$H$203))</f>
        <v>241.20234081716143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10.16068376068376</v>
      </c>
      <c r="N4" s="13">
        <f>IF('Données projet'!$A$36&gt;35,N3+M4-V3,IF(A4&lt;'Données projet'!$A$36,$K$205^A4,IF(A4='Données projet'!$A$36,'Données projet'!$B$36,N3+M4-V3)))</f>
        <v>1.3356034260773062</v>
      </c>
      <c r="O4" s="13">
        <f>N4*VLOOKUP('Données projet'!$B$9,Paramètres!$A$1:$I$89,3,0)*VLOOKUP('Données projet'!$B$9,Paramètres!$A$1:$I$89,5,0)</f>
        <v>0.7466023151772142</v>
      </c>
      <c r="P4" s="13">
        <f>EXP(-1.0587+0.8836*LN(O4)+0.284)</f>
        <v>0.35597032812689977</v>
      </c>
      <c r="Q4" s="20">
        <f t="shared" ref="Q4:Q34" si="2">(O4+P4)*0.475*44/12</f>
        <v>1.9203140204213316</v>
      </c>
      <c r="R4" s="59">
        <f t="shared" si="0"/>
        <v>295.25364735375467</v>
      </c>
      <c r="S4" s="59">
        <f ca="1">AVERAGE(OFFSET($R$3,0,0,'Données projet'!$E$9+1,1))-AVERAGE(OFFSET($H$3,0,0,'Données projet'!$E$9+1,1))</f>
        <v>274.57619581652199</v>
      </c>
      <c r="T4" s="59">
        <f>$T$3</f>
        <v>366.15117322598775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6.2222222222222223</v>
      </c>
      <c r="AI4" s="13">
        <f>IF('Données projet'!$A$62&gt;35,AI3+AH4-AQ3,IF(A4&lt;'Données projet'!$A$62,$AF$205^A4,IF(A4='Données projet'!$A$62,'Données projet'!$B$62,AI3+AH4-AQ3)))</f>
        <v>1.2997069632623315</v>
      </c>
      <c r="AJ4" s="13">
        <f>AI4*VLOOKUP('Données projet'!$B$10,Paramètres!$A$1:$I$89,3,0)*VLOOKUP('Données projet'!$B$10,Paramètres!$A$1:$I$89,5,0)</f>
        <v>0.81101714507569489</v>
      </c>
      <c r="AK4" s="13">
        <f>EXP(-1.0587+0.8836*LN(AJ4)+0.284)</f>
        <v>0.38297551084354686</v>
      </c>
      <c r="AL4" s="20">
        <f t="shared" ref="AL4:AL67" si="4">(AJ4+AK4)*0.475*44/12</f>
        <v>2.0795372090593456</v>
      </c>
      <c r="AM4" s="59">
        <f t="shared" ref="AM4:AM67" si="5">AL4+(AD4+AE4)*44/12</f>
        <v>295.41287054239268</v>
      </c>
      <c r="AN4" s="59">
        <f ca="1">AVERAGE(OFFSET($AM$3,0,0,'Données projet'!$E$10+1,1))-AVERAGE(OFFSET($H$3,0,0,'Données projet'!$E$10+1,1))</f>
        <v>175.05987582828078</v>
      </c>
      <c r="AO4" s="59">
        <f>$AO$3</f>
        <v>268.54782308462387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0.60280758376398436</v>
      </c>
      <c r="BF4" s="13">
        <f>EXP(-1.0587+0.8836*LN(BE4)+0.284)</f>
        <v>0.29465781953181042</v>
      </c>
      <c r="BG4" s="20">
        <f t="shared" ref="BG4:BG67" si="7">(BE4+BF4)*0.475*44/12</f>
        <v>1.5630855774068424</v>
      </c>
      <c r="BH4" s="59">
        <f t="shared" ref="BH4:BH67" si="8">BG4+(AY4+AZ4)*44/12</f>
        <v>294.89641891074018</v>
      </c>
      <c r="BI4" s="59">
        <f ca="1">AVERAGE(OFFSET($BH$3,0,0,'Données projet'!$E$11+1,1))-AVERAGE(OFFSET($H$3,0,0,'Données projet'!$E$11+1,1))</f>
        <v>252.70779718608964</v>
      </c>
      <c r="BJ4" s="59">
        <f>$BJ$3</f>
        <v>187.86969111712705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6.9411764705882355</v>
      </c>
      <c r="BY4" s="12">
        <f>IF('Données projet'!$A$114&gt;35,BY3+BX4-CG3,IF(A4&lt;'Données projet'!$A$114,$BV$205^A4,IF(A4='Données projet'!$A$114,'Données projet'!$B$114,BY3+BX4-CG3)))</f>
        <v>1.3239616704988877</v>
      </c>
      <c r="BZ4" s="13">
        <f>BY4*VLOOKUP('Données projet'!$B$12,Paramètres!$A$1:$I$89,3,0)*VLOOKUP('Données projet'!$B$12,Paramètres!$A$1:$I$89,5,0)</f>
        <v>0.79172907895833489</v>
      </c>
      <c r="CA4" s="13">
        <f>EXP(-1.0587+0.8836*LN(BZ4)+0.284)</f>
        <v>0.37491631974909195</v>
      </c>
      <c r="CB4" s="20">
        <f t="shared" ref="CB4:CB67" si="10">(BZ4+CA4)*0.475*44/12</f>
        <v>2.031907402748768</v>
      </c>
      <c r="CC4" s="59">
        <f t="shared" ref="CC4:CC67" si="11">CB4+(BT4+BU4)*44/12</f>
        <v>295.36524073608206</v>
      </c>
      <c r="CD4" s="59">
        <f ca="1">AVERAGE(OFFSET($CC$3,0,0,'Données projet'!$E$12+1,1))-AVERAGE(OFFSET($H$3,0,0,'Données projet'!$E$12+1,1))</f>
        <v>279.86432710889352</v>
      </c>
      <c r="CE4" s="59">
        <f>$CE$3</f>
        <v>297.01680128882509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4.8666666666666663</v>
      </c>
      <c r="CT4" s="12">
        <f>IF('Données projet'!$A$140&gt;35,CT3+CS4-DB3,IF(A4&lt;'Données projet'!$A$140,$CQ$205^A4,IF(A4='Données projet'!$A$140,'Données projet'!$B$140,CT3+CS4-DB3)))</f>
        <v>4.8666666666666663</v>
      </c>
      <c r="CU4" s="17">
        <f>CT4*VLOOKUP('Données projet'!$B$13,Paramètres!$A$1:$I$89,3,0)*VLOOKUP('Données projet'!$B$13,Paramètres!$A$1:$I$89,5,0)</f>
        <v>3.8719199999999998</v>
      </c>
      <c r="CV4" s="13">
        <f>EXP(-1.0587+0.8836*LN(CU4)+0.284)</f>
        <v>1.5242065032535026</v>
      </c>
      <c r="CW4" s="20">
        <f t="shared" ref="CW4:CW67" si="13">(CU4+CV4)*0.475*44/12</f>
        <v>9.3982536598331823</v>
      </c>
      <c r="CX4" s="59">
        <f t="shared" ref="CX4:CX67" si="14">CW4+(CO4+CP4)*44/12</f>
        <v>302.7315869931665</v>
      </c>
      <c r="CY4" s="59">
        <f ca="1">AVERAGE(OFFSET($CX$3,0,0,'Données projet'!$E$13+1,1))-AVERAGE(OFFSET($H$3,0,0,'Données projet'!$E$13+1,1))</f>
        <v>314.6300257056194</v>
      </c>
      <c r="CZ4" s="59">
        <f>$CZ$3</f>
        <v>298.00555477466668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4.8666666666666663</v>
      </c>
      <c r="DO4" s="12">
        <f>IF('Données projet'!$A$166&gt;35,DO3+DN4-DW3,IF(A4&lt;'Données projet'!$A$166,$DL$205^A4,IF(A4='Données projet'!$A$166,'Données projet'!$B$166,DO3+DN4-DW3)))</f>
        <v>4.8666666666666663</v>
      </c>
      <c r="DP4" s="17">
        <f>DO4*VLOOKUP('Données projet'!$B$14,Paramètres!$A$1:$I$89,3,0)*VLOOKUP('Données projet'!$B$14,Paramètres!$A$1:$I$89,5,0)</f>
        <v>3.8719199999999998</v>
      </c>
      <c r="DQ4" s="13">
        <f>EXP(-1.0587+0.8836*LN(DP4)+0.284)</f>
        <v>1.5242065032535026</v>
      </c>
      <c r="DR4" s="20">
        <f t="shared" ref="DR4:DR67" si="16">(DP4+DQ4)*0.475*44/12</f>
        <v>9.3982536598331823</v>
      </c>
      <c r="DS4" s="59">
        <f t="shared" ref="DS4:DS67" si="17">DR4+(DJ4+DK4)*44/12</f>
        <v>302.7315869931665</v>
      </c>
      <c r="DT4" s="59">
        <f ca="1">AVERAGE(OFFSET($DS$3,0,0,'Données projet'!$E$14+1,1))-AVERAGE(OFFSET($H$3,0,0,'Données projet'!$E$14+1,1))</f>
        <v>314.6300257056194</v>
      </c>
      <c r="DU4" s="59">
        <f>$DU$3</f>
        <v>298.00555477466668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4.7456410256410253</v>
      </c>
      <c r="EJ4" s="12">
        <f>IF('Données projet'!$A$192&gt;35,EJ3+EI4-ER3,IF(A4&lt;'Données projet'!$A$192,$EG$205^A4,IF(A4='Données projet'!$A$192,'Données projet'!$B$192,EJ3+EI4-ER3)))</f>
        <v>1.1797243348509765</v>
      </c>
      <c r="EK4" s="17">
        <f>EJ4*VLOOKUP('Données projet'!$B$15,Paramètres!$A$1:$I$89,3,0)*VLOOKUP('Données projet'!$B$15,Paramètres!$A$1:$I$89,5,0)</f>
        <v>0.5674474050633197</v>
      </c>
      <c r="EL4" s="13">
        <f>EXP(-1.0587+0.8836*LN(EK4)+0.284)</f>
        <v>0.27933203009191282</v>
      </c>
      <c r="EM4" s="20">
        <f t="shared" ref="EM4:EM67" si="19">(EK4+EL4)*0.475*44/12</f>
        <v>1.4748075162286964</v>
      </c>
      <c r="EN4" s="59">
        <f t="shared" ref="EN4:EN67" si="20">EM4+(EE4+EF4)*44/12</f>
        <v>294.80814084956199</v>
      </c>
      <c r="EO4" s="59">
        <f ca="1">AVERAGE(OFFSET($EN$3,0,0,'Données projet'!$E$15+1,1))-AVERAGE(OFFSET($H$3,0,0,'Données projet'!$E$15+1,1))</f>
        <v>238.83604534181978</v>
      </c>
      <c r="EP4" s="59">
        <f>$EP$3</f>
        <v>114.85152559837792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1.4666666666666666</v>
      </c>
      <c r="FE4" s="12">
        <f>IF('Données projet'!$A$218&gt;35,FE3+FD4-FM3,IF(A4&lt;'Données projet'!$A$218,$FB$205^A4,IF(A4='Données projet'!$A$218,'Données projet'!$B$218,FE3+FD4-FM3)))</f>
        <v>1.2288386014896442</v>
      </c>
      <c r="FF4" s="17">
        <f>FE4*VLOOKUP('Données projet'!$B$16,Paramètres!$A$1:$I$89,3,0)*VLOOKUP('Données projet'!$B$16,Paramètres!$A$1:$I$89,5,0)</f>
        <v>0.99683387352839947</v>
      </c>
      <c r="FG4" s="13">
        <f>EXP(-1.0587+0.8836*LN(FF4)+0.284)</f>
        <v>0.45955252831162646</v>
      </c>
      <c r="FH4" s="20">
        <f t="shared" ref="FH4:FH67" si="22">(FF4+FG4)*0.475*44/12</f>
        <v>2.5365396498713784</v>
      </c>
      <c r="FI4" s="59">
        <f t="shared" ref="FI4:FI67" si="23">FH4+(EZ4+FA4)*44/12</f>
        <v>295.86987298320469</v>
      </c>
      <c r="FJ4" s="59">
        <f ca="1">AVERAGE(OFFSET($FI$3,0,0,'Données projet'!$E$16+1,1))-AVERAGE(OFFSET($H$3,0,0,'Données projet'!$E$16+1,1))</f>
        <v>196.95467273423861</v>
      </c>
      <c r="FK4" s="59">
        <f>$FK$3</f>
        <v>173.8709326829258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1.4666666666666666</v>
      </c>
      <c r="FZ4" s="12">
        <f>IF('Données projet'!$A$244&gt;35,FZ3+FY4-GH3,IF(A4&lt;'Données projet'!$A$244,$FW$205^A4,IF(A4='Données projet'!$A$244,'Données projet'!$B$244,FZ3+FY4-GH3)))</f>
        <v>1.2288386014896442</v>
      </c>
      <c r="GA4" s="17">
        <f>FZ4*VLOOKUP('Données projet'!$B$17,Paramètres!$A$1:$I$89,3,0)*VLOOKUP('Données projet'!$B$17,Paramètres!$A$1:$I$89,5,0)</f>
        <v>1.3227218706434529</v>
      </c>
      <c r="GB4" s="13">
        <f>EXP(-1.0587+0.8836*LN(GA4)+0.284)</f>
        <v>0.59004028204653747</v>
      </c>
      <c r="GC4" s="20">
        <f t="shared" ref="GC4:GC67" si="25">(GA4+GB4)*0.475*44/12</f>
        <v>3.331394082601733</v>
      </c>
      <c r="GD4" s="59">
        <f t="shared" ref="GD4:GD67" si="26">GC4+(FU4+FV4)*44/12</f>
        <v>296.66472741593503</v>
      </c>
      <c r="GE4" s="59">
        <f ca="1">AVERAGE(OFFSET($GD$3,0,0,'Données projet'!$E$17+1,1))-AVERAGE(OFFSET($H$3,0,0,'Données projet'!$E$17+1,1))</f>
        <v>275.5229427552884</v>
      </c>
      <c r="GF4" s="59">
        <f>$GF$3</f>
        <v>241.20234081716143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10.16068376068376</v>
      </c>
      <c r="N5" s="13">
        <f>IF('Données projet'!$A$36&gt;35,N4+M5-V4,IF(A5&lt;'Données projet'!$A$36,$K$205^A5,IF(A5='Données projet'!$A$36,'Données projet'!$B$36,N4+M5-V4)))</f>
        <v>1.7838365117494384</v>
      </c>
      <c r="O5" s="13">
        <f>N5*VLOOKUP('Données projet'!$B$9,Paramètres!$A$1:$I$89,3,0)*VLOOKUP('Données projet'!$B$9,Paramètres!$A$1:$I$89,5,0)</f>
        <v>0.99716461006793611</v>
      </c>
      <c r="P5" s="13">
        <f t="shared" ref="P5:P68" si="33">EXP(-1.0587+0.8836*LN(O5)+0.284)</f>
        <v>0.4596872513511342</v>
      </c>
      <c r="Q5" s="20">
        <f t="shared" si="2"/>
        <v>2.5373503253048804</v>
      </c>
      <c r="R5" s="59">
        <f t="shared" si="0"/>
        <v>295.8706836586382</v>
      </c>
      <c r="S5" s="59">
        <f ca="1">AVERAGE(OFFSET($R$3,0,0,'Données projet'!$E$9+1,1))-AVERAGE(OFFSET($H$3,0,0,'Données projet'!$E$9+1,1))</f>
        <v>274.57619581652199</v>
      </c>
      <c r="T5" s="59">
        <f t="shared" ref="T5:T68" si="34">$T$3</f>
        <v>366.15117322598775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6.2222222222222223</v>
      </c>
      <c r="AI5" s="13">
        <f>IF('Données projet'!$A$62&gt;35,AI4+AH5-AQ4,IF(A5&lt;'Données projet'!$A$62,$AF$205^A5,IF(A5='Données projet'!$A$62,'Données projet'!$B$62,AI4+AH5-AQ4)))</f>
        <v>1.6892381903525915</v>
      </c>
      <c r="AJ5" s="13">
        <f>AI5*VLOOKUP('Données projet'!$B$10,Paramètres!$A$1:$I$89,3,0)*VLOOKUP('Données projet'!$B$10,Paramètres!$A$1:$I$89,5,0)</f>
        <v>1.0540846307800171</v>
      </c>
      <c r="AK5" s="13">
        <f t="shared" ref="AK5:AK68" si="35">EXP(-1.0587+0.8836*LN(AJ5)+0.284)</f>
        <v>0.48279730809434274</v>
      </c>
      <c r="AL5" s="20">
        <f t="shared" si="4"/>
        <v>2.6767360435395098</v>
      </c>
      <c r="AM5" s="59">
        <f t="shared" si="5"/>
        <v>296.01006937687282</v>
      </c>
      <c r="AN5" s="59">
        <f ca="1">AVERAGE(OFFSET($AM$3,0,0,'Données projet'!$E$10+1,1))-AVERAGE(OFFSET($H$3,0,0,'Données projet'!$E$10+1,1))</f>
        <v>175.05987582828078</v>
      </c>
      <c r="AO5" s="59">
        <f t="shared" ref="AO5:AO68" si="36">$AO$3</f>
        <v>268.54782308462387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0.77644654496447219</v>
      </c>
      <c r="BF5" s="13">
        <f t="shared" ref="BF5:BF68" si="37">EXP(-1.0587+0.8836*LN(BE5)+0.284)</f>
        <v>0.36851455096495994</v>
      </c>
      <c r="BG5" s="20">
        <f t="shared" si="7"/>
        <v>1.9941405754104276</v>
      </c>
      <c r="BH5" s="59">
        <f t="shared" si="8"/>
        <v>295.32747390874374</v>
      </c>
      <c r="BI5" s="59">
        <f ca="1">AVERAGE(OFFSET($BH$3,0,0,'Données projet'!$E$11+1,1))-AVERAGE(OFFSET($H$3,0,0,'Données projet'!$E$11+1,1))</f>
        <v>252.70779718608964</v>
      </c>
      <c r="BJ5" s="59">
        <f t="shared" ref="BJ5:BJ68" si="38">$BJ$3</f>
        <v>187.86969111712705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6.9411764705882355</v>
      </c>
      <c r="BY5" s="12">
        <f>IF('Données projet'!$A$114&gt;35,BY4+BX5-CG4,IF(A5&lt;'Données projet'!$A$114,$BV$205^A5,IF(A5='Données projet'!$A$114,'Données projet'!$B$114,BY4+BX5-CG4)))</f>
        <v>1.7528745049502052</v>
      </c>
      <c r="BZ5" s="13">
        <f>BY5*VLOOKUP('Données projet'!$B$12,Paramètres!$A$1:$I$89,3,0)*VLOOKUP('Données projet'!$B$12,Paramètres!$A$1:$I$89,5,0)</f>
        <v>1.0482189539602227</v>
      </c>
      <c r="CA5" s="13">
        <f t="shared" ref="CA5:CA68" si="39">EXP(-1.0587+0.8836*LN(BZ5)+0.284)</f>
        <v>0.48042263342477459</v>
      </c>
      <c r="CB5" s="20">
        <f t="shared" si="10"/>
        <v>2.6623840980288702</v>
      </c>
      <c r="CC5" s="59">
        <f t="shared" si="11"/>
        <v>295.99571743136221</v>
      </c>
      <c r="CD5" s="59">
        <f ca="1">AVERAGE(OFFSET($CC$3,0,0,'Données projet'!$E$12+1,1))-AVERAGE(OFFSET($H$3,0,0,'Données projet'!$E$12+1,1))</f>
        <v>279.86432710889352</v>
      </c>
      <c r="CE5" s="59">
        <f t="shared" ref="CE5:CE68" si="40">$CE$3</f>
        <v>297.01680128882509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4.8666666666666663</v>
      </c>
      <c r="CT5" s="12">
        <f>IF('Données projet'!$A$140&gt;35,CT4+CS5-DB4,IF(A5&lt;'Données projet'!$A$140,$CQ$205^A5,IF(A5='Données projet'!$A$140,'Données projet'!$B$140,CT4+CS5-DB4)))</f>
        <v>9.7333333333333325</v>
      </c>
      <c r="CU5" s="17">
        <f>CT5*VLOOKUP('Données projet'!$B$13,Paramètres!$A$1:$I$89,3,0)*VLOOKUP('Données projet'!$B$13,Paramètres!$A$1:$I$89,5,0)</f>
        <v>7.7438399999999996</v>
      </c>
      <c r="CV5" s="13">
        <f t="shared" ref="CV5:CV68" si="41">EXP(-1.0587+0.8836*LN(CU5)+0.284)</f>
        <v>2.8121204228282144</v>
      </c>
      <c r="CW5" s="20">
        <f t="shared" si="13"/>
        <v>18.384964403092471</v>
      </c>
      <c r="CX5" s="59">
        <f t="shared" si="14"/>
        <v>311.71829773642577</v>
      </c>
      <c r="CY5" s="59">
        <f ca="1">AVERAGE(OFFSET($CX$3,0,0,'Données projet'!$E$13+1,1))-AVERAGE(OFFSET($H$3,0,0,'Données projet'!$E$13+1,1))</f>
        <v>314.6300257056194</v>
      </c>
      <c r="CZ5" s="59">
        <f t="shared" ref="CZ5:CZ68" si="42">$CZ$3</f>
        <v>298.00555477466668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4.8666666666666663</v>
      </c>
      <c r="DO5" s="12">
        <f>IF('Données projet'!$A$166&gt;35,DO4+DN5-DW4,IF(A5&lt;'Données projet'!$A$166,$DL$205^A5,IF(A5='Données projet'!$A$166,'Données projet'!$B$166,DO4+DN5-DW4)))</f>
        <v>9.7333333333333325</v>
      </c>
      <c r="DP5" s="17">
        <f>DO5*VLOOKUP('Données projet'!$B$14,Paramètres!$A$1:$I$89,3,0)*VLOOKUP('Données projet'!$B$14,Paramètres!$A$1:$I$89,5,0)</f>
        <v>7.7438399999999996</v>
      </c>
      <c r="DQ5" s="13">
        <f t="shared" ref="DQ5:DQ68" si="43">EXP(-1.0587+0.8836*LN(DP5)+0.284)</f>
        <v>2.8121204228282144</v>
      </c>
      <c r="DR5" s="20">
        <f t="shared" si="16"/>
        <v>18.384964403092471</v>
      </c>
      <c r="DS5" s="59">
        <f t="shared" si="17"/>
        <v>311.71829773642577</v>
      </c>
      <c r="DT5" s="59">
        <f ca="1">AVERAGE(OFFSET($DS$3,0,0,'Données projet'!$E$14+1,1))-AVERAGE(OFFSET($H$3,0,0,'Données projet'!$E$14+1,1))</f>
        <v>314.6300257056194</v>
      </c>
      <c r="DU5" s="59">
        <f t="shared" ref="DU5:DU68" si="44">$DU$3</f>
        <v>298.00555477466668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4.7456410256410253</v>
      </c>
      <c r="EJ5" s="12">
        <f>IF('Données projet'!$A$192&gt;35,EJ4+EI5-ER4,IF(A5&lt;'Données projet'!$A$192,$EG$205^A5,IF(A5='Données projet'!$A$192,'Données projet'!$B$192,EJ4+EI5-ER4)))</f>
        <v>1.3917495062395788</v>
      </c>
      <c r="EK5" s="17">
        <f>EJ5*VLOOKUP('Données projet'!$B$15,Paramètres!$A$1:$I$89,3,0)*VLOOKUP('Données projet'!$B$15,Paramètres!$A$1:$I$89,5,0)</f>
        <v>0.66943151250123745</v>
      </c>
      <c r="EL5" s="13">
        <f t="shared" ref="EL5:EL68" si="45">EXP(-1.0587+0.8836*LN(EK5)+0.284)</f>
        <v>0.32325557304971425</v>
      </c>
      <c r="EM5" s="20">
        <f t="shared" si="19"/>
        <v>1.7289300073345741</v>
      </c>
      <c r="EN5" s="59">
        <f t="shared" si="20"/>
        <v>295.06226334066787</v>
      </c>
      <c r="EO5" s="59">
        <f ca="1">AVERAGE(OFFSET($EN$3,0,0,'Données projet'!$E$15+1,1))-AVERAGE(OFFSET($H$3,0,0,'Données projet'!$E$15+1,1))</f>
        <v>238.83604534181978</v>
      </c>
      <c r="EP5" s="59">
        <f t="shared" ref="EP5:EP68" si="46">$EP$3</f>
        <v>114.85152559837792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1.4666666666666666</v>
      </c>
      <c r="FE5" s="12">
        <f>IF('Données projet'!$A$218&gt;35,FE4+FD5-FM4,IF(A5&lt;'Données projet'!$A$218,$FB$205^A5,IF(A5='Données projet'!$A$218,'Données projet'!$B$218,FE4+FD5-FM4)))</f>
        <v>1.5100443085110247</v>
      </c>
      <c r="FF5" s="17">
        <f>FE5*VLOOKUP('Données projet'!$B$16,Paramètres!$A$1:$I$89,3,0)*VLOOKUP('Données projet'!$B$16,Paramètres!$A$1:$I$89,5,0)</f>
        <v>1.2249479430641432</v>
      </c>
      <c r="FG5" s="13">
        <f t="shared" ref="FG5:FG68" si="47">EXP(-1.0587+0.8836*LN(FF5)+0.284)</f>
        <v>0.55133149851982899</v>
      </c>
      <c r="FH5" s="20">
        <f t="shared" si="22"/>
        <v>3.0936866940920846</v>
      </c>
      <c r="FI5" s="59">
        <f t="shared" si="23"/>
        <v>296.42702002742539</v>
      </c>
      <c r="FJ5" s="59">
        <f ca="1">AVERAGE(OFFSET($FI$3,0,0,'Données projet'!$E$16+1,1))-AVERAGE(OFFSET($H$3,0,0,'Données projet'!$E$16+1,1))</f>
        <v>196.95467273423861</v>
      </c>
      <c r="FK5" s="59">
        <f t="shared" ref="FK5:FK68" si="48">$FK$3</f>
        <v>173.8709326829258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1.4666666666666666</v>
      </c>
      <c r="FZ5" s="12">
        <f>IF('Données projet'!$A$244&gt;35,FZ4+FY5-GH4,IF(A5&lt;'Données projet'!$A$244,$FW$205^A5,IF(A5='Données projet'!$A$244,'Données projet'!$B$244,FZ4+FY5-GH4)))</f>
        <v>1.5100443085110247</v>
      </c>
      <c r="GA5" s="17">
        <f>FZ5*VLOOKUP('Données projet'!$B$17,Paramètres!$A$1:$I$89,3,0)*VLOOKUP('Données projet'!$B$17,Paramètres!$A$1:$I$89,5,0)</f>
        <v>1.6254116936812668</v>
      </c>
      <c r="GB5" s="13">
        <f t="shared" ref="GB5:GB68" si="49">EXP(-1.0587+0.8836*LN(GA5)+0.284)</f>
        <v>0.70787945413540654</v>
      </c>
      <c r="GC5" s="20">
        <f t="shared" si="25"/>
        <v>4.0638154157807067</v>
      </c>
      <c r="GD5" s="59">
        <f t="shared" si="26"/>
        <v>297.39714874911402</v>
      </c>
      <c r="GE5" s="59">
        <f ca="1">AVERAGE(OFFSET($GD$3,0,0,'Données projet'!$E$17+1,1))-AVERAGE(OFFSET($H$3,0,0,'Données projet'!$E$17+1,1))</f>
        <v>275.5229427552884</v>
      </c>
      <c r="GF5" s="59">
        <f t="shared" ref="GF5:GF68" si="50">$GF$3</f>
        <v>241.20234081716143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10.16068376068376</v>
      </c>
      <c r="N6" s="13">
        <f>IF('Données projet'!$A$36&gt;35,N5+M6-V5,IF(A6&lt;'Données projet'!$A$36,$K$205^A6,IF(A6='Données projet'!$A$36,'Données projet'!$B$36,N5+M6-V5)))</f>
        <v>2.3824981566543406</v>
      </c>
      <c r="O6" s="13">
        <f>N6*VLOOKUP('Données projet'!$B$9,Paramètres!$A$1:$I$89,3,0)*VLOOKUP('Données projet'!$B$9,Paramètres!$A$1:$I$89,5,0)</f>
        <v>1.3318164695697763</v>
      </c>
      <c r="P6" s="13">
        <f t="shared" si="33"/>
        <v>0.59362354768914927</v>
      </c>
      <c r="Q6" s="20">
        <f t="shared" si="2"/>
        <v>3.3534746967259621</v>
      </c>
      <c r="R6" s="59">
        <f t="shared" si="0"/>
        <v>296.6868080300593</v>
      </c>
      <c r="S6" s="59">
        <f ca="1">AVERAGE(OFFSET($R$3,0,0,'Données projet'!$E$9+1,1))-AVERAGE(OFFSET($H$3,0,0,'Données projet'!$E$9+1,1))</f>
        <v>274.57619581652199</v>
      </c>
      <c r="T6" s="59">
        <f t="shared" si="34"/>
        <v>366.15117322598775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6.2222222222222223</v>
      </c>
      <c r="AI6" s="13">
        <f>IF('Données projet'!$A$62&gt;35,AI5+AH6-AQ5,IF(A6&lt;'Données projet'!$A$62,$AF$205^A6,IF(A6='Données projet'!$A$62,'Données projet'!$B$62,AI5+AH6-AQ5)))</f>
        <v>2.1955146386099229</v>
      </c>
      <c r="AJ6" s="13">
        <f>AI6*VLOOKUP('Données projet'!$B$10,Paramètres!$A$1:$I$89,3,0)*VLOOKUP('Données projet'!$B$10,Paramètres!$A$1:$I$89,5,0)</f>
        <v>1.3700011344925918</v>
      </c>
      <c r="AK6" s="13">
        <f t="shared" si="35"/>
        <v>0.60863745619068288</v>
      </c>
      <c r="AL6" s="20">
        <f t="shared" si="4"/>
        <v>3.4461288787733699</v>
      </c>
      <c r="AM6" s="59">
        <f t="shared" si="5"/>
        <v>296.77946221210669</v>
      </c>
      <c r="AN6" s="59">
        <f ca="1">AVERAGE(OFFSET($AM$3,0,0,'Données projet'!$E$10+1,1))-AVERAGE(OFFSET($H$3,0,0,'Données projet'!$E$10+1,1))</f>
        <v>175.05987582828078</v>
      </c>
      <c r="AO6" s="59">
        <f t="shared" si="36"/>
        <v>268.54782308462387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1.0001022771195029</v>
      </c>
      <c r="BF6" s="13">
        <f t="shared" si="37"/>
        <v>0.46088365986243646</v>
      </c>
      <c r="BG6" s="20">
        <f t="shared" si="7"/>
        <v>2.5445505069102112</v>
      </c>
      <c r="BH6" s="59">
        <f t="shared" si="8"/>
        <v>295.8778838402435</v>
      </c>
      <c r="BI6" s="59">
        <f ca="1">AVERAGE(OFFSET($BH$3,0,0,'Données projet'!$E$11+1,1))-AVERAGE(OFFSET($H$3,0,0,'Données projet'!$E$11+1,1))</f>
        <v>252.70779718608964</v>
      </c>
      <c r="BJ6" s="59">
        <f t="shared" si="38"/>
        <v>187.86969111712705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6.9411764705882355</v>
      </c>
      <c r="BY6" s="12">
        <f>IF('Données projet'!$A$114&gt;35,BY5+BX6-CG5,IF(A6&lt;'Données projet'!$A$114,$BV$205^A6,IF(A6='Données projet'!$A$114,'Données projet'!$B$114,BY5+BX6-CG5)))</f>
        <v>2.3207386577487843</v>
      </c>
      <c r="BZ6" s="13">
        <f>BY6*VLOOKUP('Données projet'!$B$12,Paramètres!$A$1:$I$89,3,0)*VLOOKUP('Données projet'!$B$12,Paramètres!$A$1:$I$89,5,0)</f>
        <v>1.3878017173337731</v>
      </c>
      <c r="CA6" s="13">
        <f t="shared" si="39"/>
        <v>0.61561979180116611</v>
      </c>
      <c r="CB6" s="20">
        <f t="shared" si="10"/>
        <v>3.4892924617433518</v>
      </c>
      <c r="CC6" s="59">
        <f t="shared" si="11"/>
        <v>296.82262579507665</v>
      </c>
      <c r="CD6" s="59">
        <f ca="1">AVERAGE(OFFSET($CC$3,0,0,'Données projet'!$E$12+1,1))-AVERAGE(OFFSET($H$3,0,0,'Données projet'!$E$12+1,1))</f>
        <v>279.86432710889352</v>
      </c>
      <c r="CE6" s="59">
        <f t="shared" si="40"/>
        <v>297.01680128882509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4.8666666666666663</v>
      </c>
      <c r="CT6" s="12">
        <f>IF('Données projet'!$A$140&gt;35,CT5+CS6-DB5,IF(A6&lt;'Données projet'!$A$140,$CQ$205^A6,IF(A6='Données projet'!$A$140,'Données projet'!$B$140,CT5+CS6-DB5)))</f>
        <v>14.599999999999998</v>
      </c>
      <c r="CU6" s="17">
        <f>CT6*VLOOKUP('Données projet'!$B$13,Paramètres!$A$1:$I$89,3,0)*VLOOKUP('Données projet'!$B$13,Paramètres!$A$1:$I$89,5,0)</f>
        <v>11.615759999999998</v>
      </c>
      <c r="CV6" s="13">
        <f t="shared" si="41"/>
        <v>4.0237236990203886</v>
      </c>
      <c r="CW6" s="20">
        <f t="shared" si="13"/>
        <v>27.238767442460503</v>
      </c>
      <c r="CX6" s="59">
        <f t="shared" si="14"/>
        <v>320.57210077579384</v>
      </c>
      <c r="CY6" s="59">
        <f ca="1">AVERAGE(OFFSET($CX$3,0,0,'Données projet'!$E$13+1,1))-AVERAGE(OFFSET($H$3,0,0,'Données projet'!$E$13+1,1))</f>
        <v>314.6300257056194</v>
      </c>
      <c r="CZ6" s="59">
        <f t="shared" si="42"/>
        <v>298.00555477466668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4.8666666666666663</v>
      </c>
      <c r="DO6" s="12">
        <f>IF('Données projet'!$A$166&gt;35,DO5+DN6-DW5,IF(A6&lt;'Données projet'!$A$166,$DL$205^A6,IF(A6='Données projet'!$A$166,'Données projet'!$B$166,DO5+DN6-DW5)))</f>
        <v>14.599999999999998</v>
      </c>
      <c r="DP6" s="17">
        <f>DO6*VLOOKUP('Données projet'!$B$14,Paramètres!$A$1:$I$89,3,0)*VLOOKUP('Données projet'!$B$14,Paramètres!$A$1:$I$89,5,0)</f>
        <v>11.615759999999998</v>
      </c>
      <c r="DQ6" s="13">
        <f t="shared" si="43"/>
        <v>4.0237236990203886</v>
      </c>
      <c r="DR6" s="20">
        <f t="shared" si="16"/>
        <v>27.238767442460503</v>
      </c>
      <c r="DS6" s="59">
        <f t="shared" si="17"/>
        <v>320.57210077579384</v>
      </c>
      <c r="DT6" s="59">
        <f ca="1">AVERAGE(OFFSET($DS$3,0,0,'Données projet'!$E$14+1,1))-AVERAGE(OFFSET($H$3,0,0,'Données projet'!$E$14+1,1))</f>
        <v>314.6300257056194</v>
      </c>
      <c r="DU6" s="59">
        <f t="shared" si="44"/>
        <v>298.00555477466668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4.7456410256410253</v>
      </c>
      <c r="EJ6" s="12">
        <f>IF('Données projet'!$A$192&gt;35,EJ5+EI6-ER5,IF(A6&lt;'Données projet'!$A$192,$EG$205^A6,IF(A6='Données projet'!$A$192,'Données projet'!$B$192,EJ5+EI6-ER5)))</f>
        <v>1.6418807605276622</v>
      </c>
      <c r="EK6" s="17">
        <f>EJ6*VLOOKUP('Données projet'!$B$15,Paramètres!$A$1:$I$89,3,0)*VLOOKUP('Données projet'!$B$15,Paramètres!$A$1:$I$89,5,0)</f>
        <v>0.78974464581380555</v>
      </c>
      <c r="EL6" s="13">
        <f t="shared" si="45"/>
        <v>0.37408587004260074</v>
      </c>
      <c r="EM6" s="20">
        <f t="shared" si="19"/>
        <v>2.0270048151165745</v>
      </c>
      <c r="EN6" s="59">
        <f t="shared" si="20"/>
        <v>295.3603381484499</v>
      </c>
      <c r="EO6" s="59">
        <f ca="1">AVERAGE(OFFSET($EN$3,0,0,'Données projet'!$E$15+1,1))-AVERAGE(OFFSET($H$3,0,0,'Données projet'!$E$15+1,1))</f>
        <v>238.83604534181978</v>
      </c>
      <c r="EP6" s="59">
        <f t="shared" si="46"/>
        <v>114.85152559837792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1.4666666666666666</v>
      </c>
      <c r="FE6" s="12">
        <f>IF('Données projet'!$A$218&gt;35,FE5+FD6-FM5,IF(A6&lt;'Données projet'!$A$218,$FB$205^A6,IF(A6='Données projet'!$A$218,'Données projet'!$B$218,FE5+FD6-FM5)))</f>
        <v>1.8556007362580844</v>
      </c>
      <c r="FF6" s="17">
        <f>FE6*VLOOKUP('Données projet'!$B$16,Paramètres!$A$1:$I$89,3,0)*VLOOKUP('Données projet'!$B$16,Paramètres!$A$1:$I$89,5,0)</f>
        <v>1.505263317252558</v>
      </c>
      <c r="FG6" s="13">
        <f t="shared" si="47"/>
        <v>0.66143999332759196</v>
      </c>
      <c r="FH6" s="20">
        <f t="shared" si="22"/>
        <v>3.7736749325937615</v>
      </c>
      <c r="FI6" s="59">
        <f t="shared" si="23"/>
        <v>297.10700826592705</v>
      </c>
      <c r="FJ6" s="59">
        <f ca="1">AVERAGE(OFFSET($FI$3,0,0,'Données projet'!$E$16+1,1))-AVERAGE(OFFSET($H$3,0,0,'Données projet'!$E$16+1,1))</f>
        <v>196.95467273423861</v>
      </c>
      <c r="FK6" s="59">
        <f t="shared" si="48"/>
        <v>173.8709326829258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1.4666666666666666</v>
      </c>
      <c r="FZ6" s="12">
        <f>IF('Données projet'!$A$244&gt;35,FZ5+FY6-GH5,IF(A6&lt;'Données projet'!$A$244,$FW$205^A6,IF(A6='Données projet'!$A$244,'Données projet'!$B$244,FZ5+FY6-GH5)))</f>
        <v>1.8556007362580844</v>
      </c>
      <c r="GA6" s="17">
        <f>FZ6*VLOOKUP('Données projet'!$B$17,Paramètres!$A$1:$I$89,3,0)*VLOOKUP('Données projet'!$B$17,Paramètres!$A$1:$I$89,5,0)</f>
        <v>1.9973686325082018</v>
      </c>
      <c r="GB6" s="13">
        <f t="shared" si="49"/>
        <v>0.8492527321168879</v>
      </c>
      <c r="GC6" s="20">
        <f t="shared" si="25"/>
        <v>4.9578655433886984</v>
      </c>
      <c r="GD6" s="59">
        <f t="shared" si="26"/>
        <v>298.29119887672204</v>
      </c>
      <c r="GE6" s="59">
        <f ca="1">AVERAGE(OFFSET($GD$3,0,0,'Données projet'!$E$17+1,1))-AVERAGE(OFFSET($H$3,0,0,'Données projet'!$E$17+1,1))</f>
        <v>275.5229427552884</v>
      </c>
      <c r="GF6" s="59">
        <f t="shared" si="50"/>
        <v>241.20234081716143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10.16068376068376</v>
      </c>
      <c r="N7" s="13">
        <f>IF('Données projet'!$A$36&gt;35,N6+M7-V6,IF(A7&lt;'Données projet'!$A$36,$K$205^A7,IF(A7='Données projet'!$A$36,'Données projet'!$B$36,N6+M7-V6)))</f>
        <v>3.1820727006504042</v>
      </c>
      <c r="O7" s="13">
        <f>N7*VLOOKUP('Données projet'!$B$9,Paramètres!$A$1:$I$89,3,0)*VLOOKUP('Données projet'!$B$9,Paramètres!$A$1:$I$89,5,0)</f>
        <v>1.7787786396635761</v>
      </c>
      <c r="P7" s="13">
        <f t="shared" si="33"/>
        <v>0.76658405325641277</v>
      </c>
      <c r="Q7" s="20">
        <f t="shared" si="2"/>
        <v>4.4331733568356464</v>
      </c>
      <c r="R7" s="59">
        <f t="shared" si="0"/>
        <v>297.76650669016897</v>
      </c>
      <c r="S7" s="59">
        <f ca="1">AVERAGE(OFFSET($R$3,0,0,'Données projet'!$E$9+1,1))-AVERAGE(OFFSET($H$3,0,0,'Données projet'!$E$9+1,1))</f>
        <v>274.57619581652199</v>
      </c>
      <c r="T7" s="59">
        <f t="shared" si="34"/>
        <v>366.15117322598775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6.2222222222222223</v>
      </c>
      <c r="AI7" s="13">
        <f>IF('Données projet'!$A$62&gt;35,AI6+AH7-AQ6,IF(A7&lt;'Données projet'!$A$62,$AF$205^A7,IF(A7='Données projet'!$A$62,'Données projet'!$B$62,AI6+AH7-AQ6)))</f>
        <v>2.8535256637456983</v>
      </c>
      <c r="AJ7" s="13">
        <f>AI7*VLOOKUP('Données projet'!$B$10,Paramètres!$A$1:$I$89,3,0)*VLOOKUP('Données projet'!$B$10,Paramètres!$A$1:$I$89,5,0)</f>
        <v>1.7806000141773157</v>
      </c>
      <c r="AK7" s="13">
        <f t="shared" si="35"/>
        <v>0.76727758599241935</v>
      </c>
      <c r="AL7" s="20">
        <f t="shared" si="4"/>
        <v>4.4375534869622877</v>
      </c>
      <c r="AM7" s="59">
        <f t="shared" si="5"/>
        <v>297.77088682029563</v>
      </c>
      <c r="AN7" s="59">
        <f ca="1">AVERAGE(OFFSET($AM$3,0,0,'Données projet'!$E$10+1,1))-AVERAGE(OFFSET($H$3,0,0,'Données projet'!$E$10+1,1))</f>
        <v>175.05987582828078</v>
      </c>
      <c r="AO7" s="59">
        <f t="shared" si="36"/>
        <v>268.54782308462387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1.2881821307420218</v>
      </c>
      <c r="BF7" s="13">
        <f t="shared" si="37"/>
        <v>0.57640532069082717</v>
      </c>
      <c r="BG7" s="20">
        <f t="shared" si="7"/>
        <v>3.2474898112455457</v>
      </c>
      <c r="BH7" s="59">
        <f t="shared" si="8"/>
        <v>296.58082314457886</v>
      </c>
      <c r="BI7" s="59">
        <f ca="1">AVERAGE(OFFSET($BH$3,0,0,'Données projet'!$E$11+1,1))-AVERAGE(OFFSET($H$3,0,0,'Données projet'!$E$11+1,1))</f>
        <v>252.70779718608964</v>
      </c>
      <c r="BJ7" s="59">
        <f t="shared" si="38"/>
        <v>187.86969111712705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6.9411764705882355</v>
      </c>
      <c r="BY7" s="12">
        <f>IF('Données projet'!$A$114&gt;35,BY6+BX7-CG6,IF(A7&lt;'Données projet'!$A$114,$BV$205^A7,IF(A7='Données projet'!$A$114,'Données projet'!$B$114,BY6+BX7-CG6)))</f>
        <v>3.0725690301044271</v>
      </c>
      <c r="BZ7" s="13">
        <f>BY7*VLOOKUP('Données projet'!$B$12,Paramètres!$A$1:$I$89,3,0)*VLOOKUP('Données projet'!$B$12,Paramètres!$A$1:$I$89,5,0)</f>
        <v>1.8373962800024475</v>
      </c>
      <c r="CA7" s="13">
        <f t="shared" si="39"/>
        <v>0.78886318355909346</v>
      </c>
      <c r="CB7" s="20">
        <f t="shared" si="10"/>
        <v>4.5740685657030165</v>
      </c>
      <c r="CC7" s="59">
        <f t="shared" si="11"/>
        <v>297.90740189903636</v>
      </c>
      <c r="CD7" s="59">
        <f ca="1">AVERAGE(OFFSET($CC$3,0,0,'Données projet'!$E$12+1,1))-AVERAGE(OFFSET($H$3,0,0,'Données projet'!$E$12+1,1))</f>
        <v>279.86432710889352</v>
      </c>
      <c r="CE7" s="59">
        <f t="shared" si="40"/>
        <v>297.01680128882509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4.8666666666666663</v>
      </c>
      <c r="CT7" s="12">
        <f>IF('Données projet'!$A$140&gt;35,CT6+CS7-DB6,IF(A7&lt;'Données projet'!$A$140,$CQ$205^A7,IF(A7='Données projet'!$A$140,'Données projet'!$B$140,CT6+CS7-DB6)))</f>
        <v>19.466666666666665</v>
      </c>
      <c r="CU7" s="17">
        <f>CT7*VLOOKUP('Données projet'!$B$13,Paramètres!$A$1:$I$89,3,0)*VLOOKUP('Données projet'!$B$13,Paramètres!$A$1:$I$89,5,0)</f>
        <v>15.487679999999999</v>
      </c>
      <c r="CV7" s="13">
        <f t="shared" si="41"/>
        <v>5.1882873190787633</v>
      </c>
      <c r="CW7" s="20">
        <f t="shared" si="13"/>
        <v>36.01064308072884</v>
      </c>
      <c r="CX7" s="59">
        <f t="shared" si="14"/>
        <v>329.34397641406213</v>
      </c>
      <c r="CY7" s="59">
        <f ca="1">AVERAGE(OFFSET($CX$3,0,0,'Données projet'!$E$13+1,1))-AVERAGE(OFFSET($H$3,0,0,'Données projet'!$E$13+1,1))</f>
        <v>314.6300257056194</v>
      </c>
      <c r="CZ7" s="59">
        <f t="shared" si="42"/>
        <v>298.00555477466668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4.8666666666666663</v>
      </c>
      <c r="DO7" s="12">
        <f>IF('Données projet'!$A$166&gt;35,DO6+DN7-DW6,IF(A7&lt;'Données projet'!$A$166,$DL$205^A7,IF(A7='Données projet'!$A$166,'Données projet'!$B$166,DO6+DN7-DW6)))</f>
        <v>19.466666666666665</v>
      </c>
      <c r="DP7" s="17">
        <f>DO7*VLOOKUP('Données projet'!$B$14,Paramètres!$A$1:$I$89,3,0)*VLOOKUP('Données projet'!$B$14,Paramètres!$A$1:$I$89,5,0)</f>
        <v>15.487679999999999</v>
      </c>
      <c r="DQ7" s="13">
        <f t="shared" si="43"/>
        <v>5.1882873190787633</v>
      </c>
      <c r="DR7" s="20">
        <f t="shared" si="16"/>
        <v>36.01064308072884</v>
      </c>
      <c r="DS7" s="59">
        <f t="shared" si="17"/>
        <v>329.34397641406213</v>
      </c>
      <c r="DT7" s="59">
        <f ca="1">AVERAGE(OFFSET($DS$3,0,0,'Données projet'!$E$14+1,1))-AVERAGE(OFFSET($H$3,0,0,'Données projet'!$E$14+1,1))</f>
        <v>314.6300257056194</v>
      </c>
      <c r="DU7" s="59">
        <f t="shared" si="44"/>
        <v>298.00555477466668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4.7456410256410253</v>
      </c>
      <c r="EJ7" s="12">
        <f>IF('Données projet'!$A$192&gt;35,EJ6+EI7-ER6,IF(A7&lt;'Données projet'!$A$192,$EG$205^A7,IF(A7='Données projet'!$A$192,'Données projet'!$B$192,EJ6+EI7-ER6)))</f>
        <v>1.9369666881181116</v>
      </c>
      <c r="EK7" s="17">
        <f>EJ7*VLOOKUP('Données projet'!$B$15,Paramètres!$A$1:$I$89,3,0)*VLOOKUP('Données projet'!$B$15,Paramètres!$A$1:$I$89,5,0)</f>
        <v>0.93168097698481167</v>
      </c>
      <c r="EL7" s="13">
        <f t="shared" si="45"/>
        <v>0.43290897306202925</v>
      </c>
      <c r="EM7" s="20">
        <f t="shared" si="19"/>
        <v>2.3766608296649143</v>
      </c>
      <c r="EN7" s="59">
        <f t="shared" si="20"/>
        <v>295.70999416299821</v>
      </c>
      <c r="EO7" s="59">
        <f ca="1">AVERAGE(OFFSET($EN$3,0,0,'Données projet'!$E$15+1,1))-AVERAGE(OFFSET($H$3,0,0,'Données projet'!$E$15+1,1))</f>
        <v>238.83604534181978</v>
      </c>
      <c r="EP7" s="59">
        <f t="shared" si="46"/>
        <v>114.85152559837792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1.4666666666666666</v>
      </c>
      <c r="FE7" s="12">
        <f>IF('Données projet'!$A$218&gt;35,FE6+FD7-FM6,IF(A7&lt;'Données projet'!$A$218,$FB$205^A7,IF(A7='Données projet'!$A$218,'Données projet'!$B$218,FE6+FD7-FM6)))</f>
        <v>2.2802338136665385</v>
      </c>
      <c r="FF7" s="17">
        <f>FE7*VLOOKUP('Données projet'!$B$16,Paramètres!$A$1:$I$89,3,0)*VLOOKUP('Données projet'!$B$16,Paramètres!$A$1:$I$89,5,0)</f>
        <v>1.8497256696462963</v>
      </c>
      <c r="FG7" s="13">
        <f t="shared" si="47"/>
        <v>0.79353867128538447</v>
      </c>
      <c r="FH7" s="20">
        <f t="shared" si="22"/>
        <v>4.6036853937893438</v>
      </c>
      <c r="FI7" s="59">
        <f t="shared" si="23"/>
        <v>297.93701872712268</v>
      </c>
      <c r="FJ7" s="59">
        <f ca="1">AVERAGE(OFFSET($FI$3,0,0,'Données projet'!$E$16+1,1))-AVERAGE(OFFSET($H$3,0,0,'Données projet'!$E$16+1,1))</f>
        <v>196.95467273423861</v>
      </c>
      <c r="FK7" s="59">
        <f t="shared" si="48"/>
        <v>173.8709326829258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1.4666666666666666</v>
      </c>
      <c r="FZ7" s="12">
        <f>IF('Données projet'!$A$244&gt;35,FZ6+FY7-GH6,IF(A7&lt;'Données projet'!$A$244,$FW$205^A7,IF(A7='Données projet'!$A$244,'Données projet'!$B$244,FZ6+FY7-GH6)))</f>
        <v>2.2802338136665385</v>
      </c>
      <c r="GA7" s="17">
        <f>FZ7*VLOOKUP('Données projet'!$B$17,Paramètres!$A$1:$I$89,3,0)*VLOOKUP('Données projet'!$B$17,Paramètres!$A$1:$I$89,5,0)</f>
        <v>2.4544436770306621</v>
      </c>
      <c r="GB7" s="13">
        <f t="shared" si="49"/>
        <v>1.0188602011184216</v>
      </c>
      <c r="GC7" s="20">
        <f t="shared" si="25"/>
        <v>6.0493375877763205</v>
      </c>
      <c r="GD7" s="59">
        <f t="shared" si="26"/>
        <v>299.38267092110965</v>
      </c>
      <c r="GE7" s="59">
        <f ca="1">AVERAGE(OFFSET($GD$3,0,0,'Données projet'!$E$17+1,1))-AVERAGE(OFFSET($H$3,0,0,'Données projet'!$E$17+1,1))</f>
        <v>275.5229427552884</v>
      </c>
      <c r="GF7" s="59">
        <f t="shared" si="50"/>
        <v>241.20234081716143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10.16068376068376</v>
      </c>
      <c r="N8" s="13">
        <f>IF('Données projet'!$A$36&gt;35,N7+M8-V7,IF(A8&lt;'Données projet'!$A$36,$K$205^A8,IF(A8='Données projet'!$A$36,'Données projet'!$B$36,N7+M8-V7)))</f>
        <v>4.2499872010157462</v>
      </c>
      <c r="O8" s="13">
        <f>N8*VLOOKUP('Données projet'!$B$9,Paramètres!$A$1:$I$89,3,0)*VLOOKUP('Données projet'!$B$9,Paramètres!$A$1:$I$89,5,0)</f>
        <v>2.3757428453678022</v>
      </c>
      <c r="P8" s="13">
        <f t="shared" si="33"/>
        <v>0.98993901605593615</v>
      </c>
      <c r="Q8" s="20">
        <f t="shared" si="2"/>
        <v>5.8618959086463436</v>
      </c>
      <c r="R8" s="59">
        <f t="shared" si="0"/>
        <v>299.19522924197963</v>
      </c>
      <c r="S8" s="59">
        <f ca="1">AVERAGE(OFFSET($R$3,0,0,'Données projet'!$E$9+1,1))-AVERAGE(OFFSET($H$3,0,0,'Données projet'!$E$9+1,1))</f>
        <v>274.57619581652199</v>
      </c>
      <c r="T8" s="59">
        <f t="shared" si="34"/>
        <v>366.15117322598775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6.2222222222222223</v>
      </c>
      <c r="AI8" s="13">
        <f>IF('Données projet'!$A$62&gt;35,AI7+AH8-AQ7,IF(A8&lt;'Données projet'!$A$62,$AF$205^A8,IF(A8='Données projet'!$A$62,'Données projet'!$B$62,AI7+AH8-AQ7)))</f>
        <v>3.7087471750180505</v>
      </c>
      <c r="AJ8" s="13">
        <f>AI8*VLOOKUP('Données projet'!$B$10,Paramètres!$A$1:$I$89,3,0)*VLOOKUP('Données projet'!$B$10,Paramètres!$A$1:$I$89,5,0)</f>
        <v>2.3142582372112632</v>
      </c>
      <c r="AK8" s="13">
        <f t="shared" si="35"/>
        <v>0.96726694681425085</v>
      </c>
      <c r="AL8" s="20">
        <f t="shared" si="4"/>
        <v>5.7153230288444377</v>
      </c>
      <c r="AM8" s="59">
        <f t="shared" si="5"/>
        <v>299.04865636217778</v>
      </c>
      <c r="AN8" s="59">
        <f ca="1">AVERAGE(OFFSET($AM$3,0,0,'Données projet'!$E$10+1,1))-AVERAGE(OFFSET($H$3,0,0,'Données projet'!$E$10+1,1))</f>
        <v>175.05987582828078</v>
      </c>
      <c r="AO8" s="59">
        <f t="shared" si="36"/>
        <v>268.54782308462387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1.6592434993173915</v>
      </c>
      <c r="BF8" s="13">
        <f t="shared" si="37"/>
        <v>0.72088277944126433</v>
      </c>
      <c r="BG8" s="20">
        <f t="shared" si="7"/>
        <v>4.1453866021713255</v>
      </c>
      <c r="BH8" s="59">
        <f t="shared" si="8"/>
        <v>297.47871993550461</v>
      </c>
      <c r="BI8" s="59">
        <f ca="1">AVERAGE(OFFSET($BH$3,0,0,'Données projet'!$E$11+1,1))-AVERAGE(OFFSET($H$3,0,0,'Données projet'!$E$11+1,1))</f>
        <v>252.70779718608964</v>
      </c>
      <c r="BJ8" s="59">
        <f t="shared" si="38"/>
        <v>187.86969111712705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6.9411764705882355</v>
      </c>
      <c r="BY8" s="12">
        <f>IF('Données projet'!$A$114&gt;35,BY7+BX8-CG7,IF(A8&lt;'Données projet'!$A$114,$BV$205^A8,IF(A8='Données projet'!$A$114,'Données projet'!$B$114,BY7+BX8-CG7)))</f>
        <v>4.0679636258202043</v>
      </c>
      <c r="BZ8" s="13">
        <f>BY8*VLOOKUP('Données projet'!$B$12,Paramètres!$A$1:$I$89,3,0)*VLOOKUP('Données projet'!$B$12,Paramètres!$A$1:$I$89,5,0)</f>
        <v>2.4326422482404824</v>
      </c>
      <c r="CA8" s="13">
        <f t="shared" si="39"/>
        <v>1.0108595120931088</v>
      </c>
      <c r="CB8" s="20">
        <f t="shared" si="10"/>
        <v>5.9974322325810041</v>
      </c>
      <c r="CC8" s="59">
        <f t="shared" si="11"/>
        <v>299.33076556591431</v>
      </c>
      <c r="CD8" s="59">
        <f ca="1">AVERAGE(OFFSET($CC$3,0,0,'Données projet'!$E$12+1,1))-AVERAGE(OFFSET($H$3,0,0,'Données projet'!$E$12+1,1))</f>
        <v>279.86432710889352</v>
      </c>
      <c r="CE8" s="59">
        <f t="shared" si="40"/>
        <v>297.01680128882509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4.8666666666666663</v>
      </c>
      <c r="CT8" s="12">
        <f>IF('Données projet'!$A$140&gt;35,CT7+CS8-DB7,IF(A8&lt;'Données projet'!$A$140,$CQ$205^A8,IF(A8='Données projet'!$A$140,'Données projet'!$B$140,CT7+CS8-DB7)))</f>
        <v>24.333333333333332</v>
      </c>
      <c r="CU8" s="17">
        <f>CT8*VLOOKUP('Données projet'!$B$13,Paramètres!$A$1:$I$89,3,0)*VLOOKUP('Données projet'!$B$13,Paramètres!$A$1:$I$89,5,0)</f>
        <v>19.3596</v>
      </c>
      <c r="CV8" s="13">
        <f t="shared" si="41"/>
        <v>6.3190778539908736</v>
      </c>
      <c r="CW8" s="20">
        <f t="shared" si="13"/>
        <v>44.723697262367438</v>
      </c>
      <c r="CX8" s="59">
        <f t="shared" si="14"/>
        <v>338.05703059570078</v>
      </c>
      <c r="CY8" s="59">
        <f ca="1">AVERAGE(OFFSET($CX$3,0,0,'Données projet'!$E$13+1,1))-AVERAGE(OFFSET($H$3,0,0,'Données projet'!$E$13+1,1))</f>
        <v>314.6300257056194</v>
      </c>
      <c r="CZ8" s="59">
        <f t="shared" si="42"/>
        <v>298.00555477466668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4.8666666666666663</v>
      </c>
      <c r="DO8" s="12">
        <f>IF('Données projet'!$A$166&gt;35,DO7+DN8-DW7,IF(A8&lt;'Données projet'!$A$166,$DL$205^A8,IF(A8='Données projet'!$A$166,'Données projet'!$B$166,DO7+DN8-DW7)))</f>
        <v>24.333333333333332</v>
      </c>
      <c r="DP8" s="17">
        <f>DO8*VLOOKUP('Données projet'!$B$14,Paramètres!$A$1:$I$89,3,0)*VLOOKUP('Données projet'!$B$14,Paramètres!$A$1:$I$89,5,0)</f>
        <v>19.3596</v>
      </c>
      <c r="DQ8" s="13">
        <f t="shared" si="43"/>
        <v>6.3190778539908736</v>
      </c>
      <c r="DR8" s="20">
        <f t="shared" si="16"/>
        <v>44.723697262367438</v>
      </c>
      <c r="DS8" s="59">
        <f t="shared" si="17"/>
        <v>338.05703059570078</v>
      </c>
      <c r="DT8" s="59">
        <f ca="1">AVERAGE(OFFSET($DS$3,0,0,'Données projet'!$E$14+1,1))-AVERAGE(OFFSET($H$3,0,0,'Données projet'!$E$14+1,1))</f>
        <v>314.6300257056194</v>
      </c>
      <c r="DU8" s="59">
        <f t="shared" si="44"/>
        <v>298.00555477466668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4.7456410256410253</v>
      </c>
      <c r="EJ8" s="12">
        <f>IF('Données projet'!$A$192&gt;35,EJ7+EI8-ER7,IF(A8&lt;'Données projet'!$A$192,$EG$205^A8,IF(A8='Données projet'!$A$192,'Données projet'!$B$192,EJ7+EI8-ER7)))</f>
        <v>2.2850867377686379</v>
      </c>
      <c r="EK8" s="17">
        <f>EJ8*VLOOKUP('Données projet'!$B$15,Paramètres!$A$1:$I$89,3,0)*VLOOKUP('Données projet'!$B$15,Paramètres!$A$1:$I$89,5,0)</f>
        <v>1.0991267208667148</v>
      </c>
      <c r="EL8" s="13">
        <f t="shared" si="45"/>
        <v>0.50098171025887328</v>
      </c>
      <c r="EM8" s="20">
        <f t="shared" si="19"/>
        <v>2.7868555175437328</v>
      </c>
      <c r="EN8" s="59">
        <f t="shared" si="20"/>
        <v>296.12018885087707</v>
      </c>
      <c r="EO8" s="59">
        <f ca="1">AVERAGE(OFFSET($EN$3,0,0,'Données projet'!$E$15+1,1))-AVERAGE(OFFSET($H$3,0,0,'Données projet'!$E$15+1,1))</f>
        <v>238.83604534181978</v>
      </c>
      <c r="EP8" s="59">
        <f t="shared" si="46"/>
        <v>114.85152559837792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1.4666666666666666</v>
      </c>
      <c r="FE8" s="12">
        <f>IF('Données projet'!$A$218&gt;35,FE7+FD8-FM7,IF(A8&lt;'Données projet'!$A$218,$FB$205^A8,IF(A8='Données projet'!$A$218,'Données projet'!$B$218,FE7+FD8-FM7)))</f>
        <v>2.8020393306553872</v>
      </c>
      <c r="FF8" s="17">
        <f>FE8*VLOOKUP('Données projet'!$B$16,Paramètres!$A$1:$I$89,3,0)*VLOOKUP('Données projet'!$B$16,Paramètres!$A$1:$I$89,5,0)</f>
        <v>2.2730143050276506</v>
      </c>
      <c r="FG8" s="13">
        <f t="shared" si="47"/>
        <v>0.9520192748815226</v>
      </c>
      <c r="FH8" s="20">
        <f t="shared" si="22"/>
        <v>5.6169334850084764</v>
      </c>
      <c r="FI8" s="59">
        <f t="shared" si="23"/>
        <v>298.95026681834179</v>
      </c>
      <c r="FJ8" s="59">
        <f ca="1">AVERAGE(OFFSET($FI$3,0,0,'Données projet'!$E$16+1,1))-AVERAGE(OFFSET($H$3,0,0,'Données projet'!$E$16+1,1))</f>
        <v>196.95467273423861</v>
      </c>
      <c r="FK8" s="59">
        <f t="shared" si="48"/>
        <v>173.8709326829258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1.4666666666666666</v>
      </c>
      <c r="FZ8" s="12">
        <f>IF('Données projet'!$A$244&gt;35,FZ7+FY8-GH7,IF(A8&lt;'Données projet'!$A$244,$FW$205^A8,IF(A8='Données projet'!$A$244,'Données projet'!$B$244,FZ7+FY8-GH7)))</f>
        <v>2.8020393306553872</v>
      </c>
      <c r="GA8" s="17">
        <f>FZ8*VLOOKUP('Données projet'!$B$17,Paramètres!$A$1:$I$89,3,0)*VLOOKUP('Données projet'!$B$17,Paramètres!$A$1:$I$89,5,0)</f>
        <v>3.0161151355174587</v>
      </c>
      <c r="GB8" s="13">
        <f t="shared" si="49"/>
        <v>1.2223406180107446</v>
      </c>
      <c r="GC8" s="20">
        <f t="shared" si="25"/>
        <v>7.3819771040616198</v>
      </c>
      <c r="GD8" s="59">
        <f t="shared" si="26"/>
        <v>300.71531043739492</v>
      </c>
      <c r="GE8" s="59">
        <f ca="1">AVERAGE(OFFSET($GD$3,0,0,'Données projet'!$E$17+1,1))-AVERAGE(OFFSET($H$3,0,0,'Données projet'!$E$17+1,1))</f>
        <v>275.5229427552884</v>
      </c>
      <c r="GF8" s="59">
        <f t="shared" si="50"/>
        <v>241.20234081716143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10.16068376068376</v>
      </c>
      <c r="N9" s="13">
        <f>IF('Données projet'!$A$36&gt;35,N8+M9-V8,IF(A9&lt;'Données projet'!$A$36,$K$205^A9,IF(A9='Données projet'!$A$36,'Données projet'!$B$36,N8+M9-V8)))</f>
        <v>5.6762974664613317</v>
      </c>
      <c r="O9" s="13">
        <f>N9*VLOOKUP('Données projet'!$B$9,Paramètres!$A$1:$I$89,3,0)*VLOOKUP('Données projet'!$B$9,Paramètres!$A$1:$I$89,5,0)</f>
        <v>3.1730502837518846</v>
      </c>
      <c r="P9" s="13">
        <f t="shared" si="33"/>
        <v>1.27837156453606</v>
      </c>
      <c r="Q9" s="20">
        <f t="shared" si="2"/>
        <v>7.7528930524348363</v>
      </c>
      <c r="R9" s="59">
        <f t="shared" si="0"/>
        <v>301.08622638576816</v>
      </c>
      <c r="S9" s="59">
        <f ca="1">AVERAGE(OFFSET($R$3,0,0,'Données projet'!$E$9+1,1))-AVERAGE(OFFSET($H$3,0,0,'Données projet'!$E$9+1,1))</f>
        <v>274.57619581652199</v>
      </c>
      <c r="T9" s="59">
        <f t="shared" si="34"/>
        <v>366.15117322598775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6.2222222222222223</v>
      </c>
      <c r="AI9" s="13">
        <f>IF('Données projet'!$A$62&gt;35,AI8+AH9-AQ8,IF(A9&lt;'Données projet'!$A$62,$AF$205^A9,IF(A9='Données projet'!$A$62,'Données projet'!$B$62,AI8+AH9-AQ8)))</f>
        <v>4.8202845283504612</v>
      </c>
      <c r="AJ9" s="13">
        <f>AI9*VLOOKUP('Données projet'!$B$10,Paramètres!$A$1:$I$89,3,0)*VLOOKUP('Données projet'!$B$10,Paramètres!$A$1:$I$89,5,0)</f>
        <v>3.0078575456906878</v>
      </c>
      <c r="AK9" s="13">
        <f t="shared" si="35"/>
        <v>1.2193831326236693</v>
      </c>
      <c r="AL9" s="20">
        <f t="shared" si="4"/>
        <v>7.3624441813975059</v>
      </c>
      <c r="AM9" s="59">
        <f t="shared" si="5"/>
        <v>300.69577751473082</v>
      </c>
      <c r="AN9" s="59">
        <f ca="1">AVERAGE(OFFSET($AM$3,0,0,'Données projet'!$E$10+1,1))-AVERAGE(OFFSET($H$3,0,0,'Données projet'!$E$10+1,1))</f>
        <v>175.05987582828078</v>
      </c>
      <c r="AO9" s="59">
        <f t="shared" si="36"/>
        <v>268.54782308462387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2.1371892408111433</v>
      </c>
      <c r="BF9" s="13">
        <f t="shared" si="37"/>
        <v>0.9015738804633705</v>
      </c>
      <c r="BG9" s="20">
        <f t="shared" si="7"/>
        <v>5.292512436219778</v>
      </c>
      <c r="BH9" s="59">
        <f t="shared" si="8"/>
        <v>298.62584576955311</v>
      </c>
      <c r="BI9" s="59">
        <f ca="1">AVERAGE(OFFSET($BH$3,0,0,'Données projet'!$E$11+1,1))-AVERAGE(OFFSET($H$3,0,0,'Données projet'!$E$11+1,1))</f>
        <v>252.70779718608964</v>
      </c>
      <c r="BJ9" s="59">
        <f t="shared" si="38"/>
        <v>187.86969111712705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6.9411764705882355</v>
      </c>
      <c r="BY9" s="12">
        <f>IF('Données projet'!$A$114&gt;35,BY8+BX9-CG8,IF(A9&lt;'Données projet'!$A$114,$BV$205^A9,IF(A9='Données projet'!$A$114,'Données projet'!$B$114,BY8+BX9-CG8)))</f>
        <v>5.38582791756963</v>
      </c>
      <c r="BZ9" s="13">
        <f>BY9*VLOOKUP('Données projet'!$B$12,Paramètres!$A$1:$I$89,3,0)*VLOOKUP('Données projet'!$B$12,Paramètres!$A$1:$I$89,5,0)</f>
        <v>3.2207250947066388</v>
      </c>
      <c r="CA9" s="13">
        <f t="shared" si="39"/>
        <v>1.2953284859599137</v>
      </c>
      <c r="CB9" s="20">
        <f t="shared" si="10"/>
        <v>7.8654599863275783</v>
      </c>
      <c r="CC9" s="59">
        <f t="shared" si="11"/>
        <v>301.19879331966087</v>
      </c>
      <c r="CD9" s="59">
        <f ca="1">AVERAGE(OFFSET($CC$3,0,0,'Données projet'!$E$12+1,1))-AVERAGE(OFFSET($H$3,0,0,'Données projet'!$E$12+1,1))</f>
        <v>279.86432710889352</v>
      </c>
      <c r="CE9" s="59">
        <f t="shared" si="40"/>
        <v>297.01680128882509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4.8666666666666663</v>
      </c>
      <c r="CT9" s="12">
        <f>IF('Données projet'!$A$140&gt;35,CT8+CS9-DB8,IF(A9&lt;'Données projet'!$A$140,$CQ$205^A9,IF(A9='Données projet'!$A$140,'Données projet'!$B$140,CT8+CS9-DB8)))</f>
        <v>29.2</v>
      </c>
      <c r="CU9" s="17">
        <f>CT9*VLOOKUP('Données projet'!$B$13,Paramètres!$A$1:$I$89,3,0)*VLOOKUP('Données projet'!$B$13,Paramètres!$A$1:$I$89,5,0)</f>
        <v>23.23152</v>
      </c>
      <c r="CV9" s="13">
        <f t="shared" si="41"/>
        <v>7.4236631097428143</v>
      </c>
      <c r="CW9" s="20">
        <f t="shared" si="13"/>
        <v>53.391110582802071</v>
      </c>
      <c r="CX9" s="59">
        <f t="shared" si="14"/>
        <v>346.72444391613539</v>
      </c>
      <c r="CY9" s="59">
        <f ca="1">AVERAGE(OFFSET($CX$3,0,0,'Données projet'!$E$13+1,1))-AVERAGE(OFFSET($H$3,0,0,'Données projet'!$E$13+1,1))</f>
        <v>314.6300257056194</v>
      </c>
      <c r="CZ9" s="59">
        <f t="shared" si="42"/>
        <v>298.00555477466668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4.8666666666666663</v>
      </c>
      <c r="DO9" s="12">
        <f>IF('Données projet'!$A$166&gt;35,DO8+DN9-DW8,IF(A9&lt;'Données projet'!$A$166,$DL$205^A9,IF(A9='Données projet'!$A$166,'Données projet'!$B$166,DO8+DN9-DW8)))</f>
        <v>29.2</v>
      </c>
      <c r="DP9" s="17">
        <f>DO9*VLOOKUP('Données projet'!$B$14,Paramètres!$A$1:$I$89,3,0)*VLOOKUP('Données projet'!$B$14,Paramètres!$A$1:$I$89,5,0)</f>
        <v>23.23152</v>
      </c>
      <c r="DQ9" s="13">
        <f t="shared" si="43"/>
        <v>7.4236631097428143</v>
      </c>
      <c r="DR9" s="20">
        <f t="shared" si="16"/>
        <v>53.391110582802071</v>
      </c>
      <c r="DS9" s="59">
        <f t="shared" si="17"/>
        <v>346.72444391613539</v>
      </c>
      <c r="DT9" s="59">
        <f ca="1">AVERAGE(OFFSET($DS$3,0,0,'Données projet'!$E$14+1,1))-AVERAGE(OFFSET($H$3,0,0,'Données projet'!$E$14+1,1))</f>
        <v>314.6300257056194</v>
      </c>
      <c r="DU9" s="59">
        <f t="shared" si="44"/>
        <v>298.00555477466668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4.7456410256410253</v>
      </c>
      <c r="EJ9" s="12">
        <f>IF('Données projet'!$A$192&gt;35,EJ8+EI9-ER8,IF(A9&lt;'Données projet'!$A$192,$EG$205^A9,IF(A9='Données projet'!$A$192,'Données projet'!$B$192,EJ8+EI9-ER8)))</f>
        <v>2.695772431790894</v>
      </c>
      <c r="EK9" s="17">
        <f>EJ9*VLOOKUP('Données projet'!$B$15,Paramètres!$A$1:$I$89,3,0)*VLOOKUP('Données projet'!$B$15,Paramètres!$A$1:$I$89,5,0)</f>
        <v>1.2966665396914201</v>
      </c>
      <c r="EL9" s="13">
        <f t="shared" si="45"/>
        <v>0.57975853962709079</v>
      </c>
      <c r="EM9" s="20">
        <f t="shared" si="19"/>
        <v>3.2681070131464067</v>
      </c>
      <c r="EN9" s="59">
        <f t="shared" si="20"/>
        <v>296.60144034647971</v>
      </c>
      <c r="EO9" s="59">
        <f ca="1">AVERAGE(OFFSET($EN$3,0,0,'Données projet'!$E$15+1,1))-AVERAGE(OFFSET($H$3,0,0,'Données projet'!$E$15+1,1))</f>
        <v>238.83604534181978</v>
      </c>
      <c r="EP9" s="59">
        <f t="shared" si="46"/>
        <v>114.85152559837792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1.4666666666666666</v>
      </c>
      <c r="FE9" s="12">
        <f>IF('Données projet'!$A$218&gt;35,FE8+FD9-FM8,IF(A9&lt;'Données projet'!$A$218,$FB$205^A9,IF(A9='Données projet'!$A$218,'Données projet'!$B$218,FE8+FD9-FM8)))</f>
        <v>3.4432540924015447</v>
      </c>
      <c r="FF9" s="17">
        <f>FE9*VLOOKUP('Données projet'!$B$16,Paramètres!$A$1:$I$89,3,0)*VLOOKUP('Données projet'!$B$16,Paramètres!$A$1:$I$89,5,0)</f>
        <v>2.7931677197561333</v>
      </c>
      <c r="FG9" s="13">
        <f t="shared" si="47"/>
        <v>1.1421506380751898</v>
      </c>
      <c r="FH9" s="20">
        <f t="shared" si="22"/>
        <v>6.8540128065562209</v>
      </c>
      <c r="FI9" s="59">
        <f t="shared" si="23"/>
        <v>300.18734613988954</v>
      </c>
      <c r="FJ9" s="59">
        <f ca="1">AVERAGE(OFFSET($FI$3,0,0,'Données projet'!$E$16+1,1))-AVERAGE(OFFSET($H$3,0,0,'Données projet'!$E$16+1,1))</f>
        <v>196.95467273423861</v>
      </c>
      <c r="FK9" s="59">
        <f t="shared" si="48"/>
        <v>173.8709326829258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1.4666666666666666</v>
      </c>
      <c r="FZ9" s="12">
        <f>IF('Données projet'!$A$244&gt;35,FZ8+FY9-GH8,IF(A9&lt;'Données projet'!$A$244,$FW$205^A9,IF(A9='Données projet'!$A$244,'Données projet'!$B$244,FZ8+FY9-GH8)))</f>
        <v>3.4432540924015447</v>
      </c>
      <c r="GA9" s="17">
        <f>FZ9*VLOOKUP('Données projet'!$B$17,Paramètres!$A$1:$I$89,3,0)*VLOOKUP('Données projet'!$B$17,Paramètres!$A$1:$I$89,5,0)</f>
        <v>3.7063187050610225</v>
      </c>
      <c r="GB9" s="13">
        <f t="shared" si="49"/>
        <v>1.4664588770851681</v>
      </c>
      <c r="GC9" s="20">
        <f t="shared" si="25"/>
        <v>9.0092542889046143</v>
      </c>
      <c r="GD9" s="59">
        <f t="shared" si="26"/>
        <v>302.34258762223794</v>
      </c>
      <c r="GE9" s="59">
        <f ca="1">AVERAGE(OFFSET($GD$3,0,0,'Données projet'!$E$17+1,1))-AVERAGE(OFFSET($H$3,0,0,'Données projet'!$E$17+1,1))</f>
        <v>275.5229427552884</v>
      </c>
      <c r="GF9" s="59">
        <f t="shared" si="50"/>
        <v>241.20234081716143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10.16068376068376</v>
      </c>
      <c r="N10" s="13">
        <f>IF('Données projet'!$A$36&gt;35,N9+M10-V9,IF(A10&lt;'Données projet'!$A$36,$K$205^A10,IF(A10='Données projet'!$A$36,'Données projet'!$B$36,N9+M10-V9)))</f>
        <v>7.5812823436396872</v>
      </c>
      <c r="O10" s="13">
        <f>N10*VLOOKUP('Données projet'!$B$9,Paramètres!$A$1:$I$89,3,0)*VLOOKUP('Données projet'!$B$9,Paramètres!$A$1:$I$89,5,0)</f>
        <v>4.2379368300945854</v>
      </c>
      <c r="P10" s="13">
        <f t="shared" si="33"/>
        <v>1.6508429615446465</v>
      </c>
      <c r="Q10" s="20">
        <f t="shared" si="2"/>
        <v>10.256291470438329</v>
      </c>
      <c r="R10" s="59">
        <f t="shared" si="0"/>
        <v>303.58962480377164</v>
      </c>
      <c r="S10" s="59">
        <f ca="1">AVERAGE(OFFSET($R$3,0,0,'Données projet'!$E$9+1,1))-AVERAGE(OFFSET($H$3,0,0,'Données projet'!$E$9+1,1))</f>
        <v>274.57619581652199</v>
      </c>
      <c r="T10" s="59">
        <f t="shared" si="34"/>
        <v>366.15117322598775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6.2222222222222223</v>
      </c>
      <c r="AI10" s="13">
        <f>IF('Données projet'!$A$62&gt;35,AI9+AH10-AQ9,IF(A10&lt;'Données projet'!$A$62,$AF$205^A10,IF(A10='Données projet'!$A$62,'Données projet'!$B$62,AI9+AH10-AQ9)))</f>
        <v>6.2649573664027773</v>
      </c>
      <c r="AJ10" s="13">
        <f>AI10*VLOOKUP('Données projet'!$B$10,Paramètres!$A$1:$I$89,3,0)*VLOOKUP('Données projet'!$B$10,Paramètres!$A$1:$I$89,5,0)</f>
        <v>3.9093333966353332</v>
      </c>
      <c r="AK10" s="13">
        <f t="shared" si="35"/>
        <v>1.5372128955964925</v>
      </c>
      <c r="AL10" s="20">
        <f t="shared" si="4"/>
        <v>9.4860681256370967</v>
      </c>
      <c r="AM10" s="59">
        <f t="shared" si="5"/>
        <v>302.81940145897039</v>
      </c>
      <c r="AN10" s="59">
        <f ca="1">AVERAGE(OFFSET($AM$3,0,0,'Données projet'!$E$10+1,1))-AVERAGE(OFFSET($H$3,0,0,'Données projet'!$E$10+1,1))</f>
        <v>175.05987582828078</v>
      </c>
      <c r="AO10" s="59">
        <f t="shared" si="36"/>
        <v>268.54782308462387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2.7528074408114294</v>
      </c>
      <c r="BF10" s="13">
        <f t="shared" si="37"/>
        <v>1.1275556652411438</v>
      </c>
      <c r="BG10" s="20">
        <f t="shared" si="7"/>
        <v>6.7582990763748976</v>
      </c>
      <c r="BH10" s="59">
        <f t="shared" si="8"/>
        <v>300.09163240970821</v>
      </c>
      <c r="BI10" s="59">
        <f ca="1">AVERAGE(OFFSET($BH$3,0,0,'Données projet'!$E$11+1,1))-AVERAGE(OFFSET($H$3,0,0,'Données projet'!$E$11+1,1))</f>
        <v>252.70779718608964</v>
      </c>
      <c r="BJ10" s="59">
        <f t="shared" si="38"/>
        <v>187.86969111712705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6.9411764705882355</v>
      </c>
      <c r="BY10" s="12">
        <f>IF('Données projet'!$A$114&gt;35,BY9+BX10-CG9,IF(A10&lt;'Données projet'!$A$114,$BV$205^A10,IF(A10='Données projet'!$A$114,'Données projet'!$B$114,BY9+BX10-CG9)))</f>
        <v>7.130629726765032</v>
      </c>
      <c r="BZ10" s="13">
        <f>BY10*VLOOKUP('Données projet'!$B$12,Paramètres!$A$1:$I$89,3,0)*VLOOKUP('Données projet'!$B$12,Paramètres!$A$1:$I$89,5,0)</f>
        <v>4.26411657660549</v>
      </c>
      <c r="CA10" s="13">
        <f t="shared" si="39"/>
        <v>1.6598507175986843</v>
      </c>
      <c r="CB10" s="20">
        <f t="shared" si="10"/>
        <v>10.317576370738935</v>
      </c>
      <c r="CC10" s="59">
        <f t="shared" si="11"/>
        <v>303.65090970407226</v>
      </c>
      <c r="CD10" s="59">
        <f ca="1">AVERAGE(OFFSET($CC$3,0,0,'Données projet'!$E$12+1,1))-AVERAGE(OFFSET($H$3,0,0,'Données projet'!$E$12+1,1))</f>
        <v>279.86432710889352</v>
      </c>
      <c r="CE10" s="59">
        <f t="shared" si="40"/>
        <v>297.01680128882509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4.8666666666666663</v>
      </c>
      <c r="CT10" s="12">
        <f>IF('Données projet'!$A$140&gt;35,CT9+CS10-DB9,IF(A10&lt;'Données projet'!$A$140,$CQ$205^A10,IF(A10='Données projet'!$A$140,'Données projet'!$B$140,CT9+CS10-DB9)))</f>
        <v>34.066666666666663</v>
      </c>
      <c r="CU10" s="17">
        <f>CT10*VLOOKUP('Données projet'!$B$13,Paramètres!$A$1:$I$89,3,0)*VLOOKUP('Données projet'!$B$13,Paramètres!$A$1:$I$89,5,0)</f>
        <v>27.103439999999999</v>
      </c>
      <c r="CV10" s="13">
        <f t="shared" si="41"/>
        <v>8.5069217582403507</v>
      </c>
      <c r="CW10" s="20">
        <f t="shared" si="13"/>
        <v>62.021380062268605</v>
      </c>
      <c r="CX10" s="59">
        <f t="shared" si="14"/>
        <v>355.35471339560195</v>
      </c>
      <c r="CY10" s="59">
        <f ca="1">AVERAGE(OFFSET($CX$3,0,0,'Données projet'!$E$13+1,1))-AVERAGE(OFFSET($H$3,0,0,'Données projet'!$E$13+1,1))</f>
        <v>314.6300257056194</v>
      </c>
      <c r="CZ10" s="59">
        <f t="shared" si="42"/>
        <v>298.00555477466668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4.8666666666666663</v>
      </c>
      <c r="DO10" s="12">
        <f>IF('Données projet'!$A$166&gt;35,DO9+DN10-DW9,IF(A10&lt;'Données projet'!$A$166,$DL$205^A10,IF(A10='Données projet'!$A$166,'Données projet'!$B$166,DO9+DN10-DW9)))</f>
        <v>34.066666666666663</v>
      </c>
      <c r="DP10" s="17">
        <f>DO10*VLOOKUP('Données projet'!$B$14,Paramètres!$A$1:$I$89,3,0)*VLOOKUP('Données projet'!$B$14,Paramètres!$A$1:$I$89,5,0)</f>
        <v>27.103439999999999</v>
      </c>
      <c r="DQ10" s="13">
        <f t="shared" si="43"/>
        <v>8.5069217582403507</v>
      </c>
      <c r="DR10" s="20">
        <f t="shared" si="16"/>
        <v>62.021380062268605</v>
      </c>
      <c r="DS10" s="59">
        <f t="shared" si="17"/>
        <v>355.35471339560195</v>
      </c>
      <c r="DT10" s="59">
        <f ca="1">AVERAGE(OFFSET($DS$3,0,0,'Données projet'!$E$14+1,1))-AVERAGE(OFFSET($H$3,0,0,'Données projet'!$E$14+1,1))</f>
        <v>314.6300257056194</v>
      </c>
      <c r="DU10" s="59">
        <f t="shared" si="44"/>
        <v>298.00555477466668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4.7456410256410253</v>
      </c>
      <c r="EJ10" s="12">
        <f>IF('Données projet'!$A$192&gt;35,EJ9+EI10-ER9,IF(A10&lt;'Données projet'!$A$192,$EG$205^A10,IF(A10='Données projet'!$A$192,'Données projet'!$B$192,EJ9+EI10-ER9)))</f>
        <v>3.1802683390041122</v>
      </c>
      <c r="EK10" s="17">
        <f>EJ10*VLOOKUP('Données projet'!$B$15,Paramètres!$A$1:$I$89,3,0)*VLOOKUP('Données projet'!$B$15,Paramètres!$A$1:$I$89,5,0)</f>
        <v>1.529709071060978</v>
      </c>
      <c r="EL10" s="13">
        <f t="shared" si="45"/>
        <v>0.67092262529275404</v>
      </c>
      <c r="EM10" s="20">
        <f t="shared" si="19"/>
        <v>3.8327668711494169</v>
      </c>
      <c r="EN10" s="59">
        <f t="shared" si="20"/>
        <v>297.16610020448275</v>
      </c>
      <c r="EO10" s="59">
        <f ca="1">AVERAGE(OFFSET($EN$3,0,0,'Données projet'!$E$15+1,1))-AVERAGE(OFFSET($H$3,0,0,'Données projet'!$E$15+1,1))</f>
        <v>238.83604534181978</v>
      </c>
      <c r="EP10" s="59">
        <f t="shared" si="46"/>
        <v>114.85152559837792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1.4666666666666666</v>
      </c>
      <c r="FE10" s="12">
        <f>IF('Données projet'!$A$218&gt;35,FE9+FD10-FM9,IF(A10&lt;'Données projet'!$A$218,$FB$205^A10,IF(A10='Données projet'!$A$218,'Données projet'!$B$218,FE9+FD10-FM9)))</f>
        <v>4.2312035434802082</v>
      </c>
      <c r="FF10" s="17">
        <f>FE10*VLOOKUP('Données projet'!$B$16,Paramètres!$A$1:$I$89,3,0)*VLOOKUP('Données projet'!$B$16,Paramètres!$A$1:$I$89,5,0)</f>
        <v>3.432352314471145</v>
      </c>
      <c r="FG10" s="13">
        <f t="shared" si="47"/>
        <v>1.3702538535450421</v>
      </c>
      <c r="FH10" s="20">
        <f t="shared" si="22"/>
        <v>8.3645390759615257</v>
      </c>
      <c r="FI10" s="59">
        <f t="shared" si="23"/>
        <v>301.69787240929486</v>
      </c>
      <c r="FJ10" s="59">
        <f ca="1">AVERAGE(OFFSET($FI$3,0,0,'Données projet'!$E$16+1,1))-AVERAGE(OFFSET($H$3,0,0,'Données projet'!$E$16+1,1))</f>
        <v>196.95467273423861</v>
      </c>
      <c r="FK10" s="59">
        <f t="shared" si="48"/>
        <v>173.8709326829258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1.4666666666666666</v>
      </c>
      <c r="FZ10" s="12">
        <f>IF('Données projet'!$A$244&gt;35,FZ9+FY10-GH9,IF(A10&lt;'Données projet'!$A$244,$FW$205^A10,IF(A10='Données projet'!$A$244,'Données projet'!$B$244,FZ9+FY10-GH9)))</f>
        <v>4.2312035434802082</v>
      </c>
      <c r="GA10" s="17">
        <f>FZ10*VLOOKUP('Données projet'!$B$17,Paramètres!$A$1:$I$89,3,0)*VLOOKUP('Données projet'!$B$17,Paramètres!$A$1:$I$89,5,0)</f>
        <v>4.554467494202096</v>
      </c>
      <c r="GB10" s="13">
        <f t="shared" si="49"/>
        <v>1.7593309152089305</v>
      </c>
      <c r="GC10" s="20">
        <f t="shared" si="25"/>
        <v>10.996532229724204</v>
      </c>
      <c r="GD10" s="59">
        <f t="shared" si="26"/>
        <v>304.32986556305752</v>
      </c>
      <c r="GE10" s="59">
        <f ca="1">AVERAGE(OFFSET($GD$3,0,0,'Données projet'!$E$17+1,1))-AVERAGE(OFFSET($H$3,0,0,'Données projet'!$E$17+1,1))</f>
        <v>275.5229427552884</v>
      </c>
      <c r="GF10" s="59">
        <f t="shared" si="50"/>
        <v>241.20234081716143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10.16068376068376</v>
      </c>
      <c r="N11" s="13">
        <f>IF('Données projet'!$A$36&gt;35,N10+M11-V10,IF(A11&lt;'Données projet'!$A$36,$K$205^A11,IF(A11='Données projet'!$A$36,'Données projet'!$B$36,N10+M11-V10)))</f>
        <v>10.125586672224557</v>
      </c>
      <c r="O11" s="13">
        <f>N11*VLOOKUP('Données projet'!$B$9,Paramètres!$A$1:$I$89,3,0)*VLOOKUP('Données projet'!$B$9,Paramètres!$A$1:$I$89,5,0)</f>
        <v>5.6602029497735273</v>
      </c>
      <c r="P11" s="13">
        <f t="shared" si="33"/>
        <v>2.1318390984944533</v>
      </c>
      <c r="Q11" s="20">
        <f t="shared" si="2"/>
        <v>13.571139900733398</v>
      </c>
      <c r="R11" s="59">
        <f t="shared" si="0"/>
        <v>306.9044732340667</v>
      </c>
      <c r="S11" s="59">
        <f ca="1">AVERAGE(OFFSET($R$3,0,0,'Données projet'!$E$9+1,1))-AVERAGE(OFFSET($H$3,0,0,'Données projet'!$E$9+1,1))</f>
        <v>274.57619581652199</v>
      </c>
      <c r="T11" s="59">
        <f t="shared" si="34"/>
        <v>366.15117322598775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6.2222222222222223</v>
      </c>
      <c r="AI11" s="13">
        <f>IF('Données projet'!$A$62&gt;35,AI10+AH11-AQ10,IF(A11&lt;'Données projet'!$A$62,$AF$205^A11,IF(A11='Données projet'!$A$62,'Données projet'!$B$62,AI10+AH11-AQ10)))</f>
        <v>8.1426087136553278</v>
      </c>
      <c r="AJ11" s="13">
        <f>AI11*VLOOKUP('Données projet'!$B$10,Paramètres!$A$1:$I$89,3,0)*VLOOKUP('Données projet'!$B$10,Paramètres!$A$1:$I$89,5,0)</f>
        <v>5.080987837320925</v>
      </c>
      <c r="AK11" s="13">
        <f t="shared" si="35"/>
        <v>1.9378843475584122</v>
      </c>
      <c r="AL11" s="20">
        <f t="shared" si="4"/>
        <v>12.224535721998178</v>
      </c>
      <c r="AM11" s="59">
        <f t="shared" si="5"/>
        <v>305.55786905533148</v>
      </c>
      <c r="AN11" s="59">
        <f ca="1">AVERAGE(OFFSET($AM$3,0,0,'Données projet'!$E$10+1,1))-AVERAGE(OFFSET($H$3,0,0,'Données projet'!$E$10+1,1))</f>
        <v>175.05987582828078</v>
      </c>
      <c r="AO11" s="59">
        <f t="shared" si="36"/>
        <v>268.54782308462387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3.5457547050492639</v>
      </c>
      <c r="BF11" s="13">
        <f t="shared" si="37"/>
        <v>1.4101803587787649</v>
      </c>
      <c r="BG11" s="20">
        <f t="shared" si="7"/>
        <v>8.631586902833817</v>
      </c>
      <c r="BH11" s="59">
        <f t="shared" si="8"/>
        <v>301.96492023616713</v>
      </c>
      <c r="BI11" s="59">
        <f ca="1">AVERAGE(OFFSET($BH$3,0,0,'Données projet'!$E$11+1,1))-AVERAGE(OFFSET($H$3,0,0,'Données projet'!$E$11+1,1))</f>
        <v>252.70779718608964</v>
      </c>
      <c r="BJ11" s="59">
        <f t="shared" si="38"/>
        <v>187.86969111712705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6.9411764705882355</v>
      </c>
      <c r="BY11" s="12">
        <f>IF('Données projet'!$A$114&gt;35,BY10+BX11-CG10,IF(A11&lt;'Données projet'!$A$114,$BV$205^A11,IF(A11='Données projet'!$A$114,'Données projet'!$B$114,BY10+BX11-CG10)))</f>
        <v>9.4406804447568593</v>
      </c>
      <c r="BZ11" s="13">
        <f>BY11*VLOOKUP('Données projet'!$B$12,Paramètres!$A$1:$I$89,3,0)*VLOOKUP('Données projet'!$B$12,Paramètres!$A$1:$I$89,5,0)</f>
        <v>5.6455269059646023</v>
      </c>
      <c r="CA11" s="13">
        <f t="shared" si="39"/>
        <v>2.1269542317454508</v>
      </c>
      <c r="CB11" s="20">
        <f t="shared" si="10"/>
        <v>13.53707131484501</v>
      </c>
      <c r="CC11" s="59">
        <f t="shared" si="11"/>
        <v>306.87040464817835</v>
      </c>
      <c r="CD11" s="59">
        <f ca="1">AVERAGE(OFFSET($CC$3,0,0,'Données projet'!$E$12+1,1))-AVERAGE(OFFSET($H$3,0,0,'Données projet'!$E$12+1,1))</f>
        <v>279.86432710889352</v>
      </c>
      <c r="CE11" s="59">
        <f t="shared" si="40"/>
        <v>297.01680128882509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4.8666666666666663</v>
      </c>
      <c r="CT11" s="12">
        <f>IF('Données projet'!$A$140&gt;35,CT10+CS11-DB10,IF(A11&lt;'Données projet'!$A$140,$CQ$205^A11,IF(A11='Données projet'!$A$140,'Données projet'!$B$140,CT10+CS11-DB10)))</f>
        <v>38.93333333333333</v>
      </c>
      <c r="CU11" s="17">
        <f>CT11*VLOOKUP('Données projet'!$B$13,Paramètres!$A$1:$I$89,3,0)*VLOOKUP('Données projet'!$B$13,Paramètres!$A$1:$I$89,5,0)</f>
        <v>30.975359999999998</v>
      </c>
      <c r="CV11" s="13">
        <f t="shared" si="41"/>
        <v>9.5722519870756884</v>
      </c>
      <c r="CW11" s="20">
        <f t="shared" si="13"/>
        <v>70.620424210823487</v>
      </c>
      <c r="CX11" s="59">
        <f t="shared" si="14"/>
        <v>363.95375754415682</v>
      </c>
      <c r="CY11" s="59">
        <f ca="1">AVERAGE(OFFSET($CX$3,0,0,'Données projet'!$E$13+1,1))-AVERAGE(OFFSET($H$3,0,0,'Données projet'!$E$13+1,1))</f>
        <v>314.6300257056194</v>
      </c>
      <c r="CZ11" s="59">
        <f t="shared" si="42"/>
        <v>298.00555477466668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4.8666666666666663</v>
      </c>
      <c r="DO11" s="12">
        <f>IF('Données projet'!$A$166&gt;35,DO10+DN11-DW10,IF(A11&lt;'Données projet'!$A$166,$DL$205^A11,IF(A11='Données projet'!$A$166,'Données projet'!$B$166,DO10+DN11-DW10)))</f>
        <v>38.93333333333333</v>
      </c>
      <c r="DP11" s="17">
        <f>DO11*VLOOKUP('Données projet'!$B$14,Paramètres!$A$1:$I$89,3,0)*VLOOKUP('Données projet'!$B$14,Paramètres!$A$1:$I$89,5,0)</f>
        <v>30.975359999999998</v>
      </c>
      <c r="DQ11" s="13">
        <f t="shared" si="43"/>
        <v>9.5722519870756884</v>
      </c>
      <c r="DR11" s="20">
        <f t="shared" si="16"/>
        <v>70.620424210823487</v>
      </c>
      <c r="DS11" s="59">
        <f t="shared" si="17"/>
        <v>363.95375754415682</v>
      </c>
      <c r="DT11" s="59">
        <f ca="1">AVERAGE(OFFSET($DS$3,0,0,'Données projet'!$E$14+1,1))-AVERAGE(OFFSET($H$3,0,0,'Données projet'!$E$14+1,1))</f>
        <v>314.6300257056194</v>
      </c>
      <c r="DU11" s="59">
        <f t="shared" si="44"/>
        <v>298.00555477466668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4.7456410256410253</v>
      </c>
      <c r="EJ11" s="12">
        <f>IF('Données projet'!$A$192&gt;35,EJ10+EI11-ER10,IF(A11&lt;'Données projet'!$A$192,$EG$205^A11,IF(A11='Données projet'!$A$192,'Données projet'!$B$192,EJ10+EI11-ER10)))</f>
        <v>3.7518399508792455</v>
      </c>
      <c r="EK11" s="17">
        <f>EJ11*VLOOKUP('Données projet'!$B$15,Paramètres!$A$1:$I$89,3,0)*VLOOKUP('Données projet'!$B$15,Paramètres!$A$1:$I$89,5,0)</f>
        <v>1.8046350163729172</v>
      </c>
      <c r="EL11" s="13">
        <f t="shared" si="45"/>
        <v>0.77642180039168718</v>
      </c>
      <c r="EM11" s="20">
        <f t="shared" si="19"/>
        <v>4.4953406225316863</v>
      </c>
      <c r="EN11" s="59">
        <f t="shared" si="20"/>
        <v>297.82867395586499</v>
      </c>
      <c r="EO11" s="59">
        <f ca="1">AVERAGE(OFFSET($EN$3,0,0,'Données projet'!$E$15+1,1))-AVERAGE(OFFSET($H$3,0,0,'Données projet'!$E$15+1,1))</f>
        <v>238.83604534181978</v>
      </c>
      <c r="EP11" s="59">
        <f t="shared" si="46"/>
        <v>114.85152559837792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1.4666666666666666</v>
      </c>
      <c r="FE11" s="12">
        <f>IF('Données projet'!$A$218&gt;35,FE10+FD11-FM10,IF(A11&lt;'Données projet'!$A$218,$FB$205^A11,IF(A11='Données projet'!$A$218,'Données projet'!$B$218,FE10+FD11-FM10)))</f>
        <v>5.1994662449882467</v>
      </c>
      <c r="FF11" s="17">
        <f>FE11*VLOOKUP('Données projet'!$B$16,Paramètres!$A$1:$I$89,3,0)*VLOOKUP('Données projet'!$B$16,Paramètres!$A$1:$I$89,5,0)</f>
        <v>4.217807017934466</v>
      </c>
      <c r="FG11" s="13">
        <f t="shared" si="47"/>
        <v>1.6439124232502795</v>
      </c>
      <c r="FH11" s="20">
        <f t="shared" si="22"/>
        <v>10.209161360063431</v>
      </c>
      <c r="FI11" s="59">
        <f t="shared" si="23"/>
        <v>303.54249469339675</v>
      </c>
      <c r="FJ11" s="59">
        <f ca="1">AVERAGE(OFFSET($FI$3,0,0,'Données projet'!$E$16+1,1))-AVERAGE(OFFSET($H$3,0,0,'Données projet'!$E$16+1,1))</f>
        <v>196.95467273423861</v>
      </c>
      <c r="FK11" s="59">
        <f t="shared" si="48"/>
        <v>173.8709326829258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1.4666666666666666</v>
      </c>
      <c r="FZ11" s="12">
        <f>IF('Données projet'!$A$244&gt;35,FZ10+FY11-GH10,IF(A11&lt;'Données projet'!$A$244,$FW$205^A11,IF(A11='Données projet'!$A$244,'Données projet'!$B$244,FZ10+FY11-GH10)))</f>
        <v>5.1994662449882467</v>
      </c>
      <c r="GA11" s="17">
        <f>FZ11*VLOOKUP('Données projet'!$B$17,Paramètres!$A$1:$I$89,3,0)*VLOOKUP('Données projet'!$B$17,Paramètres!$A$1:$I$89,5,0)</f>
        <v>5.596705466105349</v>
      </c>
      <c r="GB11" s="13">
        <f t="shared" si="49"/>
        <v>2.110693533638127</v>
      </c>
      <c r="GC11" s="20">
        <f t="shared" si="25"/>
        <v>13.42371992455322</v>
      </c>
      <c r="GD11" s="59">
        <f t="shared" si="26"/>
        <v>306.75705325788653</v>
      </c>
      <c r="GE11" s="59">
        <f ca="1">AVERAGE(OFFSET($GD$3,0,0,'Données projet'!$E$17+1,1))-AVERAGE(OFFSET($H$3,0,0,'Données projet'!$E$17+1,1))</f>
        <v>275.5229427552884</v>
      </c>
      <c r="GF11" s="59">
        <f t="shared" si="50"/>
        <v>241.20234081716143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10.16068376068376</v>
      </c>
      <c r="N12" s="13">
        <f>IF('Données projet'!$A$36&gt;35,N11+M12-V11,IF(A12&lt;'Données projet'!$A$36,$K$205^A12,IF(A12='Données projet'!$A$36,'Données projet'!$B$36,N11+M12-V11)))</f>
        <v>13.523768250465828</v>
      </c>
      <c r="O12" s="13">
        <f>N12*VLOOKUP('Données projet'!$B$9,Paramètres!$A$1:$I$89,3,0)*VLOOKUP('Données projet'!$B$9,Paramètres!$A$1:$I$89,5,0)</f>
        <v>7.5597864520103979</v>
      </c>
      <c r="P12" s="13">
        <f t="shared" si="33"/>
        <v>2.7529801730003816</v>
      </c>
      <c r="Q12" s="20">
        <f t="shared" si="2"/>
        <v>17.961401871893774</v>
      </c>
      <c r="R12" s="59">
        <f t="shared" si="0"/>
        <v>311.29473520522708</v>
      </c>
      <c r="S12" s="59">
        <f ca="1">AVERAGE(OFFSET($R$3,0,0,'Données projet'!$E$9+1,1))-AVERAGE(OFFSET($H$3,0,0,'Données projet'!$E$9+1,1))</f>
        <v>274.57619581652199</v>
      </c>
      <c r="T12" s="59">
        <f t="shared" si="34"/>
        <v>366.15117322598775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6.2222222222222223</v>
      </c>
      <c r="AI12" s="13">
        <f>IF('Données projet'!$A$62&gt;35,AI11+AH12-AQ11,IF(A12&lt;'Données projet'!$A$62,$AF$205^A12,IF(A12='Données projet'!$A$62,'Données projet'!$B$62,AI11+AH12-AQ11)))</f>
        <v>10.583005244258365</v>
      </c>
      <c r="AJ12" s="13">
        <f>AI12*VLOOKUP('Données projet'!$B$10,Paramètres!$A$1:$I$89,3,0)*VLOOKUP('Données projet'!$B$10,Paramètres!$A$1:$I$89,5,0)</f>
        <v>6.6037952724172193</v>
      </c>
      <c r="AK12" s="13">
        <f t="shared" si="35"/>
        <v>2.4429900082608067</v>
      </c>
      <c r="AL12" s="20">
        <f t="shared" si="4"/>
        <v>15.75648436384756</v>
      </c>
      <c r="AM12" s="59">
        <f t="shared" si="5"/>
        <v>309.08981769718088</v>
      </c>
      <c r="AN12" s="59">
        <f ca="1">AVERAGE(OFFSET($AM$3,0,0,'Données projet'!$E$10+1,1))-AVERAGE(OFFSET($H$3,0,0,'Données projet'!$E$10+1,1))</f>
        <v>175.05987582828078</v>
      </c>
      <c r="AO12" s="59">
        <f t="shared" si="36"/>
        <v>268.54782308462387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4.5671107401079603</v>
      </c>
      <c r="BF12" s="13">
        <f t="shared" si="37"/>
        <v>1.763645650133036</v>
      </c>
      <c r="BG12" s="20">
        <f t="shared" si="7"/>
        <v>11.026067379669733</v>
      </c>
      <c r="BH12" s="59">
        <f t="shared" si="8"/>
        <v>304.35940071300303</v>
      </c>
      <c r="BI12" s="59">
        <f ca="1">AVERAGE(OFFSET($BH$3,0,0,'Données projet'!$E$11+1,1))-AVERAGE(OFFSET($H$3,0,0,'Données projet'!$E$11+1,1))</f>
        <v>252.70779718608964</v>
      </c>
      <c r="BJ12" s="59">
        <f t="shared" si="38"/>
        <v>187.86969111712705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6.9411764705882355</v>
      </c>
      <c r="BY12" s="12">
        <f>IF('Données projet'!$A$114&gt;35,BY11+BX12-CG11,IF(A12&lt;'Données projet'!$A$114,$BV$205^A12,IF(A12='Données projet'!$A$114,'Données projet'!$B$114,BY11+BX12-CG11)))</f>
        <v>12.499099052286473</v>
      </c>
      <c r="BZ12" s="13">
        <f>BY12*VLOOKUP('Données projet'!$B$12,Paramètres!$A$1:$I$89,3,0)*VLOOKUP('Données projet'!$B$12,Paramètres!$A$1:$I$89,5,0)</f>
        <v>7.474461233267311</v>
      </c>
      <c r="CA12" s="13">
        <f t="shared" si="39"/>
        <v>2.7255067314033421</v>
      </c>
      <c r="CB12" s="20">
        <f t="shared" si="10"/>
        <v>17.764944205134721</v>
      </c>
      <c r="CC12" s="59">
        <f t="shared" si="11"/>
        <v>311.09827753846804</v>
      </c>
      <c r="CD12" s="59">
        <f ca="1">AVERAGE(OFFSET($CC$3,0,0,'Données projet'!$E$12+1,1))-AVERAGE(OFFSET($H$3,0,0,'Données projet'!$E$12+1,1))</f>
        <v>279.86432710889352</v>
      </c>
      <c r="CE12" s="59">
        <f t="shared" si="40"/>
        <v>297.01680128882509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4.8666666666666663</v>
      </c>
      <c r="CT12" s="12">
        <f>IF('Données projet'!$A$140&gt;35,CT11+CS12-DB11,IF(A12&lt;'Données projet'!$A$140,$CQ$205^A12,IF(A12='Données projet'!$A$140,'Données projet'!$B$140,CT11+CS12-DB11)))</f>
        <v>43.8</v>
      </c>
      <c r="CU12" s="17">
        <f>CT12*VLOOKUP('Données projet'!$B$13,Paramètres!$A$1:$I$89,3,0)*VLOOKUP('Données projet'!$B$13,Paramètres!$A$1:$I$89,5,0)</f>
        <v>34.847279999999998</v>
      </c>
      <c r="CV12" s="13">
        <f t="shared" si="41"/>
        <v>10.622151507357518</v>
      </c>
      <c r="CW12" s="20">
        <f t="shared" si="13"/>
        <v>79.192593208647665</v>
      </c>
      <c r="CX12" s="59">
        <f t="shared" si="14"/>
        <v>372.52592654198099</v>
      </c>
      <c r="CY12" s="59">
        <f ca="1">AVERAGE(OFFSET($CX$3,0,0,'Données projet'!$E$13+1,1))-AVERAGE(OFFSET($H$3,0,0,'Données projet'!$E$13+1,1))</f>
        <v>314.6300257056194</v>
      </c>
      <c r="CZ12" s="59">
        <f t="shared" si="42"/>
        <v>298.00555477466668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4.8666666666666663</v>
      </c>
      <c r="DO12" s="12">
        <f>IF('Données projet'!$A$166&gt;35,DO11+DN12-DW11,IF(A12&lt;'Données projet'!$A$166,$DL$205^A12,IF(A12='Données projet'!$A$166,'Données projet'!$B$166,DO11+DN12-DW11)))</f>
        <v>43.8</v>
      </c>
      <c r="DP12" s="17">
        <f>DO12*VLOOKUP('Données projet'!$B$14,Paramètres!$A$1:$I$89,3,0)*VLOOKUP('Données projet'!$B$14,Paramètres!$A$1:$I$89,5,0)</f>
        <v>34.847279999999998</v>
      </c>
      <c r="DQ12" s="13">
        <f t="shared" si="43"/>
        <v>10.622151507357518</v>
      </c>
      <c r="DR12" s="20">
        <f t="shared" si="16"/>
        <v>79.192593208647665</v>
      </c>
      <c r="DS12" s="59">
        <f t="shared" si="17"/>
        <v>372.52592654198099</v>
      </c>
      <c r="DT12" s="59">
        <f ca="1">AVERAGE(OFFSET($DS$3,0,0,'Données projet'!$E$14+1,1))-AVERAGE(OFFSET($H$3,0,0,'Données projet'!$E$14+1,1))</f>
        <v>314.6300257056194</v>
      </c>
      <c r="DU12" s="59">
        <f t="shared" si="44"/>
        <v>298.00555477466668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4.7456410256410253</v>
      </c>
      <c r="EJ12" s="12">
        <f>IF('Données projet'!$A$192&gt;35,EJ11+EI12-ER11,IF(A12&lt;'Données projet'!$A$192,$EG$205^A12,IF(A12='Données projet'!$A$192,'Données projet'!$B$192,EJ11+EI12-ER11)))</f>
        <v>4.4261368905183378</v>
      </c>
      <c r="EK12" s="17">
        <f>EJ12*VLOOKUP('Données projet'!$B$15,Paramètres!$A$1:$I$89,3,0)*VLOOKUP('Données projet'!$B$15,Paramètres!$A$1:$I$89,5,0)</f>
        <v>2.1289718443393206</v>
      </c>
      <c r="EL12" s="13">
        <f t="shared" si="45"/>
        <v>0.89851018492695245</v>
      </c>
      <c r="EM12" s="20">
        <f t="shared" si="19"/>
        <v>5.272864534305425</v>
      </c>
      <c r="EN12" s="59">
        <f t="shared" si="20"/>
        <v>298.60619786763874</v>
      </c>
      <c r="EO12" s="59">
        <f ca="1">AVERAGE(OFFSET($EN$3,0,0,'Données projet'!$E$15+1,1))-AVERAGE(OFFSET($H$3,0,0,'Données projet'!$E$15+1,1))</f>
        <v>238.83604534181978</v>
      </c>
      <c r="EP12" s="59">
        <f t="shared" si="46"/>
        <v>114.85152559837792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1.4666666666666666</v>
      </c>
      <c r="FE12" s="12">
        <f>IF('Données projet'!$A$218&gt;35,FE11+FD12-FM11,IF(A12&lt;'Données projet'!$A$218,$FB$205^A12,IF(A12='Données projet'!$A$218,'Données projet'!$B$218,FE11+FD12-FM11)))</f>
        <v>6.3893048289839687</v>
      </c>
      <c r="FF12" s="17">
        <f>FE12*VLOOKUP('Données projet'!$B$16,Paramètres!$A$1:$I$89,3,0)*VLOOKUP('Données projet'!$B$16,Paramètres!$A$1:$I$89,5,0)</f>
        <v>5.1830040772717956</v>
      </c>
      <c r="FG12" s="13">
        <f t="shared" si="47"/>
        <v>1.9722243789535692</v>
      </c>
      <c r="FH12" s="20">
        <f t="shared" si="22"/>
        <v>12.462022894592508</v>
      </c>
      <c r="FI12" s="59">
        <f t="shared" si="23"/>
        <v>305.79535622792582</v>
      </c>
      <c r="FJ12" s="59">
        <f ca="1">AVERAGE(OFFSET($FI$3,0,0,'Données projet'!$E$16+1,1))-AVERAGE(OFFSET($H$3,0,0,'Données projet'!$E$16+1,1))</f>
        <v>196.95467273423861</v>
      </c>
      <c r="FK12" s="59">
        <f t="shared" si="48"/>
        <v>173.8709326829258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1.4666666666666666</v>
      </c>
      <c r="FZ12" s="12">
        <f>IF('Données projet'!$A$244&gt;35,FZ11+FY12-GH11,IF(A12&lt;'Données projet'!$A$244,$FW$205^A12,IF(A12='Données projet'!$A$244,'Données projet'!$B$244,FZ11+FY12-GH11)))</f>
        <v>6.3893048289839687</v>
      </c>
      <c r="GA12" s="17">
        <f>FZ12*VLOOKUP('Données projet'!$B$17,Paramètres!$A$1:$I$89,3,0)*VLOOKUP('Données projet'!$B$17,Paramètres!$A$1:$I$89,5,0)</f>
        <v>6.8774477179183426</v>
      </c>
      <c r="GB12" s="13">
        <f t="shared" si="49"/>
        <v>2.5322281069634589</v>
      </c>
      <c r="GC12" s="20">
        <f t="shared" si="25"/>
        <v>16.388518728335804</v>
      </c>
      <c r="GD12" s="59">
        <f t="shared" si="26"/>
        <v>309.7218520616691</v>
      </c>
      <c r="GE12" s="59">
        <f ca="1">AVERAGE(OFFSET($GD$3,0,0,'Données projet'!$E$17+1,1))-AVERAGE(OFFSET($H$3,0,0,'Données projet'!$E$17+1,1))</f>
        <v>275.5229427552884</v>
      </c>
      <c r="GF12" s="59">
        <f t="shared" si="50"/>
        <v>241.20234081716143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10.16068376068376</v>
      </c>
      <c r="N13" s="13">
        <f>IF('Données projet'!$A$36&gt;35,N12+M13-V12,IF(A13&lt;'Données projet'!$A$36,$K$205^A13,IF(A13='Données projet'!$A$36,'Données projet'!$B$36,N12+M13-V12)))</f>
        <v>18.062391208797656</v>
      </c>
      <c r="O13" s="13">
        <f>N13*VLOOKUP('Données projet'!$B$9,Paramètres!$A$1:$I$89,3,0)*VLOOKUP('Données projet'!$B$9,Paramètres!$A$1:$I$89,5,0)</f>
        <v>10.09687668571789</v>
      </c>
      <c r="P13" s="13">
        <f t="shared" si="33"/>
        <v>3.5550993685619052</v>
      </c>
      <c r="Q13" s="20">
        <f t="shared" si="2"/>
        <v>23.777191627870639</v>
      </c>
      <c r="R13" s="59">
        <f t="shared" si="0"/>
        <v>317.11052496120396</v>
      </c>
      <c r="S13" s="59">
        <f ca="1">AVERAGE(OFFSET($R$3,0,0,'Données projet'!$E$9+1,1))-AVERAGE(OFFSET($H$3,0,0,'Données projet'!$E$9+1,1))</f>
        <v>274.57619581652199</v>
      </c>
      <c r="T13" s="59">
        <f t="shared" si="34"/>
        <v>366.15117322598775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6.2222222222222223</v>
      </c>
      <c r="AI13" s="13">
        <f>IF('Données projet'!$A$62&gt;35,AI12+AH13-AQ12,IF(A13&lt;'Données projet'!$A$62,$AF$205^A13,IF(A13='Données projet'!$A$62,'Données projet'!$B$62,AI12+AH13-AQ12)))</f>
        <v>13.754805608204368</v>
      </c>
      <c r="AJ13" s="13">
        <f>AI13*VLOOKUP('Données projet'!$B$10,Paramètres!$A$1:$I$89,3,0)*VLOOKUP('Données projet'!$B$10,Paramètres!$A$1:$I$89,5,0)</f>
        <v>8.5829986995195267</v>
      </c>
      <c r="AK13" s="13">
        <f t="shared" si="35"/>
        <v>3.0797504443346257</v>
      </c>
      <c r="AL13" s="20">
        <f t="shared" si="4"/>
        <v>20.312621425545984</v>
      </c>
      <c r="AM13" s="59">
        <f t="shared" si="5"/>
        <v>313.64595475887927</v>
      </c>
      <c r="AN13" s="59">
        <f ca="1">AVERAGE(OFFSET($AM$3,0,0,'Données projet'!$E$10+1,1))-AVERAGE(OFFSET($H$3,0,0,'Données projet'!$E$10+1,1))</f>
        <v>175.05987582828078</v>
      </c>
      <c r="AO13" s="59">
        <f t="shared" si="36"/>
        <v>268.54782308462387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5.8826687821090227</v>
      </c>
      <c r="BF13" s="13">
        <f t="shared" si="37"/>
        <v>2.2057079152108381</v>
      </c>
      <c r="BG13" s="20">
        <f t="shared" si="7"/>
        <v>14.087256081165423</v>
      </c>
      <c r="BH13" s="59">
        <f t="shared" si="8"/>
        <v>307.42058941449875</v>
      </c>
      <c r="BI13" s="59">
        <f ca="1">AVERAGE(OFFSET($BH$3,0,0,'Données projet'!$E$11+1,1))-AVERAGE(OFFSET($H$3,0,0,'Données projet'!$E$11+1,1))</f>
        <v>252.70779718608964</v>
      </c>
      <c r="BJ13" s="59">
        <f t="shared" si="38"/>
        <v>187.86969111712705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6.9411764705882355</v>
      </c>
      <c r="BY13" s="12">
        <f>IF('Données projet'!$A$114&gt;35,BY12+BX13-CG12,IF(A13&lt;'Données projet'!$A$114,$BV$205^A13,IF(A13='Données projet'!$A$114,'Données projet'!$B$114,BY12+BX13-CG12)))</f>
        <v>16.548328060996262</v>
      </c>
      <c r="BZ13" s="13">
        <f>BY13*VLOOKUP('Données projet'!$B$12,Paramètres!$A$1:$I$89,3,0)*VLOOKUP('Données projet'!$B$12,Paramètres!$A$1:$I$89,5,0)</f>
        <v>9.8959001804757651</v>
      </c>
      <c r="CA13" s="13">
        <f t="shared" si="39"/>
        <v>3.4924996655094662</v>
      </c>
      <c r="CB13" s="20">
        <f t="shared" si="10"/>
        <v>23.318129731757608</v>
      </c>
      <c r="CC13" s="59">
        <f t="shared" si="11"/>
        <v>316.65146306509092</v>
      </c>
      <c r="CD13" s="59">
        <f ca="1">AVERAGE(OFFSET($CC$3,0,0,'Données projet'!$E$12+1,1))-AVERAGE(OFFSET($H$3,0,0,'Données projet'!$E$12+1,1))</f>
        <v>279.86432710889352</v>
      </c>
      <c r="CE13" s="59">
        <f t="shared" si="40"/>
        <v>297.01680128882509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4.8666666666666663</v>
      </c>
      <c r="CT13" s="12">
        <f>IF('Données projet'!$A$140&gt;35,CT12+CS13-DB12,IF(A13&lt;'Données projet'!$A$140,$CQ$205^A13,IF(A13='Données projet'!$A$140,'Données projet'!$B$140,CT12+CS13-DB12)))</f>
        <v>48.666666666666664</v>
      </c>
      <c r="CU13" s="17">
        <f>CT13*VLOOKUP('Données projet'!$B$13,Paramètres!$A$1:$I$89,3,0)*VLOOKUP('Données projet'!$B$13,Paramètres!$A$1:$I$89,5,0)</f>
        <v>38.719200000000001</v>
      </c>
      <c r="CV13" s="13">
        <f t="shared" si="41"/>
        <v>11.658530421381979</v>
      </c>
      <c r="CW13" s="20">
        <f t="shared" si="13"/>
        <v>87.741213817240293</v>
      </c>
      <c r="CX13" s="59">
        <f t="shared" si="14"/>
        <v>381.07454715057361</v>
      </c>
      <c r="CY13" s="59">
        <f ca="1">AVERAGE(OFFSET($CX$3,0,0,'Données projet'!$E$13+1,1))-AVERAGE(OFFSET($H$3,0,0,'Données projet'!$E$13+1,1))</f>
        <v>314.6300257056194</v>
      </c>
      <c r="CZ13" s="59">
        <f t="shared" si="42"/>
        <v>298.00555477466668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4.8666666666666663</v>
      </c>
      <c r="DO13" s="12">
        <f>IF('Données projet'!$A$166&gt;35,DO12+DN13-DW12,IF(A13&lt;'Données projet'!$A$166,$DL$205^A13,IF(A13='Données projet'!$A$166,'Données projet'!$B$166,DO12+DN13-DW12)))</f>
        <v>48.666666666666664</v>
      </c>
      <c r="DP13" s="17">
        <f>DO13*VLOOKUP('Données projet'!$B$14,Paramètres!$A$1:$I$89,3,0)*VLOOKUP('Données projet'!$B$14,Paramètres!$A$1:$I$89,5,0)</f>
        <v>38.719200000000001</v>
      </c>
      <c r="DQ13" s="13">
        <f t="shared" si="43"/>
        <v>11.658530421381979</v>
      </c>
      <c r="DR13" s="20">
        <f t="shared" si="16"/>
        <v>87.741213817240293</v>
      </c>
      <c r="DS13" s="59">
        <f t="shared" si="17"/>
        <v>381.07454715057361</v>
      </c>
      <c r="DT13" s="59">
        <f ca="1">AVERAGE(OFFSET($DS$3,0,0,'Données projet'!$E$14+1,1))-AVERAGE(OFFSET($H$3,0,0,'Données projet'!$E$14+1,1))</f>
        <v>314.6300257056194</v>
      </c>
      <c r="DU13" s="59">
        <f t="shared" si="44"/>
        <v>298.00555477466668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4.7456410256410253</v>
      </c>
      <c r="EJ13" s="12">
        <f>IF('Données projet'!$A$192&gt;35,EJ12+EI13-ER12,IF(A13&lt;'Données projet'!$A$192,$EG$205^A13,IF(A13='Données projet'!$A$192,'Données projet'!$B$192,EJ12+EI13-ER12)))</f>
        <v>5.221621399126116</v>
      </c>
      <c r="EK13" s="17">
        <f>EJ13*VLOOKUP('Données projet'!$B$15,Paramètres!$A$1:$I$89,3,0)*VLOOKUP('Données projet'!$B$15,Paramètres!$A$1:$I$89,5,0)</f>
        <v>2.5115998929796617</v>
      </c>
      <c r="EL13" s="13">
        <f t="shared" si="45"/>
        <v>1.0397963478230408</v>
      </c>
      <c r="EM13" s="20">
        <f t="shared" si="19"/>
        <v>6.1853484527313745</v>
      </c>
      <c r="EN13" s="59">
        <f t="shared" si="20"/>
        <v>299.51868178606469</v>
      </c>
      <c r="EO13" s="59">
        <f ca="1">AVERAGE(OFFSET($EN$3,0,0,'Données projet'!$E$15+1,1))-AVERAGE(OFFSET($H$3,0,0,'Données projet'!$E$15+1,1))</f>
        <v>238.83604534181978</v>
      </c>
      <c r="EP13" s="59">
        <f t="shared" si="46"/>
        <v>114.85152559837792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1.4666666666666666</v>
      </c>
      <c r="FE13" s="12">
        <f>IF('Données projet'!$A$218&gt;35,FE12+FD13-FM12,IF(A13&lt;'Données projet'!$A$218,$FB$205^A13,IF(A13='Données projet'!$A$218,'Données projet'!$B$218,FE12+FD13-FM12)))</f>
        <v>7.8514244105396909</v>
      </c>
      <c r="FF13" s="17">
        <f>FE13*VLOOKUP('Données projet'!$B$16,Paramètres!$A$1:$I$89,3,0)*VLOOKUP('Données projet'!$B$16,Paramètres!$A$1:$I$89,5,0)</f>
        <v>6.3690754818297979</v>
      </c>
      <c r="FG13" s="13">
        <f t="shared" si="47"/>
        <v>2.3661047546853444</v>
      </c>
      <c r="FH13" s="20">
        <f t="shared" si="22"/>
        <v>15.213772245263874</v>
      </c>
      <c r="FI13" s="59">
        <f t="shared" si="23"/>
        <v>308.54710557859721</v>
      </c>
      <c r="FJ13" s="59">
        <f ca="1">AVERAGE(OFFSET($FI$3,0,0,'Données projet'!$E$16+1,1))-AVERAGE(OFFSET($H$3,0,0,'Données projet'!$E$16+1,1))</f>
        <v>196.95467273423861</v>
      </c>
      <c r="FK13" s="59">
        <f t="shared" si="48"/>
        <v>173.8709326829258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1.4666666666666666</v>
      </c>
      <c r="FZ13" s="12">
        <f>IF('Données projet'!$A$244&gt;35,FZ12+FY13-GH12,IF(A13&lt;'Données projet'!$A$244,$FW$205^A13,IF(A13='Données projet'!$A$244,'Données projet'!$B$244,FZ12+FY13-GH12)))</f>
        <v>7.8514244105396909</v>
      </c>
      <c r="GA13" s="17">
        <f>FZ13*VLOOKUP('Données projet'!$B$17,Paramètres!$A$1:$I$89,3,0)*VLOOKUP('Données projet'!$B$17,Paramètres!$A$1:$I$89,5,0)</f>
        <v>8.4512732355049227</v>
      </c>
      <c r="GB13" s="13">
        <f t="shared" si="49"/>
        <v>3.0379489411915253</v>
      </c>
      <c r="GC13" s="20">
        <f t="shared" si="25"/>
        <v>20.010395291079643</v>
      </c>
      <c r="GD13" s="59">
        <f t="shared" si="26"/>
        <v>313.34372862441296</v>
      </c>
      <c r="GE13" s="59">
        <f ca="1">AVERAGE(OFFSET($GD$3,0,0,'Données projet'!$E$17+1,1))-AVERAGE(OFFSET($H$3,0,0,'Données projet'!$E$17+1,1))</f>
        <v>275.5229427552884</v>
      </c>
      <c r="GF13" s="59">
        <f t="shared" si="50"/>
        <v>241.20234081716143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10.16068376068376</v>
      </c>
      <c r="N14" s="13">
        <f>IF('Données projet'!$A$36&gt;35,N13+M14-V13,IF(A14&lt;'Données projet'!$A$36,$K$205^A14,IF(A14='Données projet'!$A$36,'Données projet'!$B$36,N13+M14-V13)))</f>
        <v>24.124191581618767</v>
      </c>
      <c r="O14" s="13">
        <f>N14*VLOOKUP('Données projet'!$B$9,Paramètres!$A$1:$I$89,3,0)*VLOOKUP('Données projet'!$B$9,Paramètres!$A$1:$I$89,5,0)</f>
        <v>13.48542309412489</v>
      </c>
      <c r="P14" s="13">
        <f t="shared" si="33"/>
        <v>4.5909271865822117</v>
      </c>
      <c r="Q14" s="20">
        <f t="shared" si="2"/>
        <v>31.482976738898202</v>
      </c>
      <c r="R14" s="59">
        <f t="shared" si="0"/>
        <v>324.81631007223154</v>
      </c>
      <c r="S14" s="59">
        <f ca="1">AVERAGE(OFFSET($R$3,0,0,'Données projet'!$E$9+1,1))-AVERAGE(OFFSET($H$3,0,0,'Données projet'!$E$9+1,1))</f>
        <v>274.57619581652199</v>
      </c>
      <c r="T14" s="59">
        <f t="shared" si="34"/>
        <v>366.15117322598775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6.2222222222222223</v>
      </c>
      <c r="AI14" s="13">
        <f>IF('Données projet'!$A$62&gt;35,AI13+AH14-AQ13,IF(A14&lt;'Données projet'!$A$62,$AF$205^A14,IF(A14='Données projet'!$A$62,'Données projet'!$B$62,AI13+AH14-AQ13)))</f>
        <v>17.877216627302985</v>
      </c>
      <c r="AJ14" s="13">
        <f>AI14*VLOOKUP('Données projet'!$B$10,Paramètres!$A$1:$I$89,3,0)*VLOOKUP('Données projet'!$B$10,Paramètres!$A$1:$I$89,5,0)</f>
        <v>11.155383175437063</v>
      </c>
      <c r="AK14" s="13">
        <f t="shared" si="35"/>
        <v>3.8824812083990929</v>
      </c>
      <c r="AL14" s="20">
        <f t="shared" si="4"/>
        <v>26.1909471351813</v>
      </c>
      <c r="AM14" s="59">
        <f t="shared" si="5"/>
        <v>319.52428046851463</v>
      </c>
      <c r="AN14" s="59">
        <f ca="1">AVERAGE(OFFSET($AM$3,0,0,'Données projet'!$E$10+1,1))-AVERAGE(OFFSET($H$3,0,0,'Données projet'!$E$10+1,1))</f>
        <v>175.05987582828078</v>
      </c>
      <c r="AO14" s="59">
        <f t="shared" si="36"/>
        <v>268.54782308462387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7.5771738346729904</v>
      </c>
      <c r="BF14" s="13">
        <f t="shared" si="37"/>
        <v>2.7585742106736397</v>
      </c>
      <c r="BG14" s="20">
        <f t="shared" si="7"/>
        <v>18.001427845645381</v>
      </c>
      <c r="BH14" s="59">
        <f t="shared" si="8"/>
        <v>311.33476117897868</v>
      </c>
      <c r="BI14" s="59">
        <f ca="1">AVERAGE(OFFSET($BH$3,0,0,'Données projet'!$E$11+1,1))-AVERAGE(OFFSET($H$3,0,0,'Données projet'!$E$11+1,1))</f>
        <v>252.70779718608964</v>
      </c>
      <c r="BJ14" s="59">
        <f t="shared" si="38"/>
        <v>187.86969111712705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6.9411764705882355</v>
      </c>
      <c r="BY14" s="12">
        <f>IF('Données projet'!$A$114&gt;35,BY13+BX14-CG13,IF(A14&lt;'Données projet'!$A$114,$BV$205^A14,IF(A14='Données projet'!$A$114,'Données projet'!$B$114,BY13+BX14-CG13)))</f>
        <v>21.909352063600231</v>
      </c>
      <c r="BZ14" s="13">
        <f>BY14*VLOOKUP('Données projet'!$B$12,Paramètres!$A$1:$I$89,3,0)*VLOOKUP('Données projet'!$B$12,Paramètres!$A$1:$I$89,5,0)</f>
        <v>13.101792534032938</v>
      </c>
      <c r="CA14" s="13">
        <f t="shared" si="39"/>
        <v>4.4753343563761101</v>
      </c>
      <c r="CB14" s="20">
        <f t="shared" si="10"/>
        <v>30.613496000795752</v>
      </c>
      <c r="CC14" s="59">
        <f t="shared" si="11"/>
        <v>323.94682933412906</v>
      </c>
      <c r="CD14" s="59">
        <f ca="1">AVERAGE(OFFSET($CC$3,0,0,'Données projet'!$E$12+1,1))-AVERAGE(OFFSET($H$3,0,0,'Données projet'!$E$12+1,1))</f>
        <v>279.86432710889352</v>
      </c>
      <c r="CE14" s="59">
        <f t="shared" si="40"/>
        <v>297.01680128882509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4.8666666666666663</v>
      </c>
      <c r="CT14" s="12">
        <f>IF('Données projet'!$A$140&gt;35,CT13+CS14-DB13,IF(A14&lt;'Données projet'!$A$140,$CQ$205^A14,IF(A14='Données projet'!$A$140,'Données projet'!$B$140,CT13+CS14-DB13)))</f>
        <v>53.533333333333331</v>
      </c>
      <c r="CU14" s="17">
        <f>CT14*VLOOKUP('Données projet'!$B$13,Paramètres!$A$1:$I$89,3,0)*VLOOKUP('Données projet'!$B$13,Paramètres!$A$1:$I$89,5,0)</f>
        <v>42.591120000000004</v>
      </c>
      <c r="CV14" s="13">
        <f t="shared" si="41"/>
        <v>12.682894704483024</v>
      </c>
      <c r="CW14" s="20">
        <f t="shared" si="13"/>
        <v>96.268908943641279</v>
      </c>
      <c r="CX14" s="59">
        <f t="shared" si="14"/>
        <v>389.60224227697461</v>
      </c>
      <c r="CY14" s="59">
        <f ca="1">AVERAGE(OFFSET($CX$3,0,0,'Données projet'!$E$13+1,1))-AVERAGE(OFFSET($H$3,0,0,'Données projet'!$E$13+1,1))</f>
        <v>314.6300257056194</v>
      </c>
      <c r="CZ14" s="59">
        <f t="shared" si="42"/>
        <v>298.00555477466668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4.8666666666666663</v>
      </c>
      <c r="DO14" s="12">
        <f>IF('Données projet'!$A$166&gt;35,DO13+DN14-DW13,IF(A14&lt;'Données projet'!$A$166,$DL$205^A14,IF(A14='Données projet'!$A$166,'Données projet'!$B$166,DO13+DN14-DW13)))</f>
        <v>53.533333333333331</v>
      </c>
      <c r="DP14" s="17">
        <f>DO14*VLOOKUP('Données projet'!$B$14,Paramètres!$A$1:$I$89,3,0)*VLOOKUP('Données projet'!$B$14,Paramètres!$A$1:$I$89,5,0)</f>
        <v>42.591120000000004</v>
      </c>
      <c r="DQ14" s="13">
        <f t="shared" si="43"/>
        <v>12.682894704483024</v>
      </c>
      <c r="DR14" s="20">
        <f t="shared" si="16"/>
        <v>96.268908943641279</v>
      </c>
      <c r="DS14" s="59">
        <f t="shared" si="17"/>
        <v>389.60224227697461</v>
      </c>
      <c r="DT14" s="59">
        <f ca="1">AVERAGE(OFFSET($DS$3,0,0,'Données projet'!$E$14+1,1))-AVERAGE(OFFSET($H$3,0,0,'Données projet'!$E$14+1,1))</f>
        <v>314.6300257056194</v>
      </c>
      <c r="DU14" s="59">
        <f t="shared" si="44"/>
        <v>298.00555477466668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4.7456410256410253</v>
      </c>
      <c r="EJ14" s="12">
        <f>IF('Données projet'!$A$192&gt;35,EJ13+EI14-ER13,IF(A14&lt;'Données projet'!$A$192,$EG$205^A14,IF(A14='Données projet'!$A$192,'Données projet'!$B$192,EJ13+EI14-ER13)))</f>
        <v>6.160073831927682</v>
      </c>
      <c r="EK14" s="17">
        <f>EJ14*VLOOKUP('Données projet'!$B$15,Paramètres!$A$1:$I$89,3,0)*VLOOKUP('Données projet'!$B$15,Paramètres!$A$1:$I$89,5,0)</f>
        <v>2.9629955131572152</v>
      </c>
      <c r="EL14" s="13">
        <f t="shared" si="45"/>
        <v>1.2032990422184613</v>
      </c>
      <c r="EM14" s="20">
        <f t="shared" si="19"/>
        <v>7.2562963506126366</v>
      </c>
      <c r="EN14" s="59">
        <f t="shared" si="20"/>
        <v>300.58962968394593</v>
      </c>
      <c r="EO14" s="59">
        <f ca="1">AVERAGE(OFFSET($EN$3,0,0,'Données projet'!$E$15+1,1))-AVERAGE(OFFSET($H$3,0,0,'Données projet'!$E$15+1,1))</f>
        <v>238.83604534181978</v>
      </c>
      <c r="EP14" s="59">
        <f t="shared" si="46"/>
        <v>114.85152559837792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1.4666666666666666</v>
      </c>
      <c r="FE14" s="12">
        <f>IF('Données projet'!$A$218&gt;35,FE13+FD14-FM13,IF(A14&lt;'Données projet'!$A$218,$FB$205^A14,IF(A14='Données projet'!$A$218,'Données projet'!$B$218,FE13+FD14-FM13)))</f>
        <v>9.6481333923492478</v>
      </c>
      <c r="FF14" s="17">
        <f>FE14*VLOOKUP('Données projet'!$B$16,Paramètres!$A$1:$I$89,3,0)*VLOOKUP('Données projet'!$B$16,Paramètres!$A$1:$I$89,5,0)</f>
        <v>7.8265658078737106</v>
      </c>
      <c r="FG14" s="13">
        <f t="shared" si="47"/>
        <v>2.838648467125755</v>
      </c>
      <c r="FH14" s="20">
        <f t="shared" si="22"/>
        <v>18.57524819562407</v>
      </c>
      <c r="FI14" s="59">
        <f t="shared" si="23"/>
        <v>311.90858152895737</v>
      </c>
      <c r="FJ14" s="59">
        <f ca="1">AVERAGE(OFFSET($FI$3,0,0,'Données projet'!$E$16+1,1))-AVERAGE(OFFSET($H$3,0,0,'Données projet'!$E$16+1,1))</f>
        <v>196.95467273423861</v>
      </c>
      <c r="FK14" s="59">
        <f t="shared" si="48"/>
        <v>173.8709326829258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1.4666666666666666</v>
      </c>
      <c r="FZ14" s="12">
        <f>IF('Données projet'!$A$244&gt;35,FZ13+FY14-GH13,IF(A14&lt;'Données projet'!$A$244,$FW$205^A14,IF(A14='Données projet'!$A$244,'Données projet'!$B$244,FZ13+FY14-GH13)))</f>
        <v>9.6481333923492478</v>
      </c>
      <c r="GA14" s="17">
        <f>FZ14*VLOOKUP('Données projet'!$B$17,Paramètres!$A$1:$I$89,3,0)*VLOOKUP('Données projet'!$B$17,Paramètres!$A$1:$I$89,5,0)</f>
        <v>10.385250783524731</v>
      </c>
      <c r="GB14" s="13">
        <f t="shared" si="49"/>
        <v>3.6446691922845345</v>
      </c>
      <c r="GC14" s="20">
        <f t="shared" si="25"/>
        <v>24.4354439578678</v>
      </c>
      <c r="GD14" s="59">
        <f t="shared" si="26"/>
        <v>317.7687772912011</v>
      </c>
      <c r="GE14" s="59">
        <f ca="1">AVERAGE(OFFSET($GD$3,0,0,'Données projet'!$E$17+1,1))-AVERAGE(OFFSET($H$3,0,0,'Données projet'!$E$17+1,1))</f>
        <v>275.5229427552884</v>
      </c>
      <c r="GF14" s="59">
        <f t="shared" si="50"/>
        <v>241.20234081716143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10.16068376068376</v>
      </c>
      <c r="N15" s="13">
        <f>IF('Données projet'!$A$36&gt;35,N14+M15-V14,IF(A15&lt;'Données projet'!$A$36,$K$205^A15,IF(A15='Données projet'!$A$36,'Données projet'!$B$36,N14+M15-V14)))</f>
        <v>32.220352927755336</v>
      </c>
      <c r="O15" s="13">
        <f>N15*VLOOKUP('Données projet'!$B$9,Paramètres!$A$1:$I$89,3,0)*VLOOKUP('Données projet'!$B$9,Paramètres!$A$1:$I$89,5,0)</f>
        <v>18.011177286615233</v>
      </c>
      <c r="P15" s="13">
        <f t="shared" si="33"/>
        <v>5.9285578959851977</v>
      </c>
      <c r="Q15" s="20">
        <f t="shared" si="2"/>
        <v>41.695038776362409</v>
      </c>
      <c r="R15" s="59">
        <f t="shared" si="0"/>
        <v>335.02837210969574</v>
      </c>
      <c r="S15" s="59">
        <f ca="1">AVERAGE(OFFSET($R$3,0,0,'Données projet'!$E$9+1,1))-AVERAGE(OFFSET($H$3,0,0,'Données projet'!$E$9+1,1))</f>
        <v>274.57619581652199</v>
      </c>
      <c r="T15" s="59">
        <f t="shared" si="34"/>
        <v>366.15117322598775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6.2222222222222223</v>
      </c>
      <c r="AI15" s="13">
        <f>IF('Données projet'!$A$62&gt;35,AI14+AH15-AQ14,IF(A15&lt;'Données projet'!$A$62,$AF$205^A15,IF(A15='Données projet'!$A$62,'Données projet'!$B$62,AI14+AH15-AQ14)))</f>
        <v>23.235142934254824</v>
      </c>
      <c r="AJ15" s="13">
        <f>AI15*VLOOKUP('Données projet'!$B$10,Paramètres!$A$1:$I$89,3,0)*VLOOKUP('Données projet'!$B$10,Paramètres!$A$1:$I$89,5,0)</f>
        <v>14.498729190975009</v>
      </c>
      <c r="AK15" s="13">
        <f t="shared" si="35"/>
        <v>4.8944421329010357</v>
      </c>
      <c r="AL15" s="20">
        <f t="shared" si="4"/>
        <v>33.776440055750776</v>
      </c>
      <c r="AM15" s="59">
        <f t="shared" si="5"/>
        <v>327.10977338908407</v>
      </c>
      <c r="AN15" s="59">
        <f ca="1">AVERAGE(OFFSET($AM$3,0,0,'Données projet'!$E$10+1,1))-AVERAGE(OFFSET($H$3,0,0,'Données projet'!$E$10+1,1))</f>
        <v>175.05987582828078</v>
      </c>
      <c r="AO15" s="59">
        <f t="shared" si="36"/>
        <v>268.54782308462387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9.7597817329891239</v>
      </c>
      <c r="BF15" s="13">
        <f t="shared" si="37"/>
        <v>3.4500178483814818</v>
      </c>
      <c r="BG15" s="20">
        <f t="shared" si="7"/>
        <v>23.00706760422047</v>
      </c>
      <c r="BH15" s="59">
        <f t="shared" si="8"/>
        <v>316.3404009375538</v>
      </c>
      <c r="BI15" s="59">
        <f ca="1">AVERAGE(OFFSET($BH$3,0,0,'Données projet'!$E$11+1,1))-AVERAGE(OFFSET($H$3,0,0,'Données projet'!$E$11+1,1))</f>
        <v>252.70779718608964</v>
      </c>
      <c r="BJ15" s="59">
        <f t="shared" si="38"/>
        <v>187.86969111712705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6.9411764705882355</v>
      </c>
      <c r="BY15" s="12">
        <f>IF('Données projet'!$A$114&gt;35,BY14+BX15-CG14,IF(A15&lt;'Données projet'!$A$114,$BV$205^A15,IF(A15='Données projet'!$A$114,'Données projet'!$B$114,BY14+BX15-CG14)))</f>
        <v>29.007142357672414</v>
      </c>
      <c r="BZ15" s="13">
        <f>BY15*VLOOKUP('Données projet'!$B$12,Paramètres!$A$1:$I$89,3,0)*VLOOKUP('Données projet'!$B$12,Paramètres!$A$1:$I$89,5,0)</f>
        <v>17.346271129888105</v>
      </c>
      <c r="CA15" s="13">
        <f t="shared" si="39"/>
        <v>5.7347514730366376</v>
      </c>
      <c r="CB15" s="20">
        <f t="shared" si="10"/>
        <v>40.19944770009392</v>
      </c>
      <c r="CC15" s="59">
        <f t="shared" si="11"/>
        <v>333.53278103342723</v>
      </c>
      <c r="CD15" s="59">
        <f ca="1">AVERAGE(OFFSET($CC$3,0,0,'Données projet'!$E$12+1,1))-AVERAGE(OFFSET($H$3,0,0,'Données projet'!$E$12+1,1))</f>
        <v>279.86432710889352</v>
      </c>
      <c r="CE15" s="59">
        <f t="shared" si="40"/>
        <v>297.01680128882509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4.8666666666666663</v>
      </c>
      <c r="CT15" s="12">
        <f>IF('Données projet'!$A$140&gt;35,CT14+CS15-DB14,IF(A15&lt;'Données projet'!$A$140,$CQ$205^A15,IF(A15='Données projet'!$A$140,'Données projet'!$B$140,CT14+CS15-DB14)))</f>
        <v>58.4</v>
      </c>
      <c r="CU15" s="17">
        <f>CT15*VLOOKUP('Données projet'!$B$13,Paramètres!$A$1:$I$89,3,0)*VLOOKUP('Données projet'!$B$13,Paramètres!$A$1:$I$89,5,0)</f>
        <v>46.463039999999999</v>
      </c>
      <c r="CV15" s="13">
        <f t="shared" si="41"/>
        <v>13.696460813244599</v>
      </c>
      <c r="CW15" s="20">
        <f t="shared" si="13"/>
        <v>104.77779724973435</v>
      </c>
      <c r="CX15" s="59">
        <f t="shared" si="14"/>
        <v>398.11113058306768</v>
      </c>
      <c r="CY15" s="59">
        <f ca="1">AVERAGE(OFFSET($CX$3,0,0,'Données projet'!$E$13+1,1))-AVERAGE(OFFSET($H$3,0,0,'Données projet'!$E$13+1,1))</f>
        <v>314.6300257056194</v>
      </c>
      <c r="CZ15" s="59">
        <f t="shared" si="42"/>
        <v>298.00555477466668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4.8666666666666663</v>
      </c>
      <c r="DO15" s="12">
        <f>IF('Données projet'!$A$166&gt;35,DO14+DN15-DW14,IF(A15&lt;'Données projet'!$A$166,$DL$205^A15,IF(A15='Données projet'!$A$166,'Données projet'!$B$166,DO14+DN15-DW14)))</f>
        <v>58.4</v>
      </c>
      <c r="DP15" s="17">
        <f>DO15*VLOOKUP('Données projet'!$B$14,Paramètres!$A$1:$I$89,3,0)*VLOOKUP('Données projet'!$B$14,Paramètres!$A$1:$I$89,5,0)</f>
        <v>46.463039999999999</v>
      </c>
      <c r="DQ15" s="13">
        <f t="shared" si="43"/>
        <v>13.696460813244599</v>
      </c>
      <c r="DR15" s="20">
        <f t="shared" si="16"/>
        <v>104.77779724973435</v>
      </c>
      <c r="DS15" s="59">
        <f t="shared" si="17"/>
        <v>398.11113058306768</v>
      </c>
      <c r="DT15" s="59">
        <f ca="1">AVERAGE(OFFSET($DS$3,0,0,'Données projet'!$E$14+1,1))-AVERAGE(OFFSET($H$3,0,0,'Données projet'!$E$14+1,1))</f>
        <v>314.6300257056194</v>
      </c>
      <c r="DU15" s="59">
        <f t="shared" si="44"/>
        <v>298.00555477466668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4.7456410256410253</v>
      </c>
      <c r="EJ15" s="12">
        <f>IF('Données projet'!$A$192&gt;35,EJ14+EI15-ER14,IF(A15&lt;'Données projet'!$A$192,$EG$205^A15,IF(A15='Données projet'!$A$192,'Données projet'!$B$192,EJ14+EI15-ER14)))</f>
        <v>7.2671890040037903</v>
      </c>
      <c r="EK15" s="17">
        <f>EJ15*VLOOKUP('Données projet'!$B$15,Paramètres!$A$1:$I$89,3,0)*VLOOKUP('Données projet'!$B$15,Paramètres!$A$1:$I$89,5,0)</f>
        <v>3.4955179109258236</v>
      </c>
      <c r="EL15" s="13">
        <f t="shared" si="45"/>
        <v>1.3925117048499995</v>
      </c>
      <c r="EM15" s="20">
        <f t="shared" si="19"/>
        <v>8.5133182474762226</v>
      </c>
      <c r="EN15" s="59">
        <f t="shared" si="20"/>
        <v>301.84665158080952</v>
      </c>
      <c r="EO15" s="59">
        <f ca="1">AVERAGE(OFFSET($EN$3,0,0,'Données projet'!$E$15+1,1))-AVERAGE(OFFSET($H$3,0,0,'Données projet'!$E$15+1,1))</f>
        <v>238.83604534181978</v>
      </c>
      <c r="EP15" s="59">
        <f t="shared" si="46"/>
        <v>114.85152559837792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1.4666666666666666</v>
      </c>
      <c r="FE15" s="12">
        <f>IF('Données projet'!$A$218&gt;35,FE14+FD15-FM14,IF(A15&lt;'Données projet'!$A$218,$FB$205^A15,IF(A15='Données projet'!$A$218,'Données projet'!$B$218,FE14+FD15-FM14)))</f>
        <v>11.855998744839987</v>
      </c>
      <c r="FF15" s="17">
        <f>FE15*VLOOKUP('Données projet'!$B$16,Paramètres!$A$1:$I$89,3,0)*VLOOKUP('Données projet'!$B$16,Paramètres!$A$1:$I$89,5,0)</f>
        <v>9.6175861818141968</v>
      </c>
      <c r="FG15" s="13">
        <f t="shared" si="47"/>
        <v>3.4055656681975508</v>
      </c>
      <c r="FH15" s="20">
        <f t="shared" si="22"/>
        <v>22.68198947210379</v>
      </c>
      <c r="FI15" s="59">
        <f t="shared" si="23"/>
        <v>316.01532280543711</v>
      </c>
      <c r="FJ15" s="59">
        <f ca="1">AVERAGE(OFFSET($FI$3,0,0,'Données projet'!$E$16+1,1))-AVERAGE(OFFSET($H$3,0,0,'Données projet'!$E$16+1,1))</f>
        <v>196.95467273423861</v>
      </c>
      <c r="FK15" s="59">
        <f t="shared" si="48"/>
        <v>173.8709326829258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1.4666666666666666</v>
      </c>
      <c r="FZ15" s="12">
        <f>IF('Données projet'!$A$244&gt;35,FZ14+FY15-GH14,IF(A15&lt;'Données projet'!$A$244,$FW$205^A15,IF(A15='Données projet'!$A$244,'Données projet'!$B$244,FZ14+FY15-GH14)))</f>
        <v>11.855998744839987</v>
      </c>
      <c r="GA15" s="17">
        <f>FZ15*VLOOKUP('Données projet'!$B$17,Paramètres!$A$1:$I$89,3,0)*VLOOKUP('Données projet'!$B$17,Paramètres!$A$1:$I$89,5,0)</f>
        <v>12.761797048945759</v>
      </c>
      <c r="GB15" s="13">
        <f t="shared" si="49"/>
        <v>4.372559835050418</v>
      </c>
      <c r="GC15" s="20">
        <f t="shared" si="25"/>
        <v>29.84233823962667</v>
      </c>
      <c r="GD15" s="59">
        <f t="shared" si="26"/>
        <v>323.17567157295997</v>
      </c>
      <c r="GE15" s="59">
        <f ca="1">AVERAGE(OFFSET($GD$3,0,0,'Données projet'!$E$17+1,1))-AVERAGE(OFFSET($H$3,0,0,'Données projet'!$E$17+1,1))</f>
        <v>275.5229427552884</v>
      </c>
      <c r="GF15" s="59">
        <f t="shared" si="50"/>
        <v>241.20234081716143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10.16068376068376</v>
      </c>
      <c r="N16" s="13">
        <f>IF('Données projet'!$A$36&gt;35,N15+M16-V15,IF(A16&lt;'Données projet'!$A$36,$K$205^A16,IF(A16='Données projet'!$A$36,'Données projet'!$B$36,N15+M16-V15)))</f>
        <v>43.033613759729988</v>
      </c>
      <c r="O16" s="13">
        <f>N16*VLOOKUP('Données projet'!$B$9,Paramètres!$A$1:$I$89,3,0)*VLOOKUP('Données projet'!$B$9,Paramètres!$A$1:$I$89,5,0)</f>
        <v>24.055790091689062</v>
      </c>
      <c r="P16" s="13">
        <f t="shared" si="33"/>
        <v>7.6559259813080898</v>
      </c>
      <c r="Q16" s="20">
        <f t="shared" si="2"/>
        <v>55.231238827136707</v>
      </c>
      <c r="R16" s="59">
        <f t="shared" si="0"/>
        <v>348.56457216046999</v>
      </c>
      <c r="S16" s="59">
        <f ca="1">AVERAGE(OFFSET($R$3,0,0,'Données projet'!$E$9+1,1))-AVERAGE(OFFSET($H$3,0,0,'Données projet'!$E$9+1,1))</f>
        <v>274.57619581652199</v>
      </c>
      <c r="T16" s="59">
        <f t="shared" si="34"/>
        <v>366.15117322598775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6.2222222222222223</v>
      </c>
      <c r="AI16" s="13">
        <f>IF('Données projet'!$A$62&gt;35,AI15+AH16-AQ15,IF(A16&lt;'Données projet'!$A$62,$AF$205^A16,IF(A16='Données projet'!$A$62,'Données projet'!$B$62,AI15+AH16-AQ15)))</f>
        <v>30.19887706404656</v>
      </c>
      <c r="AJ16" s="13">
        <f>AI16*VLOOKUP('Données projet'!$B$10,Paramètres!$A$1:$I$89,3,0)*VLOOKUP('Données projet'!$B$10,Paramètres!$A$1:$I$89,5,0)</f>
        <v>18.844099287965054</v>
      </c>
      <c r="AK16" s="13">
        <f t="shared" si="35"/>
        <v>6.1701686386769925</v>
      </c>
      <c r="AL16" s="20">
        <f t="shared" si="4"/>
        <v>43.566516638901568</v>
      </c>
      <c r="AM16" s="59">
        <f t="shared" si="5"/>
        <v>336.8998499722349</v>
      </c>
      <c r="AN16" s="59">
        <f ca="1">AVERAGE(OFFSET($AM$3,0,0,'Données projet'!$E$10+1,1))-AVERAGE(OFFSET($H$3,0,0,'Données projet'!$E$10+1,1))</f>
        <v>175.05987582828078</v>
      </c>
      <c r="AO16" s="59">
        <f t="shared" si="36"/>
        <v>268.54782308462387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12.571090693433858</v>
      </c>
      <c r="BF16" s="13">
        <f t="shared" si="37"/>
        <v>4.3147735914069099</v>
      </c>
      <c r="BG16" s="20">
        <f t="shared" si="7"/>
        <v>29.409546962764335</v>
      </c>
      <c r="BH16" s="59">
        <f t="shared" si="8"/>
        <v>322.74288029609767</v>
      </c>
      <c r="BI16" s="59">
        <f ca="1">AVERAGE(OFFSET($BH$3,0,0,'Données projet'!$E$11+1,1))-AVERAGE(OFFSET($H$3,0,0,'Données projet'!$E$11+1,1))</f>
        <v>252.70779718608964</v>
      </c>
      <c r="BJ16" s="59">
        <f t="shared" si="38"/>
        <v>187.86969111712705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6.9411764705882355</v>
      </c>
      <c r="BY16" s="12">
        <f>IF('Données projet'!$A$114&gt;35,BY15+BX16-CG15,IF(A16&lt;'Données projet'!$A$114,$BV$205^A16,IF(A16='Données projet'!$A$114,'Données projet'!$B$114,BY15+BX16-CG15)))</f>
        <v>38.404344652263013</v>
      </c>
      <c r="BZ16" s="13">
        <f>BY16*VLOOKUP('Données projet'!$B$12,Paramètres!$A$1:$I$89,3,0)*VLOOKUP('Données projet'!$B$12,Paramètres!$A$1:$I$89,5,0)</f>
        <v>22.965798102053284</v>
      </c>
      <c r="CA16" s="13">
        <f t="shared" si="39"/>
        <v>7.3485848963755025</v>
      </c>
      <c r="CB16" s="20">
        <f t="shared" si="10"/>
        <v>52.797550388930141</v>
      </c>
      <c r="CC16" s="59">
        <f t="shared" si="11"/>
        <v>346.13088372226343</v>
      </c>
      <c r="CD16" s="59">
        <f ca="1">AVERAGE(OFFSET($CC$3,0,0,'Données projet'!$E$12+1,1))-AVERAGE(OFFSET($H$3,0,0,'Données projet'!$E$12+1,1))</f>
        <v>279.86432710889352</v>
      </c>
      <c r="CE16" s="59">
        <f t="shared" si="40"/>
        <v>297.01680128882509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4.8666666666666663</v>
      </c>
      <c r="CT16" s="12">
        <f>IF('Données projet'!$A$140&gt;35,CT15+CS16-DB15,IF(A16&lt;'Données projet'!$A$140,$CQ$205^A16,IF(A16='Données projet'!$A$140,'Données projet'!$B$140,CT15+CS16-DB15)))</f>
        <v>63.266666666666666</v>
      </c>
      <c r="CU16" s="17">
        <f>CT16*VLOOKUP('Données projet'!$B$13,Paramètres!$A$1:$I$89,3,0)*VLOOKUP('Données projet'!$B$13,Paramètres!$A$1:$I$89,5,0)</f>
        <v>50.334960000000002</v>
      </c>
      <c r="CV16" s="13">
        <f t="shared" si="41"/>
        <v>14.700230900238836</v>
      </c>
      <c r="CW16" s="20">
        <f t="shared" si="13"/>
        <v>113.26962415124929</v>
      </c>
      <c r="CX16" s="59">
        <f t="shared" si="14"/>
        <v>406.60295748458259</v>
      </c>
      <c r="CY16" s="59">
        <f ca="1">AVERAGE(OFFSET($CX$3,0,0,'Données projet'!$E$13+1,1))-AVERAGE(OFFSET($H$3,0,0,'Données projet'!$E$13+1,1))</f>
        <v>314.6300257056194</v>
      </c>
      <c r="CZ16" s="59">
        <f t="shared" si="42"/>
        <v>298.00555477466668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4.8666666666666663</v>
      </c>
      <c r="DO16" s="12">
        <f>IF('Données projet'!$A$166&gt;35,DO15+DN16-DW15,IF(A16&lt;'Données projet'!$A$166,$DL$205^A16,IF(A16='Données projet'!$A$166,'Données projet'!$B$166,DO15+DN16-DW15)))</f>
        <v>63.266666666666666</v>
      </c>
      <c r="DP16" s="17">
        <f>DO16*VLOOKUP('Données projet'!$B$14,Paramètres!$A$1:$I$89,3,0)*VLOOKUP('Données projet'!$B$14,Paramètres!$A$1:$I$89,5,0)</f>
        <v>50.334960000000002</v>
      </c>
      <c r="DQ16" s="13">
        <f t="shared" si="43"/>
        <v>14.700230900238836</v>
      </c>
      <c r="DR16" s="20">
        <f t="shared" si="16"/>
        <v>113.26962415124929</v>
      </c>
      <c r="DS16" s="59">
        <f t="shared" si="17"/>
        <v>406.60295748458259</v>
      </c>
      <c r="DT16" s="59">
        <f ca="1">AVERAGE(OFFSET($DS$3,0,0,'Données projet'!$E$14+1,1))-AVERAGE(OFFSET($H$3,0,0,'Données projet'!$E$14+1,1))</f>
        <v>314.6300257056194</v>
      </c>
      <c r="DU16" s="59">
        <f t="shared" si="44"/>
        <v>298.00555477466668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4.7456410256410253</v>
      </c>
      <c r="EJ16" s="12">
        <f>IF('Données projet'!$A$192&gt;35,EJ15+EI16-ER15,IF(A16&lt;'Données projet'!$A$192,$EG$205^A16,IF(A16='Données projet'!$A$192,'Données projet'!$B$192,EJ15+EI16-ER15)))</f>
        <v>8.5732797139847019</v>
      </c>
      <c r="EK16" s="17">
        <f>EJ16*VLOOKUP('Données projet'!$B$15,Paramètres!$A$1:$I$89,3,0)*VLOOKUP('Données projet'!$B$15,Paramètres!$A$1:$I$89,5,0)</f>
        <v>4.1237475424266421</v>
      </c>
      <c r="EL16" s="13">
        <f t="shared" si="45"/>
        <v>1.6114770976375525</v>
      </c>
      <c r="EM16" s="20">
        <f t="shared" si="19"/>
        <v>9.9888495814451375</v>
      </c>
      <c r="EN16" s="59">
        <f t="shared" si="20"/>
        <v>303.32218291477847</v>
      </c>
      <c r="EO16" s="59">
        <f ca="1">AVERAGE(OFFSET($EN$3,0,0,'Données projet'!$E$15+1,1))-AVERAGE(OFFSET($H$3,0,0,'Données projet'!$E$15+1,1))</f>
        <v>238.83604534181978</v>
      </c>
      <c r="EP16" s="59">
        <f t="shared" si="46"/>
        <v>114.85152559837792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1.4666666666666666</v>
      </c>
      <c r="FE16" s="12">
        <f>IF('Données projet'!$A$218&gt;35,FE15+FD16-FM15,IF(A16&lt;'Données projet'!$A$218,$FB$205^A16,IF(A16='Données projet'!$A$218,'Données projet'!$B$218,FE15+FD16-FM15)))</f>
        <v>14.569108916872146</v>
      </c>
      <c r="FF16" s="17">
        <f>FE16*VLOOKUP('Données projet'!$B$16,Paramètres!$A$1:$I$89,3,0)*VLOOKUP('Données projet'!$B$16,Paramètres!$A$1:$I$89,5,0)</f>
        <v>11.818461153366686</v>
      </c>
      <c r="FG16" s="13">
        <f t="shared" si="47"/>
        <v>4.0857040435687146</v>
      </c>
      <c r="FH16" s="20">
        <f t="shared" si="22"/>
        <v>27.699754384662487</v>
      </c>
      <c r="FI16" s="59">
        <f t="shared" si="23"/>
        <v>321.03308771799578</v>
      </c>
      <c r="FJ16" s="59">
        <f ca="1">AVERAGE(OFFSET($FI$3,0,0,'Données projet'!$E$16+1,1))-AVERAGE(OFFSET($H$3,0,0,'Données projet'!$E$16+1,1))</f>
        <v>196.95467273423861</v>
      </c>
      <c r="FK16" s="59">
        <f t="shared" si="48"/>
        <v>173.8709326829258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1.4666666666666666</v>
      </c>
      <c r="FZ16" s="12">
        <f>IF('Données projet'!$A$244&gt;35,FZ15+FY16-GH15,IF(A16&lt;'Données projet'!$A$244,$FW$205^A16,IF(A16='Données projet'!$A$244,'Données projet'!$B$244,FZ15+FY16-GH15)))</f>
        <v>14.569108916872146</v>
      </c>
      <c r="GA16" s="17">
        <f>FZ16*VLOOKUP('Données projet'!$B$17,Paramètres!$A$1:$I$89,3,0)*VLOOKUP('Données projet'!$B$17,Paramètres!$A$1:$I$89,5,0)</f>
        <v>15.682188838121178</v>
      </c>
      <c r="GB16" s="13">
        <f t="shared" si="49"/>
        <v>5.2458202658200328</v>
      </c>
      <c r="GC16" s="20">
        <f t="shared" si="25"/>
        <v>36.449615856030938</v>
      </c>
      <c r="GD16" s="59">
        <f t="shared" si="26"/>
        <v>329.78294918936427</v>
      </c>
      <c r="GE16" s="59">
        <f ca="1">AVERAGE(OFFSET($GD$3,0,0,'Données projet'!$E$17+1,1))-AVERAGE(OFFSET($H$3,0,0,'Données projet'!$E$17+1,1))</f>
        <v>275.5229427552884</v>
      </c>
      <c r="GF16" s="59">
        <f t="shared" si="50"/>
        <v>241.20234081716143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10.16068376068376</v>
      </c>
      <c r="N17" s="13">
        <f>IF('Données projet'!$A$36&gt;35,N16+M17-V16,IF(A17&lt;'Données projet'!$A$36,$K$205^A17,IF(A17='Données projet'!$A$36,'Données projet'!$B$36,N16+M17-V16)))</f>
        <v>57.475841973982881</v>
      </c>
      <c r="O17" s="13">
        <f>N17*VLOOKUP('Données projet'!$B$9,Paramètres!$A$1:$I$89,3,0)*VLOOKUP('Données projet'!$B$9,Paramètres!$A$1:$I$89,5,0)</f>
        <v>32.128995663456436</v>
      </c>
      <c r="P17" s="13">
        <f t="shared" si="33"/>
        <v>9.8865868664217604</v>
      </c>
      <c r="Q17" s="20">
        <f t="shared" si="2"/>
        <v>73.177139572871184</v>
      </c>
      <c r="R17" s="59">
        <f t="shared" si="0"/>
        <v>366.51047290620448</v>
      </c>
      <c r="S17" s="59">
        <f ca="1">AVERAGE(OFFSET($R$3,0,0,'Données projet'!$E$9+1,1))-AVERAGE(OFFSET($H$3,0,0,'Données projet'!$E$9+1,1))</f>
        <v>274.57619581652199</v>
      </c>
      <c r="T17" s="59">
        <f t="shared" si="34"/>
        <v>366.15117322598775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6.2222222222222223</v>
      </c>
      <c r="AI17" s="13">
        <f>IF('Données projet'!$A$62&gt;35,AI16+AH17-AQ16,IF(A17&lt;'Données projet'!$A$62,$AF$205^A17,IF(A17='Données projet'!$A$62,'Données projet'!$B$62,AI16+AH17-AQ16)))</f>
        <v>39.249690802844427</v>
      </c>
      <c r="AJ17" s="13">
        <f>AI17*VLOOKUP('Données projet'!$B$10,Paramètres!$A$1:$I$89,3,0)*VLOOKUP('Données projet'!$B$10,Paramètres!$A$1:$I$89,5,0)</f>
        <v>24.491807060974921</v>
      </c>
      <c r="AK17" s="13">
        <f t="shared" si="35"/>
        <v>7.7784106944068903</v>
      </c>
      <c r="AL17" s="20">
        <f t="shared" si="4"/>
        <v>56.203962590623313</v>
      </c>
      <c r="AM17" s="59">
        <f t="shared" si="5"/>
        <v>349.53729592395661</v>
      </c>
      <c r="AN17" s="59">
        <f ca="1">AVERAGE(OFFSET($AM$3,0,0,'Données projet'!$E$10+1,1))-AVERAGE(OFFSET($H$3,0,0,'Données projet'!$E$10+1,1))</f>
        <v>175.05987582828078</v>
      </c>
      <c r="AO17" s="59">
        <f t="shared" si="36"/>
        <v>268.54782308462387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16.192198303817896</v>
      </c>
      <c r="BF17" s="13">
        <f t="shared" si="37"/>
        <v>5.3962825594761723</v>
      </c>
      <c r="BG17" s="20">
        <f t="shared" si="7"/>
        <v>37.599937503570509</v>
      </c>
      <c r="BH17" s="59">
        <f t="shared" si="8"/>
        <v>330.93327083690383</v>
      </c>
      <c r="BI17" s="59">
        <f ca="1">AVERAGE(OFFSET($BH$3,0,0,'Données projet'!$E$11+1,1))-AVERAGE(OFFSET($H$3,0,0,'Données projet'!$E$11+1,1))</f>
        <v>252.70779718608964</v>
      </c>
      <c r="BJ17" s="59">
        <f t="shared" si="38"/>
        <v>187.86969111712705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6.9411764705882355</v>
      </c>
      <c r="BY17" s="12">
        <f>IF('Données projet'!$A$114&gt;35,BY16+BX17-CG16,IF(A17&lt;'Données projet'!$A$114,$BV$205^A17,IF(A17='Données projet'!$A$114,'Données projet'!$B$114,BY16+BX17-CG16)))</f>
        <v>50.845880300225161</v>
      </c>
      <c r="BZ17" s="13">
        <f>BY17*VLOOKUP('Données projet'!$B$12,Paramètres!$A$1:$I$89,3,0)*VLOOKUP('Données projet'!$B$12,Paramètres!$A$1:$I$89,5,0)</f>
        <v>30.405836419534648</v>
      </c>
      <c r="CA17" s="13">
        <f t="shared" si="39"/>
        <v>9.4165719705798292</v>
      </c>
      <c r="CB17" s="20">
        <f t="shared" si="10"/>
        <v>69.357361279449364</v>
      </c>
      <c r="CC17" s="59">
        <f t="shared" si="11"/>
        <v>362.69069461278269</v>
      </c>
      <c r="CD17" s="59">
        <f ca="1">AVERAGE(OFFSET($CC$3,0,0,'Données projet'!$E$12+1,1))-AVERAGE(OFFSET($H$3,0,0,'Données projet'!$E$12+1,1))</f>
        <v>279.86432710889352</v>
      </c>
      <c r="CE17" s="59">
        <f t="shared" si="40"/>
        <v>297.01680128882509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4.8666666666666663</v>
      </c>
      <c r="CT17" s="12">
        <f>IF('Données projet'!$A$140&gt;35,CT16+CS17-DB16,IF(A17&lt;'Données projet'!$A$140,$CQ$205^A17,IF(A17='Données projet'!$A$140,'Données projet'!$B$140,CT16+CS17-DB16)))</f>
        <v>68.133333333333326</v>
      </c>
      <c r="CU17" s="17">
        <f>CT17*VLOOKUP('Données projet'!$B$13,Paramètres!$A$1:$I$89,3,0)*VLOOKUP('Données projet'!$B$13,Paramètres!$A$1:$I$89,5,0)</f>
        <v>54.206879999999998</v>
      </c>
      <c r="CV17" s="13">
        <f t="shared" si="41"/>
        <v>15.695044182455275</v>
      </c>
      <c r="CW17" s="20">
        <f t="shared" si="13"/>
        <v>121.74585128444294</v>
      </c>
      <c r="CX17" s="59">
        <f t="shared" si="14"/>
        <v>415.07918461777626</v>
      </c>
      <c r="CY17" s="59">
        <f ca="1">AVERAGE(OFFSET($CX$3,0,0,'Données projet'!$E$13+1,1))-AVERAGE(OFFSET($H$3,0,0,'Données projet'!$E$13+1,1))</f>
        <v>314.6300257056194</v>
      </c>
      <c r="CZ17" s="59">
        <f t="shared" si="42"/>
        <v>298.00555477466668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4.8666666666666663</v>
      </c>
      <c r="DO17" s="12">
        <f>IF('Données projet'!$A$166&gt;35,DO16+DN17-DW16,IF(A17&lt;'Données projet'!$A$166,$DL$205^A17,IF(A17='Données projet'!$A$166,'Données projet'!$B$166,DO16+DN17-DW16)))</f>
        <v>68.133333333333326</v>
      </c>
      <c r="DP17" s="17">
        <f>DO17*VLOOKUP('Données projet'!$B$14,Paramètres!$A$1:$I$89,3,0)*VLOOKUP('Données projet'!$B$14,Paramètres!$A$1:$I$89,5,0)</f>
        <v>54.206879999999998</v>
      </c>
      <c r="DQ17" s="13">
        <f t="shared" si="43"/>
        <v>15.695044182455275</v>
      </c>
      <c r="DR17" s="20">
        <f t="shared" si="16"/>
        <v>121.74585128444294</v>
      </c>
      <c r="DS17" s="59">
        <f t="shared" si="17"/>
        <v>415.07918461777626</v>
      </c>
      <c r="DT17" s="59">
        <f ca="1">AVERAGE(OFFSET($DS$3,0,0,'Données projet'!$E$14+1,1))-AVERAGE(OFFSET($H$3,0,0,'Données projet'!$E$14+1,1))</f>
        <v>314.6300257056194</v>
      </c>
      <c r="DU17" s="59">
        <f t="shared" si="44"/>
        <v>298.00555477466668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4.7456410256410253</v>
      </c>
      <c r="EJ17" s="12">
        <f>IF('Données projet'!$A$192&gt;35,EJ16+EI17-ER16,IF(A17&lt;'Données projet'!$A$192,$EG$205^A17,IF(A17='Données projet'!$A$192,'Données projet'!$B$192,EJ16+EI17-ER16)))</f>
        <v>10.114106708071972</v>
      </c>
      <c r="EK17" s="17">
        <f>EJ17*VLOOKUP('Données projet'!$B$15,Paramètres!$A$1:$I$89,3,0)*VLOOKUP('Données projet'!$B$15,Paramètres!$A$1:$I$89,5,0)</f>
        <v>4.8648853265826189</v>
      </c>
      <c r="EL17" s="13">
        <f t="shared" si="45"/>
        <v>1.8648736862790547</v>
      </c>
      <c r="EM17" s="20">
        <f t="shared" si="19"/>
        <v>11.720996947400748</v>
      </c>
      <c r="EN17" s="59">
        <f t="shared" si="20"/>
        <v>305.05433028073406</v>
      </c>
      <c r="EO17" s="59">
        <f ca="1">AVERAGE(OFFSET($EN$3,0,0,'Données projet'!$E$15+1,1))-AVERAGE(OFFSET($H$3,0,0,'Données projet'!$E$15+1,1))</f>
        <v>238.83604534181978</v>
      </c>
      <c r="EP17" s="59">
        <f t="shared" si="46"/>
        <v>114.85152559837792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1.4666666666666666</v>
      </c>
      <c r="FE17" s="12">
        <f>IF('Données projet'!$A$218&gt;35,FE16+FD17-FM16,IF(A17&lt;'Données projet'!$A$218,$FB$205^A17,IF(A17='Données projet'!$A$218,'Données projet'!$B$218,FE16+FD17-FM16)))</f>
        <v>17.903083426359473</v>
      </c>
      <c r="FF17" s="17">
        <f>FE17*VLOOKUP('Données projet'!$B$16,Paramètres!$A$1:$I$89,3,0)*VLOOKUP('Données projet'!$B$16,Paramètres!$A$1:$I$89,5,0)</f>
        <v>14.522981275462806</v>
      </c>
      <c r="FG17" s="13">
        <f t="shared" si="47"/>
        <v>4.9016754213606948</v>
      </c>
      <c r="FH17" s="20">
        <f t="shared" si="22"/>
        <v>33.831277080300929</v>
      </c>
      <c r="FI17" s="59">
        <f t="shared" si="23"/>
        <v>327.16461041363425</v>
      </c>
      <c r="FJ17" s="59">
        <f ca="1">AVERAGE(OFFSET($FI$3,0,0,'Données projet'!$E$16+1,1))-AVERAGE(OFFSET($H$3,0,0,'Données projet'!$E$16+1,1))</f>
        <v>196.95467273423861</v>
      </c>
      <c r="FK17" s="59">
        <f t="shared" si="48"/>
        <v>173.8709326829258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1.4666666666666666</v>
      </c>
      <c r="FZ17" s="12">
        <f>IF('Données projet'!$A$244&gt;35,FZ16+FY17-GH16,IF(A17&lt;'Données projet'!$A$244,$FW$205^A17,IF(A17='Données projet'!$A$244,'Données projet'!$B$244,FZ16+FY17-GH16)))</f>
        <v>17.903083426359473</v>
      </c>
      <c r="GA17" s="17">
        <f>FZ17*VLOOKUP('Données projet'!$B$17,Paramètres!$A$1:$I$89,3,0)*VLOOKUP('Données projet'!$B$17,Paramètres!$A$1:$I$89,5,0)</f>
        <v>19.270879000133338</v>
      </c>
      <c r="GB17" s="13">
        <f t="shared" si="49"/>
        <v>6.2934828337165198</v>
      </c>
      <c r="GC17" s="20">
        <f t="shared" si="25"/>
        <v>44.524596860621834</v>
      </c>
      <c r="GD17" s="59">
        <f t="shared" si="26"/>
        <v>337.85793019395516</v>
      </c>
      <c r="GE17" s="59">
        <f ca="1">AVERAGE(OFFSET($GD$3,0,0,'Données projet'!$E$17+1,1))-AVERAGE(OFFSET($H$3,0,0,'Données projet'!$E$17+1,1))</f>
        <v>275.5229427552884</v>
      </c>
      <c r="GF17" s="59">
        <f t="shared" si="50"/>
        <v>241.20234081716143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10.16068376068376</v>
      </c>
      <c r="N18" s="13">
        <f>IF('Données projet'!$A$36&gt;35,N17+M18-V17,IF(A18&lt;'Données projet'!$A$36,$K$205^A18,IF(A18='Données projet'!$A$36,'Données projet'!$B$36,N17+M18-V17)))</f>
        <v>76.764931457129379</v>
      </c>
      <c r="O18" s="13">
        <f>N18*VLOOKUP('Données projet'!$B$9,Paramètres!$A$1:$I$89,3,0)*VLOOKUP('Données projet'!$B$9,Paramètres!$A$1:$I$89,5,0)</f>
        <v>42.911596684535326</v>
      </c>
      <c r="P18" s="13">
        <f t="shared" si="33"/>
        <v>12.767181932785956</v>
      </c>
      <c r="Q18" s="20">
        <f t="shared" si="2"/>
        <v>96.97387275850123</v>
      </c>
      <c r="R18" s="59">
        <f t="shared" si="0"/>
        <v>390.30720609183453</v>
      </c>
      <c r="S18" s="59">
        <f ca="1">AVERAGE(OFFSET($R$3,0,0,'Données projet'!$E$9+1,1))-AVERAGE(OFFSET($H$3,0,0,'Données projet'!$E$9+1,1))</f>
        <v>274.57619581652199</v>
      </c>
      <c r="T18" s="59">
        <f t="shared" si="34"/>
        <v>366.15117322598775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6.2222222222222223</v>
      </c>
      <c r="AI18" s="13">
        <f>IF('Données projet'!$A$62&gt;35,AI17+AH18-AQ17,IF(A18&lt;'Données projet'!$A$62,$AF$205^A18,IF(A18='Données projet'!$A$62,'Données projet'!$B$62,AI17+AH18-AQ17)))</f>
        <v>51.013096442350388</v>
      </c>
      <c r="AJ18" s="13">
        <f>AI18*VLOOKUP('Données projet'!$B$10,Paramètres!$A$1:$I$89,3,0)*VLOOKUP('Données projet'!$B$10,Paramètres!$A$1:$I$89,5,0)</f>
        <v>31.832172180026642</v>
      </c>
      <c r="AK18" s="13">
        <f t="shared" si="35"/>
        <v>9.8058378099430179</v>
      </c>
      <c r="AL18" s="20">
        <f t="shared" si="4"/>
        <v>72.519534065863823</v>
      </c>
      <c r="AM18" s="59">
        <f t="shared" si="5"/>
        <v>365.85286739919712</v>
      </c>
      <c r="AN18" s="59">
        <f ca="1">AVERAGE(OFFSET($AM$3,0,0,'Données projet'!$E$10+1,1))-AVERAGE(OFFSET($H$3,0,0,'Données projet'!$E$10+1,1))</f>
        <v>175.05987582828078</v>
      </c>
      <c r="AO18" s="59">
        <f t="shared" si="36"/>
        <v>268.54782308462387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20.856367383230236</v>
      </c>
      <c r="BF18" s="13">
        <f t="shared" si="37"/>
        <v>6.7488744993944465</v>
      </c>
      <c r="BG18" s="20">
        <f t="shared" si="7"/>
        <v>48.079129612237985</v>
      </c>
      <c r="BH18" s="59">
        <f t="shared" si="8"/>
        <v>341.41246294557129</v>
      </c>
      <c r="BI18" s="59">
        <f ca="1">AVERAGE(OFFSET($BH$3,0,0,'Données projet'!$E$11+1,1))-AVERAGE(OFFSET($H$3,0,0,'Données projet'!$E$11+1,1))</f>
        <v>252.70779718608964</v>
      </c>
      <c r="BJ18" s="59">
        <f t="shared" si="38"/>
        <v>187.86969111712705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6.9411764705882355</v>
      </c>
      <c r="BY18" s="12">
        <f>IF('Données projet'!$A$114&gt;35,BY17+BX18-CG17,IF(A18&lt;'Données projet'!$A$114,$BV$205^A18,IF(A18='Données projet'!$A$114,'Données projet'!$B$114,BY17+BX18-CG17)))</f>
        <v>67.317996620272581</v>
      </c>
      <c r="BZ18" s="13">
        <f>BY18*VLOOKUP('Données projet'!$B$12,Paramètres!$A$1:$I$89,3,0)*VLOOKUP('Données projet'!$B$12,Paramètres!$A$1:$I$89,5,0)</f>
        <v>40.256161978923011</v>
      </c>
      <c r="CA18" s="13">
        <f t="shared" si="39"/>
        <v>12.066517421720839</v>
      </c>
      <c r="CB18" s="20">
        <f t="shared" si="10"/>
        <v>91.128666622788032</v>
      </c>
      <c r="CC18" s="59">
        <f t="shared" si="11"/>
        <v>384.46199995612136</v>
      </c>
      <c r="CD18" s="59">
        <f ca="1">AVERAGE(OFFSET($CC$3,0,0,'Données projet'!$E$12+1,1))-AVERAGE(OFFSET($H$3,0,0,'Données projet'!$E$12+1,1))</f>
        <v>279.86432710889352</v>
      </c>
      <c r="CE18" s="59">
        <f t="shared" si="40"/>
        <v>297.01680128882509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85</v>
      </c>
      <c r="CR18" s="12">
        <f>VLOOKUP(A18,'Données projet'!$A$139:$I$159,9,0)</f>
        <v>4.8666666666666663</v>
      </c>
      <c r="CS18" s="12">
        <f t="array" ref="CS18">INDEX(CR:CR,MIN(IF(ISNUMBER(CR18:CR214),ROW(CR18:CR214),"")))</f>
        <v>4.8666666666666663</v>
      </c>
      <c r="CT18" s="12">
        <f>IF('Données projet'!$A$140&gt;35,CT17+CS18-DB17,IF(A18&lt;'Données projet'!$A$140,$CQ$205^A18,IF(A18='Données projet'!$A$140,'Données projet'!$B$140,CT17+CS18-DB17)))</f>
        <v>72.999999999999986</v>
      </c>
      <c r="CU18" s="17">
        <f>CT18*VLOOKUP('Données projet'!$B$13,Paramètres!$A$1:$I$89,3,0)*VLOOKUP('Données projet'!$B$13,Paramètres!$A$1:$I$89,5,0)</f>
        <v>58.078799999999994</v>
      </c>
      <c r="CV18" s="13">
        <f t="shared" si="41"/>
        <v>16.681613195314618</v>
      </c>
      <c r="CW18" s="20">
        <f t="shared" si="13"/>
        <v>130.20771964850627</v>
      </c>
      <c r="CX18" s="59">
        <f t="shared" si="14"/>
        <v>423.54105298183958</v>
      </c>
      <c r="CY18" s="59">
        <f ca="1">AVERAGE(OFFSET($CX$3,0,0,'Données projet'!$E$13+1,1))-AVERAGE(OFFSET($H$3,0,0,'Données projet'!$E$13+1,1))</f>
        <v>314.6300257056194</v>
      </c>
      <c r="CZ18" s="59">
        <f t="shared" si="42"/>
        <v>298.00555477466668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42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85</v>
      </c>
      <c r="DM18" s="12">
        <f>VLOOKUP(A18,'Données projet'!$A$165:$I$185,9,0)</f>
        <v>4.8666666666666663</v>
      </c>
      <c r="DN18" s="12">
        <f t="array" ref="DN18">INDEX(DM:DM,MIN(IF(ISNUMBER(DM18:DM214),ROW(DM18:DM214),"")))</f>
        <v>4.8666666666666663</v>
      </c>
      <c r="DO18" s="12">
        <f>IF('Données projet'!$A$166&gt;35,DO17+DN18-DW17,IF(A18&lt;'Données projet'!$A$166,$DL$205^A18,IF(A18='Données projet'!$A$166,'Données projet'!$B$166,DO17+DN18-DW17)))</f>
        <v>72.999999999999986</v>
      </c>
      <c r="DP18" s="17">
        <f>DO18*VLOOKUP('Données projet'!$B$14,Paramètres!$A$1:$I$89,3,0)*VLOOKUP('Données projet'!$B$14,Paramètres!$A$1:$I$89,5,0)</f>
        <v>58.078799999999994</v>
      </c>
      <c r="DQ18" s="13">
        <f t="shared" si="43"/>
        <v>16.681613195314618</v>
      </c>
      <c r="DR18" s="20">
        <f t="shared" si="16"/>
        <v>130.20771964850627</v>
      </c>
      <c r="DS18" s="59">
        <f t="shared" si="17"/>
        <v>423.54105298183958</v>
      </c>
      <c r="DT18" s="59">
        <f ca="1">AVERAGE(OFFSET($DS$3,0,0,'Données projet'!$E$14+1,1))-AVERAGE(OFFSET($H$3,0,0,'Données projet'!$E$14+1,1))</f>
        <v>314.6300257056194</v>
      </c>
      <c r="DU18" s="59">
        <f t="shared" si="44"/>
        <v>298.00555477466668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42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4.7456410256410253</v>
      </c>
      <c r="EJ18" s="12">
        <f>IF('Données projet'!$A$192&gt;35,EJ17+EI18-ER17,IF(A18&lt;'Données projet'!$A$192,$EG$205^A18,IF(A18='Données projet'!$A$192,'Données projet'!$B$192,EJ17+EI18-ER17)))</f>
        <v>11.931857808792008</v>
      </c>
      <c r="EK18" s="17">
        <f>EJ18*VLOOKUP('Données projet'!$B$15,Paramètres!$A$1:$I$89,3,0)*VLOOKUP('Données projet'!$B$15,Paramètres!$A$1:$I$89,5,0)</f>
        <v>5.7392236060289559</v>
      </c>
      <c r="EL18" s="13">
        <f t="shared" si="45"/>
        <v>2.158115601440731</v>
      </c>
      <c r="EM18" s="20">
        <f t="shared" si="19"/>
        <v>13.754532453009704</v>
      </c>
      <c r="EN18" s="59">
        <f t="shared" si="20"/>
        <v>307.087865786343</v>
      </c>
      <c r="EO18" s="59">
        <f ca="1">AVERAGE(OFFSET($EN$3,0,0,'Données projet'!$E$15+1,1))-AVERAGE(OFFSET($H$3,0,0,'Données projet'!$E$15+1,1))</f>
        <v>238.83604534181978</v>
      </c>
      <c r="EP18" s="59">
        <f t="shared" si="46"/>
        <v>114.85152559837792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>
        <f>VLOOKUP(A18,'Données projet'!$A$217:$I$237,2,0)</f>
        <v>22</v>
      </c>
      <c r="FC18" s="12">
        <f>VLOOKUP(A18,'Données projet'!$A$217:$I$237,9,0)</f>
        <v>1.4666666666666666</v>
      </c>
      <c r="FD18" s="12">
        <f t="array" ref="FD18">INDEX(FC:FC,MIN(IF(ISNUMBER(FC18:FC214),ROW(FC18:FC214),"")))</f>
        <v>1.4666666666666666</v>
      </c>
      <c r="FE18" s="12">
        <f>IF('Données projet'!$A$218&gt;35,FE17+FD18-FM17,IF(A18&lt;'Données projet'!$A$218,$FB$205^A18,IF(A18='Données projet'!$A$218,'Données projet'!$B$218,FE17+FD18-FM17)))</f>
        <v>22</v>
      </c>
      <c r="FF18" s="17">
        <f>FE18*VLOOKUP('Données projet'!$B$16,Paramètres!$A$1:$I$89,3,0)*VLOOKUP('Données projet'!$B$16,Paramètres!$A$1:$I$89,5,0)</f>
        <v>17.846400000000003</v>
      </c>
      <c r="FG18" s="13">
        <f t="shared" si="47"/>
        <v>5.880607523247166</v>
      </c>
      <c r="FH18" s="20">
        <f t="shared" si="22"/>
        <v>41.324538102988818</v>
      </c>
      <c r="FI18" s="59">
        <f t="shared" si="23"/>
        <v>334.65787143632213</v>
      </c>
      <c r="FJ18" s="59">
        <f ca="1">AVERAGE(OFFSET($FI$3,0,0,'Données projet'!$E$16+1,1))-AVERAGE(OFFSET($H$3,0,0,'Données projet'!$E$16+1,1))</f>
        <v>196.95467273423861</v>
      </c>
      <c r="FK18" s="59">
        <f t="shared" si="48"/>
        <v>173.8709326829258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15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>
        <f>VLOOKUP(A18,'Données projet'!$A$243:$I$263,2,0)</f>
        <v>22</v>
      </c>
      <c r="FX18" s="12">
        <f>VLOOKUP(A18,'Données projet'!$A$243:$I$263,9,0)</f>
        <v>1.4666666666666666</v>
      </c>
      <c r="FY18" s="12">
        <f t="array" ref="FY18">INDEX(FX:FX,MIN(IF(ISNUMBER(FX18:FX214),ROW(FX18:FX214),"")))</f>
        <v>1.4666666666666666</v>
      </c>
      <c r="FZ18" s="12">
        <f>IF('Données projet'!$A$244&gt;35,FZ17+FY18-GH17,IF(A18&lt;'Données projet'!$A$244,$FW$205^A18,IF(A18='Données projet'!$A$244,'Données projet'!$B$244,FZ17+FY18-GH17)))</f>
        <v>22</v>
      </c>
      <c r="GA18" s="17">
        <f>FZ18*VLOOKUP('Données projet'!$B$17,Paramètres!$A$1:$I$89,3,0)*VLOOKUP('Données projet'!$B$17,Paramètres!$A$1:$I$89,5,0)</f>
        <v>23.680800000000001</v>
      </c>
      <c r="GB18" s="13">
        <f t="shared" si="49"/>
        <v>7.5503780479015239</v>
      </c>
      <c r="GC18" s="20">
        <f t="shared" si="25"/>
        <v>54.394301766761821</v>
      </c>
      <c r="GD18" s="59">
        <f t="shared" si="26"/>
        <v>347.72763510009514</v>
      </c>
      <c r="GE18" s="59">
        <f ca="1">AVERAGE(OFFSET($GD$3,0,0,'Données projet'!$E$17+1,1))-AVERAGE(OFFSET($H$3,0,0,'Données projet'!$E$17+1,1))</f>
        <v>275.5229427552884</v>
      </c>
      <c r="GF18" s="59">
        <f t="shared" si="50"/>
        <v>241.20234081716143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15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10.16068376068376</v>
      </c>
      <c r="N19" s="13">
        <f>IF('Données projet'!$A$36&gt;35,N18+M19-V18,IF(A19&lt;'Données projet'!$A$36,$K$205^A19,IF(A19='Données projet'!$A$36,'Données projet'!$B$36,N18+M19-V18)))</f>
        <v>102.52750545673157</v>
      </c>
      <c r="O19" s="13">
        <f>N19*VLOOKUP('Données projet'!$B$9,Paramètres!$A$1:$I$89,3,0)*VLOOKUP('Données projet'!$B$9,Paramètres!$A$1:$I$89,5,0)</f>
        <v>57.312875550312953</v>
      </c>
      <c r="P19" s="13">
        <f t="shared" si="33"/>
        <v>16.487078574959277</v>
      </c>
      <c r="Q19" s="20">
        <f t="shared" si="2"/>
        <v>128.53492010151578</v>
      </c>
      <c r="R19" s="59">
        <f t="shared" si="0"/>
        <v>421.86825343484907</v>
      </c>
      <c r="S19" s="59">
        <f ca="1">AVERAGE(OFFSET($R$3,0,0,'Données projet'!$E$9+1,1))-AVERAGE(OFFSET($H$3,0,0,'Données projet'!$E$9+1,1))</f>
        <v>274.57619581652199</v>
      </c>
      <c r="T19" s="59">
        <f t="shared" si="34"/>
        <v>366.15117322598775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6.2222222222222223</v>
      </c>
      <c r="AI19" s="13">
        <f>IF('Données projet'!$A$62&gt;35,AI18+AH19-AQ18,IF(A19&lt;'Données projet'!$A$62,$AF$205^A19,IF(A19='Données projet'!$A$62,'Données projet'!$B$62,AI18+AH19-AQ18)))</f>
        <v>66.302076663695672</v>
      </c>
      <c r="AJ19" s="13">
        <f>AI19*VLOOKUP('Données projet'!$B$10,Paramètres!$A$1:$I$89,3,0)*VLOOKUP('Données projet'!$B$10,Paramètres!$A$1:$I$89,5,0)</f>
        <v>41.372495838146101</v>
      </c>
      <c r="AK19" s="13">
        <f t="shared" si="35"/>
        <v>12.361709728704412</v>
      </c>
      <c r="AL19" s="20">
        <f t="shared" si="4"/>
        <v>93.587074695597963</v>
      </c>
      <c r="AM19" s="59">
        <f t="shared" si="5"/>
        <v>386.92040802893126</v>
      </c>
      <c r="AN19" s="59">
        <f ca="1">AVERAGE(OFFSET($AM$3,0,0,'Données projet'!$E$10+1,1))-AVERAGE(OFFSET($H$3,0,0,'Données projet'!$E$10+1,1))</f>
        <v>175.05987582828078</v>
      </c>
      <c r="AO19" s="59">
        <f t="shared" si="36"/>
        <v>268.54782308462387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26.864052197391008</v>
      </c>
      <c r="BF19" s="13">
        <f t="shared" si="37"/>
        <v>8.4404970471001413</v>
      </c>
      <c r="BG19" s="20">
        <f t="shared" si="7"/>
        <v>61.488756600822086</v>
      </c>
      <c r="BH19" s="59">
        <f t="shared" si="8"/>
        <v>354.82208993415543</v>
      </c>
      <c r="BI19" s="59">
        <f ca="1">AVERAGE(OFFSET($BH$3,0,0,'Données projet'!$E$11+1,1))-AVERAGE(OFFSET($H$3,0,0,'Données projet'!$E$11+1,1))</f>
        <v>252.70779718608964</v>
      </c>
      <c r="BJ19" s="59">
        <f t="shared" si="38"/>
        <v>187.86969111712705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6.9411764705882355</v>
      </c>
      <c r="BY19" s="12">
        <f>IF('Données projet'!$A$114&gt;35,BY18+BX19-CG18,IF(A19&lt;'Données projet'!$A$114,$BV$205^A19,IF(A19='Données projet'!$A$114,'Données projet'!$B$114,BY18+BX19-CG18)))</f>
        <v>89.126447260014572</v>
      </c>
      <c r="BZ19" s="13">
        <f>BY19*VLOOKUP('Données projet'!$B$12,Paramètres!$A$1:$I$89,3,0)*VLOOKUP('Données projet'!$B$12,Paramètres!$A$1:$I$89,5,0)</f>
        <v>53.297615461488718</v>
      </c>
      <c r="CA19" s="13">
        <f t="shared" si="39"/>
        <v>15.46219188294774</v>
      </c>
      <c r="CB19" s="20">
        <f t="shared" si="10"/>
        <v>119.75666445822681</v>
      </c>
      <c r="CC19" s="59">
        <f t="shared" si="11"/>
        <v>413.08999779156011</v>
      </c>
      <c r="CD19" s="59">
        <f ca="1">AVERAGE(OFFSET($CC$3,0,0,'Données projet'!$E$12+1,1))-AVERAGE(OFFSET($H$3,0,0,'Données projet'!$E$12+1,1))</f>
        <v>279.86432710889352</v>
      </c>
      <c r="CE19" s="59">
        <f t="shared" si="40"/>
        <v>297.01680128882509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16</v>
      </c>
      <c r="CT19" s="12">
        <f>IF('Données projet'!$A$140&gt;35,CT18+CS19-DB18,IF(A19&lt;'Données projet'!$A$140,$CQ$205^A19,IF(A19='Données projet'!$A$140,'Données projet'!$B$140,CT18+CS19-DB18)))</f>
        <v>46.999999999999986</v>
      </c>
      <c r="CU19" s="17">
        <f>CT19*VLOOKUP('Données projet'!$B$13,Paramètres!$A$1:$I$89,3,0)*VLOOKUP('Données projet'!$B$13,Paramètres!$A$1:$I$89,5,0)</f>
        <v>37.393199999999986</v>
      </c>
      <c r="CV19" s="13">
        <f t="shared" si="41"/>
        <v>11.305027805177126</v>
      </c>
      <c r="CW19" s="20">
        <f t="shared" si="13"/>
        <v>84.816080094016797</v>
      </c>
      <c r="CX19" s="59">
        <f t="shared" si="14"/>
        <v>378.14941342735011</v>
      </c>
      <c r="CY19" s="59">
        <f ca="1">AVERAGE(OFFSET($CX$3,0,0,'Données projet'!$E$13+1,1))-AVERAGE(OFFSET($H$3,0,0,'Données projet'!$E$13+1,1))</f>
        <v>314.6300257056194</v>
      </c>
      <c r="CZ19" s="59">
        <f t="shared" si="42"/>
        <v>298.00555477466668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16</v>
      </c>
      <c r="DO19" s="12">
        <f>IF('Données projet'!$A$166&gt;35,DO18+DN19-DW18,IF(A19&lt;'Données projet'!$A$166,$DL$205^A19,IF(A19='Données projet'!$A$166,'Données projet'!$B$166,DO18+DN19-DW18)))</f>
        <v>46.999999999999986</v>
      </c>
      <c r="DP19" s="17">
        <f>DO19*VLOOKUP('Données projet'!$B$14,Paramètres!$A$1:$I$89,3,0)*VLOOKUP('Données projet'!$B$14,Paramètres!$A$1:$I$89,5,0)</f>
        <v>37.393199999999986</v>
      </c>
      <c r="DQ19" s="13">
        <f t="shared" si="43"/>
        <v>11.305027805177126</v>
      </c>
      <c r="DR19" s="20">
        <f t="shared" si="16"/>
        <v>84.816080094016797</v>
      </c>
      <c r="DS19" s="59">
        <f t="shared" si="17"/>
        <v>378.14941342735011</v>
      </c>
      <c r="DT19" s="59">
        <f ca="1">AVERAGE(OFFSET($DS$3,0,0,'Données projet'!$E$14+1,1))-AVERAGE(OFFSET($H$3,0,0,'Données projet'!$E$14+1,1))</f>
        <v>314.6300257056194</v>
      </c>
      <c r="DU19" s="59">
        <f t="shared" si="44"/>
        <v>298.00555477466668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4.7456410256410253</v>
      </c>
      <c r="EJ19" s="12">
        <f>IF('Données projet'!$A$192&gt;35,EJ18+EI19-ER18,IF(A19&lt;'Données projet'!$A$192,$EG$205^A19,IF(A19='Données projet'!$A$192,'Données projet'!$B$192,EJ18+EI19-ER18)))</f>
        <v>14.076303017013579</v>
      </c>
      <c r="EK19" s="17">
        <f>EJ19*VLOOKUP('Données projet'!$B$15,Paramètres!$A$1:$I$89,3,0)*VLOOKUP('Données projet'!$B$15,Paramètres!$A$1:$I$89,5,0)</f>
        <v>6.7707017511835312</v>
      </c>
      <c r="EL19" s="13">
        <f t="shared" si="45"/>
        <v>2.4974683183367929</v>
      </c>
      <c r="EM19" s="20">
        <f t="shared" si="19"/>
        <v>16.14206287108123</v>
      </c>
      <c r="EN19" s="59">
        <f t="shared" si="20"/>
        <v>309.47539620441455</v>
      </c>
      <c r="EO19" s="59">
        <f ca="1">AVERAGE(OFFSET($EN$3,0,0,'Données projet'!$E$15+1,1))-AVERAGE(OFFSET($H$3,0,0,'Données projet'!$E$15+1,1))</f>
        <v>238.83604534181978</v>
      </c>
      <c r="EP19" s="59">
        <f t="shared" si="46"/>
        <v>114.85152559837792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9</v>
      </c>
      <c r="FE19" s="12">
        <f>IF('Données projet'!$A$218&gt;35,FE18+FD19-FM18,IF(A19&lt;'Données projet'!$A$218,$FB$205^A19,IF(A19='Données projet'!$A$218,'Données projet'!$B$218,FE18+FD19-FM18)))</f>
        <v>16</v>
      </c>
      <c r="FF19" s="17">
        <f>FE19*VLOOKUP('Données projet'!$B$16,Paramètres!$A$1:$I$89,3,0)*VLOOKUP('Données projet'!$B$16,Paramètres!$A$1:$I$89,5,0)</f>
        <v>12.979200000000001</v>
      </c>
      <c r="FG19" s="13">
        <f t="shared" si="47"/>
        <v>4.438313047708097</v>
      </c>
      <c r="FH19" s="20">
        <f t="shared" si="22"/>
        <v>30.33550189142494</v>
      </c>
      <c r="FI19" s="59">
        <f t="shared" si="23"/>
        <v>323.66883522475825</v>
      </c>
      <c r="FJ19" s="59">
        <f ca="1">AVERAGE(OFFSET($FI$3,0,0,'Données projet'!$E$16+1,1))-AVERAGE(OFFSET($H$3,0,0,'Données projet'!$E$16+1,1))</f>
        <v>196.95467273423861</v>
      </c>
      <c r="FK19" s="59">
        <f t="shared" si="48"/>
        <v>173.8709326829258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9</v>
      </c>
      <c r="FZ19" s="12">
        <f>IF('Données projet'!$A$244&gt;35,FZ18+FY19-GH18,IF(A19&lt;'Données projet'!$A$244,$FW$205^A19,IF(A19='Données projet'!$A$244,'Données projet'!$B$244,FZ18+FY19-GH18)))</f>
        <v>16</v>
      </c>
      <c r="GA19" s="17">
        <f>FZ19*VLOOKUP('Données projet'!$B$17,Paramètres!$A$1:$I$89,3,0)*VLOOKUP('Données projet'!$B$17,Paramètres!$A$1:$I$89,5,0)</f>
        <v>17.2224</v>
      </c>
      <c r="GB19" s="13">
        <f t="shared" si="49"/>
        <v>5.698550918872745</v>
      </c>
      <c r="GC19" s="20">
        <f t="shared" si="25"/>
        <v>39.920656183703365</v>
      </c>
      <c r="GD19" s="59">
        <f t="shared" si="26"/>
        <v>333.2539895170367</v>
      </c>
      <c r="GE19" s="59">
        <f ca="1">AVERAGE(OFFSET($GD$3,0,0,'Données projet'!$E$17+1,1))-AVERAGE(OFFSET($H$3,0,0,'Données projet'!$E$17+1,1))</f>
        <v>275.5229427552884</v>
      </c>
      <c r="GF19" s="59">
        <f t="shared" si="50"/>
        <v>241.20234081716143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10.16068376068376</v>
      </c>
      <c r="N20" s="13">
        <f>IF('Données projet'!$A$36&gt;35,N19+M20-V19,IF(A20&lt;'Données projet'!$A$36,$K$205^A20,IF(A20='Données projet'!$A$36,'Données projet'!$B$36,N19+M20-V19)))</f>
        <v>136.93608755517039</v>
      </c>
      <c r="O20" s="13">
        <f>N20*VLOOKUP('Données projet'!$B$9,Paramètres!$A$1:$I$89,3,0)*VLOOKUP('Données projet'!$B$9,Paramètres!$A$1:$I$89,5,0)</f>
        <v>76.547272943340246</v>
      </c>
      <c r="P20" s="13">
        <f t="shared" si="33"/>
        <v>21.290819020824138</v>
      </c>
      <c r="Q20" s="20">
        <f t="shared" si="2"/>
        <v>170.40134350425296</v>
      </c>
      <c r="R20" s="59">
        <f t="shared" si="0"/>
        <v>463.73467683758628</v>
      </c>
      <c r="S20" s="59">
        <f ca="1">AVERAGE(OFFSET($R$3,0,0,'Données projet'!$E$9+1,1))-AVERAGE(OFFSET($H$3,0,0,'Données projet'!$E$9+1,1))</f>
        <v>274.57619581652199</v>
      </c>
      <c r="T20" s="59">
        <f t="shared" si="34"/>
        <v>366.15117322598775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6.2222222222222223</v>
      </c>
      <c r="AI20" s="13">
        <f>IF('Données projet'!$A$62&gt;35,AI19+AH20-AQ19,IF(A20&lt;'Données projet'!$A$62,$AF$205^A20,IF(A20='Données projet'!$A$62,'Données projet'!$B$62,AI19+AH20-AQ19)))</f>
        <v>86.1732707185582</v>
      </c>
      <c r="AJ20" s="13">
        <f>AI20*VLOOKUP('Données projet'!$B$10,Paramètres!$A$1:$I$89,3,0)*VLOOKUP('Données projet'!$B$10,Paramètres!$A$1:$I$89,5,0)</f>
        <v>53.772120928380318</v>
      </c>
      <c r="AK20" s="13">
        <f t="shared" si="35"/>
        <v>15.583764526657339</v>
      </c>
      <c r="AL20" s="20">
        <f t="shared" si="4"/>
        <v>120.79483383419057</v>
      </c>
      <c r="AM20" s="59">
        <f t="shared" si="5"/>
        <v>414.12816716752388</v>
      </c>
      <c r="AN20" s="59">
        <f ca="1">AVERAGE(OFFSET($AM$3,0,0,'Données projet'!$E$10+1,1))-AVERAGE(OFFSET($H$3,0,0,'Données projet'!$E$10+1,1))</f>
        <v>175.05987582828078</v>
      </c>
      <c r="AO20" s="59">
        <f t="shared" si="36"/>
        <v>268.54782308462387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34.602252981236802</v>
      </c>
      <c r="BF20" s="13">
        <f t="shared" si="37"/>
        <v>10.556129086190376</v>
      </c>
      <c r="BG20" s="20">
        <f t="shared" si="7"/>
        <v>78.650848767435647</v>
      </c>
      <c r="BH20" s="59">
        <f t="shared" si="8"/>
        <v>371.98418210076898</v>
      </c>
      <c r="BI20" s="59">
        <f ca="1">AVERAGE(OFFSET($BH$3,0,0,'Données projet'!$E$11+1,1))-AVERAGE(OFFSET($H$3,0,0,'Données projet'!$E$11+1,1))</f>
        <v>252.70779718608964</v>
      </c>
      <c r="BJ20" s="59">
        <f t="shared" si="38"/>
        <v>187.86969111712705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>
        <f>VLOOKUP(A20,'Données projet'!$A$113:$I$133,2,0)</f>
        <v>118</v>
      </c>
      <c r="BW20" s="12">
        <f>VLOOKUP(A20,'Données projet'!$A$113:$I$133,9,0)</f>
        <v>6.9411764705882355</v>
      </c>
      <c r="BX20" s="12">
        <f t="array" ref="BX20">INDEX(BW:BW,MIN(IF(ISNUMBER(BW20:BW216),ROW(BW20:BW216),"")))</f>
        <v>6.9411764705882355</v>
      </c>
      <c r="BY20" s="12">
        <f>IF('Données projet'!$A$114&gt;35,BY19+BX20-CG19,IF(A20&lt;'Données projet'!$A$114,$BV$205^A20,IF(A20='Données projet'!$A$114,'Données projet'!$B$114,BY19+BX20-CG19)))</f>
        <v>118</v>
      </c>
      <c r="BZ20" s="13">
        <f>BY20*VLOOKUP('Données projet'!$B$12,Paramètres!$A$1:$I$89,3,0)*VLOOKUP('Données projet'!$B$12,Paramètres!$A$1:$I$89,5,0)</f>
        <v>70.564000000000007</v>
      </c>
      <c r="CA20" s="13">
        <f t="shared" si="39"/>
        <v>19.813453167086163</v>
      </c>
      <c r="CB20" s="20">
        <f t="shared" si="10"/>
        <v>157.40739759934175</v>
      </c>
      <c r="CC20" s="59">
        <f t="shared" si="11"/>
        <v>450.74073093267509</v>
      </c>
      <c r="CD20" s="59">
        <f ca="1">AVERAGE(OFFSET($CC$3,0,0,'Données projet'!$E$12+1,1))-AVERAGE(OFFSET($H$3,0,0,'Données projet'!$E$12+1,1))</f>
        <v>279.86432710889352</v>
      </c>
      <c r="CE20" s="59">
        <f t="shared" si="40"/>
        <v>297.01680128882509</v>
      </c>
      <c r="CF20" s="15">
        <f>IF(ISNA(VLOOKUP(A20,'Données projet'!$A$113:$I$133,3,0)),0,VLOOKUP(A20,'Données projet'!$A$113:$I$133,3,0))</f>
        <v>1</v>
      </c>
      <c r="CG20" s="15">
        <f>IF(ISNA(VLOOKUP(A20,'Données projet'!$A$113:$I$133,4,0)),0,VLOOKUP(A20,'Données projet'!$A$113:$I$133,4,0))</f>
        <v>15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0.27</v>
      </c>
      <c r="CJ20" s="16">
        <f>IF(ISNA(VLOOKUP(A20,'Données projet'!$A$113:$I$133,7,0)),0%,VLOOKUP(A20,'Données projet'!$A$113:$I$133,7,0))</f>
        <v>0.4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3.200156411441915</v>
      </c>
      <c r="CM20" s="21">
        <f>EXP(-LN(2)/2)*CM19+(1-EXP(-LN(2)/2))/(LN(2)/2)*CG20*CJ20*VLOOKUP('Données projet'!$B$12,Paramètres!$A$1:$I$89,3,0)*0.475*44/12</f>
        <v>4.0624494835249605</v>
      </c>
      <c r="CN20" s="22">
        <f t="shared" si="12"/>
        <v>7.2626058949668755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16</v>
      </c>
      <c r="CT20" s="12">
        <f>IF('Données projet'!$A$140&gt;35,CT19+CS20-DB19,IF(A20&lt;'Données projet'!$A$140,$CQ$205^A20,IF(A20='Données projet'!$A$140,'Données projet'!$B$140,CT19+CS20-DB19)))</f>
        <v>62.999999999999986</v>
      </c>
      <c r="CU20" s="17">
        <f>CT20*VLOOKUP('Données projet'!$B$13,Paramètres!$A$1:$I$89,3,0)*VLOOKUP('Données projet'!$B$13,Paramètres!$A$1:$I$89,5,0)</f>
        <v>50.122799999999998</v>
      </c>
      <c r="CV20" s="13">
        <f t="shared" si="41"/>
        <v>14.645468769972682</v>
      </c>
      <c r="CW20" s="20">
        <f t="shared" si="13"/>
        <v>112.80473477436908</v>
      </c>
      <c r="CX20" s="59">
        <f t="shared" si="14"/>
        <v>406.1380681077024</v>
      </c>
      <c r="CY20" s="59">
        <f ca="1">AVERAGE(OFFSET($CX$3,0,0,'Données projet'!$E$13+1,1))-AVERAGE(OFFSET($H$3,0,0,'Données projet'!$E$13+1,1))</f>
        <v>314.6300257056194</v>
      </c>
      <c r="CZ20" s="59">
        <f t="shared" si="42"/>
        <v>298.00555477466668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16</v>
      </c>
      <c r="DO20" s="12">
        <f>IF('Données projet'!$A$166&gt;35,DO19+DN20-DW19,IF(A20&lt;'Données projet'!$A$166,$DL$205^A20,IF(A20='Données projet'!$A$166,'Données projet'!$B$166,DO19+DN20-DW19)))</f>
        <v>62.999999999999986</v>
      </c>
      <c r="DP20" s="17">
        <f>DO20*VLOOKUP('Données projet'!$B$14,Paramètres!$A$1:$I$89,3,0)*VLOOKUP('Données projet'!$B$14,Paramètres!$A$1:$I$89,5,0)</f>
        <v>50.122799999999998</v>
      </c>
      <c r="DQ20" s="13">
        <f t="shared" si="43"/>
        <v>14.645468769972682</v>
      </c>
      <c r="DR20" s="20">
        <f t="shared" si="16"/>
        <v>112.80473477436908</v>
      </c>
      <c r="DS20" s="59">
        <f t="shared" si="17"/>
        <v>406.1380681077024</v>
      </c>
      <c r="DT20" s="59">
        <f ca="1">AVERAGE(OFFSET($DS$3,0,0,'Données projet'!$E$14+1,1))-AVERAGE(OFFSET($H$3,0,0,'Données projet'!$E$14+1,1))</f>
        <v>314.6300257056194</v>
      </c>
      <c r="DU20" s="59">
        <f t="shared" si="44"/>
        <v>298.00555477466668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4.7456410256410253</v>
      </c>
      <c r="EJ20" s="12">
        <f>IF('Données projet'!$A$192&gt;35,EJ19+EI20-ER19,IF(A20&lt;'Données projet'!$A$192,$EG$205^A20,IF(A20='Données projet'!$A$192,'Données projet'!$B$192,EJ19+EI20-ER19)))</f>
        <v>16.606157213907139</v>
      </c>
      <c r="EK20" s="17">
        <f>EJ20*VLOOKUP('Données projet'!$B$15,Paramètres!$A$1:$I$89,3,0)*VLOOKUP('Données projet'!$B$15,Paramètres!$A$1:$I$89,5,0)</f>
        <v>7.987561619889334</v>
      </c>
      <c r="EL20" s="13">
        <f t="shared" si="45"/>
        <v>2.8901825263354919</v>
      </c>
      <c r="EM20" s="20">
        <f t="shared" si="19"/>
        <v>18.945404388008239</v>
      </c>
      <c r="EN20" s="59">
        <f t="shared" si="20"/>
        <v>312.27873772134154</v>
      </c>
      <c r="EO20" s="59">
        <f ca="1">AVERAGE(OFFSET($EN$3,0,0,'Données projet'!$E$15+1,1))-AVERAGE(OFFSET($H$3,0,0,'Données projet'!$E$15+1,1))</f>
        <v>238.83604534181978</v>
      </c>
      <c r="EP20" s="59">
        <f t="shared" si="46"/>
        <v>114.85152559837792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9</v>
      </c>
      <c r="FE20" s="12">
        <f>IF('Données projet'!$A$218&gt;35,FE19+FD20-FM19,IF(A20&lt;'Données projet'!$A$218,$FB$205^A20,IF(A20='Données projet'!$A$218,'Données projet'!$B$218,FE19+FD20-FM19)))</f>
        <v>25</v>
      </c>
      <c r="FF20" s="17">
        <f>FE20*VLOOKUP('Données projet'!$B$16,Paramètres!$A$1:$I$89,3,0)*VLOOKUP('Données projet'!$B$16,Paramètres!$A$1:$I$89,5,0)</f>
        <v>20.28</v>
      </c>
      <c r="FG20" s="13">
        <f t="shared" si="47"/>
        <v>6.5838102554415308</v>
      </c>
      <c r="FH20" s="20">
        <f t="shared" si="22"/>
        <v>46.787802861560664</v>
      </c>
      <c r="FI20" s="59">
        <f t="shared" si="23"/>
        <v>340.12113619489401</v>
      </c>
      <c r="FJ20" s="59">
        <f ca="1">AVERAGE(OFFSET($FI$3,0,0,'Données projet'!$E$16+1,1))-AVERAGE(OFFSET($H$3,0,0,'Données projet'!$E$16+1,1))</f>
        <v>196.95467273423861</v>
      </c>
      <c r="FK20" s="59">
        <f t="shared" si="48"/>
        <v>173.8709326829258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9</v>
      </c>
      <c r="FZ20" s="12">
        <f>IF('Données projet'!$A$244&gt;35,FZ19+FY20-GH19,IF(A20&lt;'Données projet'!$A$244,$FW$205^A20,IF(A20='Données projet'!$A$244,'Données projet'!$B$244,FZ19+FY20-GH19)))</f>
        <v>25</v>
      </c>
      <c r="GA20" s="17">
        <f>FZ20*VLOOKUP('Données projet'!$B$17,Paramètres!$A$1:$I$89,3,0)*VLOOKUP('Données projet'!$B$17,Paramètres!$A$1:$I$89,5,0)</f>
        <v>26.91</v>
      </c>
      <c r="GB20" s="13">
        <f t="shared" si="49"/>
        <v>8.4532518498676374</v>
      </c>
      <c r="GC20" s="20">
        <f t="shared" si="25"/>
        <v>61.590996971852803</v>
      </c>
      <c r="GD20" s="59">
        <f t="shared" si="26"/>
        <v>354.92433030518612</v>
      </c>
      <c r="GE20" s="59">
        <f ca="1">AVERAGE(OFFSET($GD$3,0,0,'Données projet'!$E$17+1,1))-AVERAGE(OFFSET($H$3,0,0,'Données projet'!$E$17+1,1))</f>
        <v>275.5229427552884</v>
      </c>
      <c r="GF20" s="59">
        <f t="shared" si="50"/>
        <v>241.20234081716143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10.16068376068376</v>
      </c>
      <c r="M21" s="12">
        <f t="array" ref="M21">INDEX(L:L,MIN(IF(ISNUMBER(L21:L217),ROW(L21:L217),"")))</f>
        <v>10.16068376068376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274.57619581652199</v>
      </c>
      <c r="T21" s="59">
        <f t="shared" si="34"/>
        <v>366.15117322598775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0.11000000000000001</v>
      </c>
      <c r="Y21" s="16">
        <f>IF(ISNA(VLOOKUP(A21,'Données projet'!$A$35:$I$55,7,0)),0%,VLOOKUP(A21,'Données projet'!$A$35:$I$55,7,0))</f>
        <v>0.4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5.6293247290914223</v>
      </c>
      <c r="AB21" s="21">
        <f>EXP(-LN(2)/2)*AB20+(1-EXP(-LN(2)/2))/(LN(2)/2)*V21*Y21*VLOOKUP('Données projet'!$B$9,Paramètres!$A$1:$I$89,3,0)*0.475*44/12</f>
        <v>17.540588042571912</v>
      </c>
      <c r="AC21" s="22">
        <f t="shared" si="3"/>
        <v>23.169912771663334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112</v>
      </c>
      <c r="AG21" s="12">
        <f>VLOOKUP(A21,'Données projet'!$A$61:$I$81,9,0)</f>
        <v>6.2222222222222223</v>
      </c>
      <c r="AH21" s="12">
        <f t="array" ref="AH21">INDEX(AG:AG,MIN(IF(ISNUMBER(AG21:AG217),ROW(AG21:AG217),"")))</f>
        <v>6.2222222222222223</v>
      </c>
      <c r="AI21" s="13">
        <f>IF('Données projet'!$A$62&gt;35,AI20+AH21-AQ20,IF(A21&lt;'Données projet'!$A$62,$AF$205^A21,IF(A21='Données projet'!$A$62,'Données projet'!$B$62,AI20+AH21-AQ20)))</f>
        <v>112</v>
      </c>
      <c r="AJ21" s="13">
        <f>AI21*VLOOKUP('Données projet'!$B$10,Paramètres!$A$1:$I$89,3,0)*VLOOKUP('Données projet'!$B$10,Paramètres!$A$1:$I$89,5,0)</f>
        <v>69.888000000000005</v>
      </c>
      <c r="AK21" s="13">
        <f t="shared" si="35"/>
        <v>19.645641432461961</v>
      </c>
      <c r="AL21" s="20">
        <f t="shared" si="4"/>
        <v>155.93775882820458</v>
      </c>
      <c r="AM21" s="59">
        <f t="shared" si="5"/>
        <v>449.27109216153792</v>
      </c>
      <c r="AN21" s="59">
        <f ca="1">AVERAGE(OFFSET($AM$3,0,0,'Données projet'!$E$10+1,1))-AVERAGE(OFFSET($H$3,0,0,'Données projet'!$E$10+1,1))</f>
        <v>175.05987582828078</v>
      </c>
      <c r="AO21" s="59">
        <f t="shared" si="36"/>
        <v>268.54782308462387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20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0.33600000000000002</v>
      </c>
      <c r="AT21" s="16">
        <f>IF(ISNA(VLOOKUP(A21,'Données projet'!$A$61:$I$81,7,0)),0%,VLOOKUP(A21,'Données projet'!$A$61:$I$81,7,0))</f>
        <v>0.44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5.5407539027090928</v>
      </c>
      <c r="AW21" s="21">
        <f>EXP(-LN(2)/2)*AW20+(1-EXP(-LN(2)/2))/(LN(2)/2)*AQ21*AT21*VLOOKUP('Données projet'!$B$10,Paramètres!$A$1:$I$89,3,0)*0.475*44/12</f>
        <v>6.2173139921773286</v>
      </c>
      <c r="AX21" s="21">
        <f t="shared" si="6"/>
        <v>11.758067894886421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44.569445539336513</v>
      </c>
      <c r="BF21" s="13">
        <f t="shared" si="37"/>
        <v>13.202049673437019</v>
      </c>
      <c r="BG21" s="20">
        <f t="shared" si="7"/>
        <v>100.61868749558056</v>
      </c>
      <c r="BH21" s="59">
        <f t="shared" si="8"/>
        <v>393.95202082891387</v>
      </c>
      <c r="BI21" s="59">
        <f ca="1">AVERAGE(OFFSET($BH$3,0,0,'Données projet'!$E$11+1,1))-AVERAGE(OFFSET($H$3,0,0,'Données projet'!$E$11+1,1))</f>
        <v>252.70779718608964</v>
      </c>
      <c r="BJ21" s="59">
        <f t="shared" si="38"/>
        <v>187.86969111712705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11.333333333333334</v>
      </c>
      <c r="BY21" s="12">
        <f>IF('Données projet'!$A$114&gt;35,BY20+BX21-CG20,IF(A21&lt;'Données projet'!$A$114,$BV$205^A21,IF(A21='Données projet'!$A$114,'Données projet'!$B$114,BY20+BX21-CG20)))</f>
        <v>114.33333333333334</v>
      </c>
      <c r="BZ21" s="13">
        <f>BY21*VLOOKUP('Données projet'!$B$12,Paramètres!$A$1:$I$89,3,0)*VLOOKUP('Données projet'!$B$12,Paramètres!$A$1:$I$89,5,0)</f>
        <v>68.37133333333334</v>
      </c>
      <c r="CA21" s="13">
        <f t="shared" si="39"/>
        <v>19.268449754335993</v>
      </c>
      <c r="CB21" s="20">
        <f t="shared" si="10"/>
        <v>152.63928887769075</v>
      </c>
      <c r="CC21" s="59">
        <f t="shared" si="11"/>
        <v>445.97262221102403</v>
      </c>
      <c r="CD21" s="59">
        <f ca="1">AVERAGE(OFFSET($CC$3,0,0,'Données projet'!$E$12+1,1))-AVERAGE(OFFSET($H$3,0,0,'Données projet'!$E$12+1,1))</f>
        <v>279.86432710889352</v>
      </c>
      <c r="CE21" s="59">
        <f t="shared" si="40"/>
        <v>297.01680128882509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3.112647966082124</v>
      </c>
      <c r="CM21" s="21">
        <f>EXP(-LN(2)/2)*CM20+(1-EXP(-LN(2)/2))/(LN(2)/2)*CG21*CJ21*VLOOKUP('Données projet'!$B$12,Paramètres!$A$1:$I$89,3,0)*0.475*44/12</f>
        <v>2.8725855780282874</v>
      </c>
      <c r="CN21" s="22">
        <f t="shared" si="12"/>
        <v>5.985233544110411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16</v>
      </c>
      <c r="CT21" s="12">
        <f>IF('Données projet'!$A$140&gt;35,CT20+CS21-DB20,IF(A21&lt;'Données projet'!$A$140,$CQ$205^A21,IF(A21='Données projet'!$A$140,'Données projet'!$B$140,CT20+CS21-DB20)))</f>
        <v>78.999999999999986</v>
      </c>
      <c r="CU21" s="17">
        <f>CT21*VLOOKUP('Données projet'!$B$13,Paramètres!$A$1:$I$89,3,0)*VLOOKUP('Données projet'!$B$13,Paramètres!$A$1:$I$89,5,0)</f>
        <v>62.852399999999989</v>
      </c>
      <c r="CV21" s="13">
        <f t="shared" si="41"/>
        <v>17.887484294067125</v>
      </c>
      <c r="CW21" s="20">
        <f t="shared" si="13"/>
        <v>140.62196514550021</v>
      </c>
      <c r="CX21" s="59">
        <f t="shared" si="14"/>
        <v>433.95529847883353</v>
      </c>
      <c r="CY21" s="59">
        <f ca="1">AVERAGE(OFFSET($CX$3,0,0,'Données projet'!$E$13+1,1))-AVERAGE(OFFSET($H$3,0,0,'Données projet'!$E$13+1,1))</f>
        <v>314.6300257056194</v>
      </c>
      <c r="CZ21" s="59">
        <f t="shared" si="42"/>
        <v>298.00555477466668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16</v>
      </c>
      <c r="DO21" s="12">
        <f>IF('Données projet'!$A$166&gt;35,DO20+DN21-DW20,IF(A21&lt;'Données projet'!$A$166,$DL$205^A21,IF(A21='Données projet'!$A$166,'Données projet'!$B$166,DO20+DN21-DW20)))</f>
        <v>78.999999999999986</v>
      </c>
      <c r="DP21" s="17">
        <f>DO21*VLOOKUP('Données projet'!$B$14,Paramètres!$A$1:$I$89,3,0)*VLOOKUP('Données projet'!$B$14,Paramètres!$A$1:$I$89,5,0)</f>
        <v>62.852399999999989</v>
      </c>
      <c r="DQ21" s="13">
        <f t="shared" si="43"/>
        <v>17.887484294067125</v>
      </c>
      <c r="DR21" s="20">
        <f t="shared" si="16"/>
        <v>140.62196514550021</v>
      </c>
      <c r="DS21" s="59">
        <f t="shared" si="17"/>
        <v>433.95529847883353</v>
      </c>
      <c r="DT21" s="59">
        <f ca="1">AVERAGE(OFFSET($DS$3,0,0,'Données projet'!$E$14+1,1))-AVERAGE(OFFSET($H$3,0,0,'Données projet'!$E$14+1,1))</f>
        <v>314.6300257056194</v>
      </c>
      <c r="DU21" s="59">
        <f t="shared" si="44"/>
        <v>298.00555477466668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4.7456410256410253</v>
      </c>
      <c r="EJ21" s="12">
        <f>IF('Données projet'!$A$192&gt;35,EJ20+EI21-ER20,IF(A21&lt;'Données projet'!$A$192,$EG$205^A21,IF(A21='Données projet'!$A$192,'Données projet'!$B$192,EJ20+EI21-ER20)))</f>
        <v>19.590687773607343</v>
      </c>
      <c r="EK21" s="17">
        <f>EJ21*VLOOKUP('Données projet'!$B$15,Paramètres!$A$1:$I$89,3,0)*VLOOKUP('Données projet'!$B$15,Paramètres!$A$1:$I$89,5,0)</f>
        <v>9.423120819105133</v>
      </c>
      <c r="EL21" s="13">
        <f t="shared" si="45"/>
        <v>3.3446490488807674</v>
      </c>
      <c r="EM21" s="20">
        <f t="shared" si="19"/>
        <v>22.237199186742114</v>
      </c>
      <c r="EN21" s="59">
        <f t="shared" si="20"/>
        <v>315.5705325200754</v>
      </c>
      <c r="EO21" s="59">
        <f ca="1">AVERAGE(OFFSET($EN$3,0,0,'Données projet'!$E$15+1,1))-AVERAGE(OFFSET($H$3,0,0,'Données projet'!$E$15+1,1))</f>
        <v>238.83604534181978</v>
      </c>
      <c r="EP21" s="59">
        <f t="shared" si="46"/>
        <v>114.85152559837792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9</v>
      </c>
      <c r="FE21" s="12">
        <f>IF('Données projet'!$A$218&gt;35,FE20+FD21-FM20,IF(A21&lt;'Données projet'!$A$218,$FB$205^A21,IF(A21='Données projet'!$A$218,'Données projet'!$B$218,FE20+FD21-FM20)))</f>
        <v>34</v>
      </c>
      <c r="FF21" s="17">
        <f>FE21*VLOOKUP('Données projet'!$B$16,Paramètres!$A$1:$I$89,3,0)*VLOOKUP('Données projet'!$B$16,Paramètres!$A$1:$I$89,5,0)</f>
        <v>27.5808</v>
      </c>
      <c r="FG21" s="13">
        <f t="shared" si="47"/>
        <v>8.6391752805240465</v>
      </c>
      <c r="FH21" s="20">
        <f t="shared" si="22"/>
        <v>63.083123613579382</v>
      </c>
      <c r="FI21" s="59">
        <f t="shared" si="23"/>
        <v>356.41645694691272</v>
      </c>
      <c r="FJ21" s="59">
        <f ca="1">AVERAGE(OFFSET($FI$3,0,0,'Données projet'!$E$16+1,1))-AVERAGE(OFFSET($H$3,0,0,'Données projet'!$E$16+1,1))</f>
        <v>196.95467273423861</v>
      </c>
      <c r="FK21" s="59">
        <f t="shared" si="48"/>
        <v>173.8709326829258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9</v>
      </c>
      <c r="FZ21" s="12">
        <f>IF('Données projet'!$A$244&gt;35,FZ20+FY21-GH20,IF(A21&lt;'Données projet'!$A$244,$FW$205^A21,IF(A21='Données projet'!$A$244,'Données projet'!$B$244,FZ20+FY21-GH20)))</f>
        <v>34</v>
      </c>
      <c r="GA21" s="17">
        <f>FZ21*VLOOKUP('Données projet'!$B$17,Paramètres!$A$1:$I$89,3,0)*VLOOKUP('Données projet'!$B$17,Paramètres!$A$1:$I$89,5,0)</f>
        <v>36.5976</v>
      </c>
      <c r="GB21" s="13">
        <f t="shared" si="49"/>
        <v>11.092227993821965</v>
      </c>
      <c r="GC21" s="20">
        <f t="shared" si="25"/>
        <v>83.059783755906594</v>
      </c>
      <c r="GD21" s="59">
        <f t="shared" si="26"/>
        <v>376.39311708923992</v>
      </c>
      <c r="GE21" s="59">
        <f ca="1">AVERAGE(OFFSET($GD$3,0,0,'Données projet'!$E$17+1,1))-AVERAGE(OFFSET($H$3,0,0,'Données projet'!$E$17+1,1))</f>
        <v>275.5229427552884</v>
      </c>
      <c r="GF21" s="59">
        <f t="shared" si="50"/>
        <v>241.20234081716143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274.57619581652199</v>
      </c>
      <c r="T22" s="59">
        <f t="shared" si="34"/>
        <v>366.15117322598775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5.4753905483410961</v>
      </c>
      <c r="AB22" s="21">
        <f>EXP(-LN(2)/2)*AB21+(1-EXP(-LN(2)/2))/(LN(2)/2)*V22*Y22*VLOOKUP('Données projet'!$B$9,Paramètres!$A$1:$I$89,3,0)*0.475*44/12</f>
        <v>12.403068750902269</v>
      </c>
      <c r="AC22" s="22">
        <f t="shared" si="3"/>
        <v>17.878459299243367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</v>
      </c>
      <c r="AI22" s="13">
        <f>IF('Données projet'!$A$62&gt;35,AI21+AH22-AQ21,IF(A22&lt;'Données projet'!$A$62,$AF$205^A22,IF(A22='Données projet'!$A$62,'Données projet'!$B$62,AI21+AH22-AQ21)))</f>
        <v>110</v>
      </c>
      <c r="AJ22" s="13">
        <f>AI22*VLOOKUP('Données projet'!$B$10,Paramètres!$A$1:$I$89,3,0)*VLOOKUP('Données projet'!$B$10,Paramètres!$A$1:$I$89,5,0)</f>
        <v>68.64</v>
      </c>
      <c r="AK22" s="13">
        <f t="shared" si="35"/>
        <v>19.335336956640202</v>
      </c>
      <c r="AL22" s="20">
        <f t="shared" si="4"/>
        <v>153.22371186614836</v>
      </c>
      <c r="AM22" s="59">
        <f t="shared" si="5"/>
        <v>446.55704519948165</v>
      </c>
      <c r="AN22" s="59">
        <f ca="1">AVERAGE(OFFSET($AM$3,0,0,'Données projet'!$E$10+1,1))-AVERAGE(OFFSET($H$3,0,0,'Données projet'!$E$10+1,1))</f>
        <v>175.05987582828078</v>
      </c>
      <c r="AO22" s="59">
        <f t="shared" si="36"/>
        <v>268.54782308462387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5.3892416958639284</v>
      </c>
      <c r="AW22" s="21">
        <f>EXP(-LN(2)/2)*AW21+(1-EXP(-LN(2)/2))/(LN(2)/2)*AQ22*AT22*VLOOKUP('Données projet'!$B$10,Paramètres!$A$1:$I$89,3,0)*0.475*44/12</f>
        <v>4.3963048846345947</v>
      </c>
      <c r="AX22" s="21">
        <f t="shared" si="6"/>
        <v>9.7855465804985222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57.407691827495569</v>
      </c>
      <c r="BF22" s="13">
        <f t="shared" si="37"/>
        <v>16.511176981334152</v>
      </c>
      <c r="BG22" s="20">
        <f t="shared" si="7"/>
        <v>128.7420298420451</v>
      </c>
      <c r="BH22" s="59">
        <f t="shared" si="8"/>
        <v>422.07536317537841</v>
      </c>
      <c r="BI22" s="59">
        <f ca="1">AVERAGE(OFFSET($BH$3,0,0,'Données projet'!$E$11+1,1))-AVERAGE(OFFSET($H$3,0,0,'Données projet'!$E$11+1,1))</f>
        <v>252.70779718608964</v>
      </c>
      <c r="BJ22" s="59">
        <f t="shared" si="38"/>
        <v>187.86969111712705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11.333333333333334</v>
      </c>
      <c r="BY22" s="12">
        <f>IF('Données projet'!$A$114&gt;35,BY21+BX22-CG21,IF(A22&lt;'Données projet'!$A$114,$BV$205^A22,IF(A22='Données projet'!$A$114,'Données projet'!$B$114,BY21+BX22-CG21)))</f>
        <v>125.66666666666667</v>
      </c>
      <c r="BZ22" s="13">
        <f>BY22*VLOOKUP('Données projet'!$B$12,Paramètres!$A$1:$I$89,3,0)*VLOOKUP('Données projet'!$B$12,Paramètres!$A$1:$I$89,5,0)</f>
        <v>75.148666666666671</v>
      </c>
      <c r="CA22" s="13">
        <f t="shared" si="39"/>
        <v>20.946723857947624</v>
      </c>
      <c r="CB22" s="20">
        <f t="shared" si="10"/>
        <v>167.36613849703656</v>
      </c>
      <c r="CC22" s="59">
        <f t="shared" si="11"/>
        <v>460.69947183036987</v>
      </c>
      <c r="CD22" s="59">
        <f ca="1">AVERAGE(OFFSET($CC$3,0,0,'Données projet'!$E$12+1,1))-AVERAGE(OFFSET($H$3,0,0,'Données projet'!$E$12+1,1))</f>
        <v>279.86432710889352</v>
      </c>
      <c r="CE22" s="59">
        <f t="shared" si="40"/>
        <v>297.01680128882509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3.0275324437625657</v>
      </c>
      <c r="CM22" s="21">
        <f>EXP(-LN(2)/2)*CM21+(1-EXP(-LN(2)/2))/(LN(2)/2)*CG22*CJ22*VLOOKUP('Données projet'!$B$12,Paramètres!$A$1:$I$89,3,0)*0.475*44/12</f>
        <v>2.0312247417624807</v>
      </c>
      <c r="CN22" s="22">
        <f t="shared" si="12"/>
        <v>5.0587571855250459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16</v>
      </c>
      <c r="CT22" s="12">
        <f>IF('Données projet'!$A$140&gt;35,CT21+CS22-DB21,IF(A22&lt;'Données projet'!$A$140,$CQ$205^A22,IF(A22='Données projet'!$A$140,'Données projet'!$B$140,CT21+CS22-DB21)))</f>
        <v>94.999999999999986</v>
      </c>
      <c r="CU22" s="17">
        <f>CT22*VLOOKUP('Données projet'!$B$13,Paramètres!$A$1:$I$89,3,0)*VLOOKUP('Données projet'!$B$13,Paramètres!$A$1:$I$89,5,0)</f>
        <v>75.581999999999994</v>
      </c>
      <c r="CV22" s="13">
        <f t="shared" si="41"/>
        <v>21.053414706764119</v>
      </c>
      <c r="CW22" s="20">
        <f t="shared" si="13"/>
        <v>168.30668061428082</v>
      </c>
      <c r="CX22" s="59">
        <f t="shared" si="14"/>
        <v>461.64001394761414</v>
      </c>
      <c r="CY22" s="59">
        <f ca="1">AVERAGE(OFFSET($CX$3,0,0,'Données projet'!$E$13+1,1))-AVERAGE(OFFSET($H$3,0,0,'Données projet'!$E$13+1,1))</f>
        <v>314.6300257056194</v>
      </c>
      <c r="CZ22" s="59">
        <f t="shared" si="42"/>
        <v>298.00555477466668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16</v>
      </c>
      <c r="DO22" s="12">
        <f>IF('Données projet'!$A$166&gt;35,DO21+DN22-DW21,IF(A22&lt;'Données projet'!$A$166,$DL$205^A22,IF(A22='Données projet'!$A$166,'Données projet'!$B$166,DO21+DN22-DW21)))</f>
        <v>94.999999999999986</v>
      </c>
      <c r="DP22" s="17">
        <f>DO22*VLOOKUP('Données projet'!$B$14,Paramètres!$A$1:$I$89,3,0)*VLOOKUP('Données projet'!$B$14,Paramètres!$A$1:$I$89,5,0)</f>
        <v>75.581999999999994</v>
      </c>
      <c r="DQ22" s="13">
        <f t="shared" si="43"/>
        <v>21.053414706764119</v>
      </c>
      <c r="DR22" s="20">
        <f t="shared" si="16"/>
        <v>168.30668061428082</v>
      </c>
      <c r="DS22" s="59">
        <f t="shared" si="17"/>
        <v>461.64001394761414</v>
      </c>
      <c r="DT22" s="59">
        <f ca="1">AVERAGE(OFFSET($DS$3,0,0,'Données projet'!$E$14+1,1))-AVERAGE(OFFSET($H$3,0,0,'Données projet'!$E$14+1,1))</f>
        <v>314.6300257056194</v>
      </c>
      <c r="DU22" s="59">
        <f t="shared" si="44"/>
        <v>298.00555477466668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4.7456410256410253</v>
      </c>
      <c r="EJ22" s="12">
        <f>IF('Données projet'!$A$192&gt;35,EJ21+EI22-ER21,IF(A22&lt;'Données projet'!$A$192,$EG$205^A22,IF(A22='Données projet'!$A$192,'Données projet'!$B$192,EJ21+EI22-ER21)))</f>
        <v>23.111611102992082</v>
      </c>
      <c r="EK22" s="17">
        <f>EJ22*VLOOKUP('Données projet'!$B$15,Paramètres!$A$1:$I$89,3,0)*VLOOKUP('Données projet'!$B$15,Paramètres!$A$1:$I$89,5,0)</f>
        <v>11.116684940539193</v>
      </c>
      <c r="EL22" s="13">
        <f t="shared" si="45"/>
        <v>3.8705781237847257</v>
      </c>
      <c r="EM22" s="20">
        <f t="shared" si="19"/>
        <v>26.102816503697493</v>
      </c>
      <c r="EN22" s="59">
        <f t="shared" si="20"/>
        <v>319.43614983703083</v>
      </c>
      <c r="EO22" s="59">
        <f ca="1">AVERAGE(OFFSET($EN$3,0,0,'Données projet'!$E$15+1,1))-AVERAGE(OFFSET($H$3,0,0,'Données projet'!$E$15+1,1))</f>
        <v>238.83604534181978</v>
      </c>
      <c r="EP22" s="59">
        <f t="shared" si="46"/>
        <v>114.85152559837792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9</v>
      </c>
      <c r="FE22" s="12">
        <f>IF('Données projet'!$A$218&gt;35,FE21+FD22-FM21,IF(A22&lt;'Données projet'!$A$218,$FB$205^A22,IF(A22='Données projet'!$A$218,'Données projet'!$B$218,FE21+FD22-FM21)))</f>
        <v>43</v>
      </c>
      <c r="FF22" s="17">
        <f>FE22*VLOOKUP('Données projet'!$B$16,Paramètres!$A$1:$I$89,3,0)*VLOOKUP('Données projet'!$B$16,Paramètres!$A$1:$I$89,5,0)</f>
        <v>34.881599999999999</v>
      </c>
      <c r="FG22" s="13">
        <f t="shared" si="47"/>
        <v>10.631394693688584</v>
      </c>
      <c r="FH22" s="20">
        <f t="shared" si="22"/>
        <v>79.268465758174287</v>
      </c>
      <c r="FI22" s="59">
        <f t="shared" si="23"/>
        <v>372.60179909150759</v>
      </c>
      <c r="FJ22" s="59">
        <f ca="1">AVERAGE(OFFSET($FI$3,0,0,'Données projet'!$E$16+1,1))-AVERAGE(OFFSET($H$3,0,0,'Données projet'!$E$16+1,1))</f>
        <v>196.95467273423861</v>
      </c>
      <c r="FK22" s="59">
        <f t="shared" si="48"/>
        <v>173.8709326829258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9</v>
      </c>
      <c r="FZ22" s="12">
        <f>IF('Données projet'!$A$244&gt;35,FZ21+FY22-GH21,IF(A22&lt;'Données projet'!$A$244,$FW$205^A22,IF(A22='Données projet'!$A$244,'Données projet'!$B$244,FZ21+FY22-GH21)))</f>
        <v>43</v>
      </c>
      <c r="GA22" s="17">
        <f>FZ22*VLOOKUP('Données projet'!$B$17,Paramètres!$A$1:$I$89,3,0)*VLOOKUP('Données projet'!$B$17,Paramètres!$A$1:$I$89,5,0)</f>
        <v>46.285199999999996</v>
      </c>
      <c r="GB22" s="13">
        <f t="shared" si="49"/>
        <v>13.650128629818649</v>
      </c>
      <c r="GC22" s="20">
        <f t="shared" si="25"/>
        <v>104.38736403026746</v>
      </c>
      <c r="GD22" s="59">
        <f t="shared" si="26"/>
        <v>397.72069736360078</v>
      </c>
      <c r="GE22" s="59">
        <f ca="1">AVERAGE(OFFSET($GD$3,0,0,'Données projet'!$E$17+1,1))-AVERAGE(OFFSET($H$3,0,0,'Données projet'!$E$17+1,1))</f>
        <v>275.5229427552884</v>
      </c>
      <c r="GF22" s="59">
        <f t="shared" si="50"/>
        <v>241.20234081716143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274.57619581652199</v>
      </c>
      <c r="T23" s="59">
        <f t="shared" si="34"/>
        <v>366.15117322598775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5.3256657058584338</v>
      </c>
      <c r="AB23" s="21">
        <f>EXP(-LN(2)/2)*AB22+(1-EXP(-LN(2)/2))/(LN(2)/2)*V23*Y23*VLOOKUP('Données projet'!$B$9,Paramètres!$A$1:$I$89,3,0)*0.475*44/12</f>
        <v>8.7702940212859577</v>
      </c>
      <c r="AC23" s="22">
        <f t="shared" si="3"/>
        <v>14.095959727144391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18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79.872</v>
      </c>
      <c r="AK23" s="13">
        <f t="shared" si="35"/>
        <v>22.105884547145418</v>
      </c>
      <c r="AL23" s="20">
        <f t="shared" si="4"/>
        <v>177.61148225294494</v>
      </c>
      <c r="AM23" s="59">
        <f t="shared" si="5"/>
        <v>470.94481558627825</v>
      </c>
      <c r="AN23" s="59">
        <f ca="1">AVERAGE(OFFSET($AM$3,0,0,'Données projet'!$E$10+1,1))-AVERAGE(OFFSET($H$3,0,0,'Données projet'!$E$10+1,1))</f>
        <v>175.05987582828078</v>
      </c>
      <c r="AO23" s="59">
        <f t="shared" si="36"/>
        <v>268.54782308462387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5.241872598282626</v>
      </c>
      <c r="AW23" s="21">
        <f>EXP(-LN(2)/2)*AW22+(1-EXP(-LN(2)/2))/(LN(2)/2)*AQ23*AT23*VLOOKUP('Données projet'!$B$10,Paramètres!$A$1:$I$89,3,0)*0.475*44/12</f>
        <v>3.1086569960886647</v>
      </c>
      <c r="AX23" s="21">
        <f t="shared" si="6"/>
        <v>8.3505295943712916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73.944000000000003</v>
      </c>
      <c r="BF23" s="13">
        <f t="shared" si="37"/>
        <v>20.649745460165708</v>
      </c>
      <c r="BG23" s="20">
        <f t="shared" si="7"/>
        <v>164.75077334312192</v>
      </c>
      <c r="BH23" s="59">
        <f t="shared" si="8"/>
        <v>458.08410667645524</v>
      </c>
      <c r="BI23" s="59">
        <f ca="1">AVERAGE(OFFSET($BH$3,0,0,'Données projet'!$E$11+1,1))-AVERAGE(OFFSET($H$3,0,0,'Données projet'!$E$11+1,1))</f>
        <v>252.70779718608964</v>
      </c>
      <c r="BJ23" s="59">
        <f t="shared" si="38"/>
        <v>187.86969111712705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31.6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0.30800000000000005</v>
      </c>
      <c r="BO23" s="16">
        <f>IF(ISNA(VLOOKUP(A23,'Données projet'!$A$87:$I$107,7,0)),0%,VLOOKUP(A23,'Données projet'!$A$87:$I$107,7,0))</f>
        <v>0.44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6.018643926817755</v>
      </c>
      <c r="BR23" s="21">
        <f>EXP(-LN(2)/2)*BR22+(1-EXP(-LN(2)/2))/(LN(2)/2)*BL23*BO23*VLOOKUP('Données projet'!$B$11,Paramètres!$A$1:$I$89,3,0)*0.475*44/12</f>
        <v>7.3675170807301358</v>
      </c>
      <c r="BS23" s="22">
        <f t="shared" si="9"/>
        <v>13.386161007547891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137</v>
      </c>
      <c r="BW23" s="12">
        <f>VLOOKUP(A23,'Données projet'!$A$113:$I$133,9,0)</f>
        <v>11.333333333333334</v>
      </c>
      <c r="BX23" s="12">
        <f t="array" ref="BX23">INDEX(BW:BW,MIN(IF(ISNUMBER(BW23:BW219),ROW(BW23:BW219),"")))</f>
        <v>11.333333333333334</v>
      </c>
      <c r="BY23" s="12">
        <f>IF('Données projet'!$A$114&gt;35,BY22+BX23-CG22,IF(A23&lt;'Données projet'!$A$114,$BV$205^A23,IF(A23='Données projet'!$A$114,'Données projet'!$B$114,BY22+BX23-CG22)))</f>
        <v>137</v>
      </c>
      <c r="BZ23" s="13">
        <f>BY23*VLOOKUP('Données projet'!$B$12,Paramètres!$A$1:$I$89,3,0)*VLOOKUP('Données projet'!$B$12,Paramètres!$A$1:$I$89,5,0)</f>
        <v>81.926000000000002</v>
      </c>
      <c r="CA23" s="13">
        <f t="shared" si="39"/>
        <v>22.607447146245146</v>
      </c>
      <c r="CB23" s="20">
        <f t="shared" si="10"/>
        <v>182.06242044637693</v>
      </c>
      <c r="CC23" s="59">
        <f t="shared" si="11"/>
        <v>475.39575377971028</v>
      </c>
      <c r="CD23" s="59">
        <f ca="1">AVERAGE(OFFSET($CC$3,0,0,'Données projet'!$E$12+1,1))-AVERAGE(OFFSET($H$3,0,0,'Données projet'!$E$12+1,1))</f>
        <v>279.86432710889352</v>
      </c>
      <c r="CE23" s="59">
        <f t="shared" si="40"/>
        <v>297.01680128882509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15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0.27</v>
      </c>
      <c r="CJ23" s="16">
        <f>IF(ISNA(VLOOKUP(A23,'Données projet'!$A$113:$I$133,7,0)),0%,VLOOKUP(A23,'Données projet'!$A$113:$I$133,7,0))</f>
        <v>0.4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6.1449008213187817</v>
      </c>
      <c r="CM23" s="21">
        <f>EXP(-LN(2)/2)*CM22+(1-EXP(-LN(2)/2))/(LN(2)/2)*CG23*CJ23*VLOOKUP('Données projet'!$B$12,Paramètres!$A$1:$I$89,3,0)*0.475*44/12</f>
        <v>5.4987422725391042</v>
      </c>
      <c r="CN23" s="22">
        <f t="shared" si="12"/>
        <v>11.643643093857886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123</v>
      </c>
      <c r="CR23" s="12">
        <f>VLOOKUP(A23,'Données projet'!$A$139:$I$159,9,0)</f>
        <v>16</v>
      </c>
      <c r="CS23" s="12">
        <f t="array" ref="CS23">INDEX(CR:CR,MIN(IF(ISNUMBER(CR23:CR219),ROW(CR23:CR219),"")))</f>
        <v>16</v>
      </c>
      <c r="CT23" s="12">
        <f>IF('Données projet'!$A$140&gt;35,CT22+CS23-DB22,IF(A23&lt;'Données projet'!$A$140,$CQ$205^A23,IF(A23='Données projet'!$A$140,'Données projet'!$B$140,CT22+CS23-DB22)))</f>
        <v>110.99999999999999</v>
      </c>
      <c r="CU23" s="17">
        <f>CT23*VLOOKUP('Données projet'!$B$13,Paramètres!$A$1:$I$89,3,0)*VLOOKUP('Données projet'!$B$13,Paramètres!$A$1:$I$89,5,0)</f>
        <v>88.311599999999984</v>
      </c>
      <c r="CV23" s="13">
        <f t="shared" si="41"/>
        <v>24.157575839957186</v>
      </c>
      <c r="CW23" s="20">
        <f t="shared" si="13"/>
        <v>195.8838145879254</v>
      </c>
      <c r="CX23" s="59">
        <f t="shared" si="14"/>
        <v>489.21714792125874</v>
      </c>
      <c r="CY23" s="59">
        <f ca="1">AVERAGE(OFFSET($CX$3,0,0,'Données projet'!$E$13+1,1))-AVERAGE(OFFSET($H$3,0,0,'Données projet'!$E$13+1,1))</f>
        <v>314.6300257056194</v>
      </c>
      <c r="CZ23" s="59">
        <f t="shared" si="42"/>
        <v>298.00555477466668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42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123</v>
      </c>
      <c r="DM23" s="12">
        <f>VLOOKUP(A23,'Données projet'!$A$165:$I$185,9,0)</f>
        <v>16</v>
      </c>
      <c r="DN23" s="12">
        <f t="array" ref="DN23">INDEX(DM:DM,MIN(IF(ISNUMBER(DM23:DM219),ROW(DM23:DM219),"")))</f>
        <v>16</v>
      </c>
      <c r="DO23" s="12">
        <f>IF('Données projet'!$A$166&gt;35,DO22+DN23-DW22,IF(A23&lt;'Données projet'!$A$166,$DL$205^A23,IF(A23='Données projet'!$A$166,'Données projet'!$B$166,DO22+DN23-DW22)))</f>
        <v>110.99999999999999</v>
      </c>
      <c r="DP23" s="17">
        <f>DO23*VLOOKUP('Données projet'!$B$14,Paramètres!$A$1:$I$89,3,0)*VLOOKUP('Données projet'!$B$14,Paramètres!$A$1:$I$89,5,0)</f>
        <v>88.311599999999984</v>
      </c>
      <c r="DQ23" s="13">
        <f t="shared" si="43"/>
        <v>24.157575839957186</v>
      </c>
      <c r="DR23" s="20">
        <f t="shared" si="16"/>
        <v>195.8838145879254</v>
      </c>
      <c r="DS23" s="59">
        <f t="shared" si="17"/>
        <v>489.21714792125874</v>
      </c>
      <c r="DT23" s="59">
        <f ca="1">AVERAGE(OFFSET($DS$3,0,0,'Données projet'!$E$14+1,1))-AVERAGE(OFFSET($H$3,0,0,'Données projet'!$E$14+1,1))</f>
        <v>314.6300257056194</v>
      </c>
      <c r="DU23" s="59">
        <f t="shared" si="44"/>
        <v>298.00555477466668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42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4.7456410256410253</v>
      </c>
      <c r="EJ23" s="12">
        <f>IF('Données projet'!$A$192&gt;35,EJ22+EI23-ER22,IF(A23&lt;'Données projet'!$A$192,$EG$205^A23,IF(A23='Données projet'!$A$192,'Données projet'!$B$192,EJ22+EI23-ER22)))</f>
        <v>27.265330035811775</v>
      </c>
      <c r="EK23" s="17">
        <f>EJ23*VLOOKUP('Données projet'!$B$15,Paramètres!$A$1:$I$89,3,0)*VLOOKUP('Données projet'!$B$15,Paramètres!$A$1:$I$89,5,0)</f>
        <v>13.114623747225464</v>
      </c>
      <c r="EL23" s="13">
        <f t="shared" si="45"/>
        <v>4.4792068744354969</v>
      </c>
      <c r="EM23" s="20">
        <f t="shared" si="19"/>
        <v>30.642588332726174</v>
      </c>
      <c r="EN23" s="59">
        <f t="shared" si="20"/>
        <v>323.97592166605949</v>
      </c>
      <c r="EO23" s="59">
        <f ca="1">AVERAGE(OFFSET($EN$3,0,0,'Données projet'!$E$15+1,1))-AVERAGE(OFFSET($H$3,0,0,'Données projet'!$E$15+1,1))</f>
        <v>238.83604534181978</v>
      </c>
      <c r="EP23" s="59">
        <f t="shared" si="46"/>
        <v>114.85152559837792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52</v>
      </c>
      <c r="FC23" s="12">
        <f>VLOOKUP(A23,'Données projet'!$A$217:$I$237,9,0)</f>
        <v>9</v>
      </c>
      <c r="FD23" s="12">
        <f t="array" ref="FD23">INDEX(FC:FC,MIN(IF(ISNUMBER(FC23:FC219),ROW(FC23:FC219),"")))</f>
        <v>9</v>
      </c>
      <c r="FE23" s="12">
        <f>IF('Données projet'!$A$218&gt;35,FE22+FD23-FM22,IF(A23&lt;'Données projet'!$A$218,$FB$205^A23,IF(A23='Données projet'!$A$218,'Données projet'!$B$218,FE22+FD23-FM22)))</f>
        <v>52</v>
      </c>
      <c r="FF23" s="17">
        <f>FE23*VLOOKUP('Données projet'!$B$16,Paramètres!$A$1:$I$89,3,0)*VLOOKUP('Données projet'!$B$16,Paramètres!$A$1:$I$89,5,0)</f>
        <v>42.182400000000001</v>
      </c>
      <c r="FG23" s="13">
        <f t="shared" si="47"/>
        <v>12.57529172853067</v>
      </c>
      <c r="FH23" s="20">
        <f t="shared" si="22"/>
        <v>95.369646427190915</v>
      </c>
      <c r="FI23" s="59">
        <f t="shared" si="23"/>
        <v>388.70297976052422</v>
      </c>
      <c r="FJ23" s="59">
        <f ca="1">AVERAGE(OFFSET($FI$3,0,0,'Données projet'!$E$16+1,1))-AVERAGE(OFFSET($H$3,0,0,'Données projet'!$E$16+1,1))</f>
        <v>196.95467273423861</v>
      </c>
      <c r="FK23" s="59">
        <f t="shared" si="48"/>
        <v>173.8709326829258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28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52</v>
      </c>
      <c r="FX23" s="12">
        <f>VLOOKUP(A23,'Données projet'!$A$243:$I$263,9,0)</f>
        <v>9</v>
      </c>
      <c r="FY23" s="12">
        <f t="array" ref="FY23">INDEX(FX:FX,MIN(IF(ISNUMBER(FX23:FX219),ROW(FX23:FX219),"")))</f>
        <v>9</v>
      </c>
      <c r="FZ23" s="12">
        <f>IF('Données projet'!$A$244&gt;35,FZ22+FY23-GH22,IF(A23&lt;'Données projet'!$A$244,$FW$205^A23,IF(A23='Données projet'!$A$244,'Données projet'!$B$244,FZ22+FY23-GH22)))</f>
        <v>52</v>
      </c>
      <c r="GA23" s="17">
        <f>FZ23*VLOOKUP('Données projet'!$B$17,Paramètres!$A$1:$I$89,3,0)*VLOOKUP('Données projet'!$B$17,Paramètres!$A$1:$I$89,5,0)</f>
        <v>55.972799999999992</v>
      </c>
      <c r="GB23" s="13">
        <f t="shared" si="49"/>
        <v>16.145985978099571</v>
      </c>
      <c r="GC23" s="20">
        <f t="shared" si="25"/>
        <v>125.6068855785234</v>
      </c>
      <c r="GD23" s="59">
        <f t="shared" si="26"/>
        <v>418.94021891185673</v>
      </c>
      <c r="GE23" s="59">
        <f ca="1">AVERAGE(OFFSET($GD$3,0,0,'Données projet'!$E$17+1,1))-AVERAGE(OFFSET($H$3,0,0,'Données projet'!$E$17+1,1))</f>
        <v>275.5229427552884</v>
      </c>
      <c r="GF23" s="59">
        <f t="shared" si="50"/>
        <v>241.20234081716143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28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274.57619581652199</v>
      </c>
      <c r="T24" s="59">
        <f t="shared" si="34"/>
        <v>366.15117322598775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5.1800350970671474</v>
      </c>
      <c r="AB24" s="21">
        <f>EXP(-LN(2)/2)*AB23+(1-EXP(-LN(2)/2))/(LN(2)/2)*V24*Y24*VLOOKUP('Données projet'!$B$9,Paramètres!$A$1:$I$89,3,0)*0.475*44/12</f>
        <v>6.2015343754511365</v>
      </c>
      <c r="AC24" s="22">
        <f t="shared" si="3"/>
        <v>11.381569472518283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146</v>
      </c>
      <c r="AG24" s="12">
        <f>VLOOKUP(A24,'Données projet'!$A$61:$I$81,9,0)</f>
        <v>18</v>
      </c>
      <c r="AH24" s="12">
        <f t="array" ref="AH24">INDEX(AG:AG,MIN(IF(ISNUMBER(AG24:AG220),ROW(AG24:AG220),"")))</f>
        <v>18</v>
      </c>
      <c r="AI24" s="13">
        <f>IF('Données projet'!$A$62&gt;35,AI23+AH24-AQ23,IF(A24&lt;'Données projet'!$A$62,$AF$205^A24,IF(A24='Données projet'!$A$62,'Données projet'!$B$62,AI23+AH24-AQ23)))</f>
        <v>146</v>
      </c>
      <c r="AJ24" s="13">
        <f>AI24*VLOOKUP('Données projet'!$B$10,Paramètres!$A$1:$I$89,3,0)*VLOOKUP('Données projet'!$B$10,Paramètres!$A$1:$I$89,5,0)</f>
        <v>91.103999999999999</v>
      </c>
      <c r="AK24" s="13">
        <f t="shared" si="35"/>
        <v>24.831293984707884</v>
      </c>
      <c r="AL24" s="20">
        <f t="shared" si="4"/>
        <v>201.92063702336623</v>
      </c>
      <c r="AM24" s="59">
        <f t="shared" si="5"/>
        <v>495.25397035669954</v>
      </c>
      <c r="AN24" s="59">
        <f ca="1">AVERAGE(OFFSET($AM$3,0,0,'Données projet'!$E$10+1,1))-AVERAGE(OFFSET($H$3,0,0,'Données projet'!$E$10+1,1))</f>
        <v>175.05987582828078</v>
      </c>
      <c r="AO24" s="59">
        <f t="shared" si="36"/>
        <v>268.54782308462387</v>
      </c>
      <c r="AP24" s="15">
        <f>IF(ISNA(VLOOKUP(A24,'Données projet'!$A$61:$I$81,3,0)),0,VLOOKUP(A24,'Données projet'!$A$61:$I$81,3,0))</f>
        <v>2</v>
      </c>
      <c r="AQ24" s="15">
        <f>IF(ISNA(VLOOKUP(A24,'Données projet'!$A$61:$I$81,4,0)),0,VLOOKUP(A24,'Données projet'!$A$61:$I$81,4,0))</f>
        <v>26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0.33600000000000002</v>
      </c>
      <c r="AT24" s="16">
        <f>IF(ISNA(VLOOKUP(A24,'Données projet'!$A$61:$I$81,7,0)),0%,VLOOKUP(A24,'Données projet'!$A$61:$I$81,7,0))</f>
        <v>0.44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12.301513389946308</v>
      </c>
      <c r="AW24" s="21">
        <f>EXP(-LN(2)/2)*AW23+(1-EXP(-LN(2)/2))/(LN(2)/2)*AQ24*AT24*VLOOKUP('Données projet'!$B$10,Paramètres!$A$1:$I$89,3,0)*0.475*44/12</f>
        <v>10.280660632147827</v>
      </c>
      <c r="AX24" s="21">
        <f t="shared" si="6"/>
        <v>22.582174022094136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9.1999999999999993</v>
      </c>
      <c r="BD24" s="12">
        <f>IF('Données projet'!$A$88&gt;35,BD23+BC24-BL23,IF(A24&lt;'Données projet'!$A$88,$BA$205^A24,IF(A24='Données projet'!$A$88,'Données projet'!$B$88,BD23+BC24-BL23)))</f>
        <v>135.6</v>
      </c>
      <c r="BE24" s="13">
        <f>BD24*VLOOKUP('Données projet'!$B$11,Paramètres!$A$1:$I$89,3,0)*VLOOKUP('Données projet'!$B$11,Paramètres!$A$1:$I$89,5,0)</f>
        <v>63.460799999999999</v>
      </c>
      <c r="BF24" s="13">
        <f t="shared" si="37"/>
        <v>18.040391676592805</v>
      </c>
      <c r="BG24" s="20">
        <f t="shared" si="7"/>
        <v>141.94790883673247</v>
      </c>
      <c r="BH24" s="59">
        <f t="shared" si="8"/>
        <v>435.28124217006575</v>
      </c>
      <c r="BI24" s="59">
        <f ca="1">AVERAGE(OFFSET($BH$3,0,0,'Données projet'!$E$11+1,1))-AVERAGE(OFFSET($H$3,0,0,'Données projet'!$E$11+1,1))</f>
        <v>252.70779718608964</v>
      </c>
      <c r="BJ24" s="59">
        <f t="shared" si="38"/>
        <v>187.86969111712705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5.8540637921321954</v>
      </c>
      <c r="BR24" s="21">
        <f>EXP(-LN(2)/2)*BR23+(1-EXP(-LN(2)/2))/(LN(2)/2)*BL24*BO24*VLOOKUP('Données projet'!$B$11,Paramètres!$A$1:$I$89,3,0)*0.475*44/12</f>
        <v>5.2096212882919959</v>
      </c>
      <c r="BS24" s="22">
        <f t="shared" si="9"/>
        <v>11.063685080424191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16.399999999999999</v>
      </c>
      <c r="BY24" s="12">
        <f>IF('Données projet'!$A$114&gt;35,BY23+BX24-CG23,IF(A24&lt;'Données projet'!$A$114,$BV$205^A24,IF(A24='Données projet'!$A$114,'Données projet'!$B$114,BY23+BX24-CG23)))</f>
        <v>138.4</v>
      </c>
      <c r="BZ24" s="13">
        <f>BY24*VLOOKUP('Données projet'!$B$12,Paramètres!$A$1:$I$89,3,0)*VLOOKUP('Données projet'!$B$12,Paramètres!$A$1:$I$89,5,0)</f>
        <v>82.763200000000012</v>
      </c>
      <c r="CA24" s="13">
        <f t="shared" si="39"/>
        <v>22.811459894537176</v>
      </c>
      <c r="CB24" s="20">
        <f t="shared" si="10"/>
        <v>183.8758659829856</v>
      </c>
      <c r="CC24" s="59">
        <f t="shared" si="11"/>
        <v>477.20919931631892</v>
      </c>
      <c r="CD24" s="59">
        <f ca="1">AVERAGE(OFFSET($CC$3,0,0,'Données projet'!$E$12+1,1))-AVERAGE(OFFSET($H$3,0,0,'Données projet'!$E$12+1,1))</f>
        <v>279.86432710889352</v>
      </c>
      <c r="CE24" s="59">
        <f t="shared" si="40"/>
        <v>297.01680128882509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5.9768681852135295</v>
      </c>
      <c r="CM24" s="21">
        <f>EXP(-LN(2)/2)*CM23+(1-EXP(-LN(2)/2))/(LN(2)/2)*CG24*CJ24*VLOOKUP('Données projet'!$B$12,Paramètres!$A$1:$I$89,3,0)*0.475*44/12</f>
        <v>3.8881979489095277</v>
      </c>
      <c r="CN24" s="22">
        <f t="shared" si="12"/>
        <v>9.8650661341230581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16.8</v>
      </c>
      <c r="CT24" s="12">
        <f>IF('Données projet'!$A$140&gt;35,CT23+CS24-DB23,IF(A24&lt;'Données projet'!$A$140,$CQ$205^A24,IF(A24='Données projet'!$A$140,'Données projet'!$B$140,CT23+CS24-DB23)))</f>
        <v>85.799999999999983</v>
      </c>
      <c r="CU24" s="17">
        <f>CT24*VLOOKUP('Données projet'!$B$13,Paramètres!$A$1:$I$89,3,0)*VLOOKUP('Données projet'!$B$13,Paramètres!$A$1:$I$89,5,0)</f>
        <v>68.262479999999996</v>
      </c>
      <c r="CV24" s="13">
        <f t="shared" si="41"/>
        <v>19.241340945880783</v>
      </c>
      <c r="CW24" s="20">
        <f t="shared" si="13"/>
        <v>152.402488147409</v>
      </c>
      <c r="CX24" s="59">
        <f t="shared" si="14"/>
        <v>445.73582148074229</v>
      </c>
      <c r="CY24" s="59">
        <f ca="1">AVERAGE(OFFSET($CX$3,0,0,'Données projet'!$E$13+1,1))-AVERAGE(OFFSET($H$3,0,0,'Données projet'!$E$13+1,1))</f>
        <v>314.6300257056194</v>
      </c>
      <c r="CZ24" s="59">
        <f t="shared" si="42"/>
        <v>298.00555477466668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16.8</v>
      </c>
      <c r="DO24" s="12">
        <f>IF('Données projet'!$A$166&gt;35,DO23+DN24-DW23,IF(A24&lt;'Données projet'!$A$166,$DL$205^A24,IF(A24='Données projet'!$A$166,'Données projet'!$B$166,DO23+DN24-DW23)))</f>
        <v>85.799999999999983</v>
      </c>
      <c r="DP24" s="17">
        <f>DO24*VLOOKUP('Données projet'!$B$14,Paramètres!$A$1:$I$89,3,0)*VLOOKUP('Données projet'!$B$14,Paramètres!$A$1:$I$89,5,0)</f>
        <v>68.262479999999996</v>
      </c>
      <c r="DQ24" s="13">
        <f t="shared" si="43"/>
        <v>19.241340945880783</v>
      </c>
      <c r="DR24" s="20">
        <f t="shared" si="16"/>
        <v>152.402488147409</v>
      </c>
      <c r="DS24" s="59">
        <f t="shared" si="17"/>
        <v>445.73582148074229</v>
      </c>
      <c r="DT24" s="59">
        <f ca="1">AVERAGE(OFFSET($DS$3,0,0,'Données projet'!$E$14+1,1))-AVERAGE(OFFSET($H$3,0,0,'Données projet'!$E$14+1,1))</f>
        <v>314.6300257056194</v>
      </c>
      <c r="DU24" s="59">
        <f t="shared" si="44"/>
        <v>298.00555477466668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4.7456410256410253</v>
      </c>
      <c r="EJ24" s="12">
        <f>IF('Données projet'!$A$192&gt;35,EJ23+EI24-ER23,IF(A24&lt;'Données projet'!$A$192,$EG$205^A24,IF(A24='Données projet'!$A$192,'Données projet'!$B$192,EJ23+EI24-ER23)))</f>
        <v>32.165573340990399</v>
      </c>
      <c r="EK24" s="17">
        <f>EJ24*VLOOKUP('Données projet'!$B$15,Paramètres!$A$1:$I$89,3,0)*VLOOKUP('Données projet'!$B$15,Paramètres!$A$1:$I$89,5,0)</f>
        <v>15.471640777016383</v>
      </c>
      <c r="EL24" s="13">
        <f t="shared" si="45"/>
        <v>5.1835394047987684</v>
      </c>
      <c r="EM24" s="20">
        <f t="shared" si="19"/>
        <v>35.97443881666139</v>
      </c>
      <c r="EN24" s="59">
        <f t="shared" si="20"/>
        <v>329.30777214999472</v>
      </c>
      <c r="EO24" s="59">
        <f ca="1">AVERAGE(OFFSET($EN$3,0,0,'Données projet'!$E$15+1,1))-AVERAGE(OFFSET($H$3,0,0,'Données projet'!$E$15+1,1))</f>
        <v>238.83604534181978</v>
      </c>
      <c r="EP24" s="59">
        <f t="shared" si="46"/>
        <v>114.85152559837792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12.6</v>
      </c>
      <c r="FE24" s="12">
        <f>IF('Données projet'!$A$218&gt;35,FE23+FD24-FM23,IF(A24&lt;'Données projet'!$A$218,$FB$205^A24,IF(A24='Données projet'!$A$218,'Données projet'!$B$218,FE23+FD24-FM23)))</f>
        <v>36.599999999999994</v>
      </c>
      <c r="FF24" s="17">
        <f>FE24*VLOOKUP('Données projet'!$B$16,Paramètres!$A$1:$I$89,3,0)*VLOOKUP('Données projet'!$B$16,Paramètres!$A$1:$I$89,5,0)</f>
        <v>29.689919999999997</v>
      </c>
      <c r="FG24" s="13">
        <f t="shared" si="47"/>
        <v>9.22039234443975</v>
      </c>
      <c r="FH24" s="20">
        <f t="shared" si="22"/>
        <v>67.768793999899231</v>
      </c>
      <c r="FI24" s="59">
        <f t="shared" si="23"/>
        <v>361.10212733323254</v>
      </c>
      <c r="FJ24" s="59">
        <f ca="1">AVERAGE(OFFSET($FI$3,0,0,'Données projet'!$E$16+1,1))-AVERAGE(OFFSET($H$3,0,0,'Données projet'!$E$16+1,1))</f>
        <v>196.95467273423861</v>
      </c>
      <c r="FK24" s="59">
        <f t="shared" si="48"/>
        <v>173.8709326829258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12.6</v>
      </c>
      <c r="FZ24" s="12">
        <f>IF('Données projet'!$A$244&gt;35,FZ23+FY24-GH23,IF(A24&lt;'Données projet'!$A$244,$FW$205^A24,IF(A24='Données projet'!$A$244,'Données projet'!$B$244,FZ23+FY24-GH23)))</f>
        <v>36.599999999999994</v>
      </c>
      <c r="GA24" s="17">
        <f>FZ24*VLOOKUP('Données projet'!$B$17,Paramètres!$A$1:$I$89,3,0)*VLOOKUP('Données projet'!$B$17,Paramètres!$A$1:$I$89,5,0)</f>
        <v>39.396239999999992</v>
      </c>
      <c r="GB24" s="13">
        <f t="shared" si="49"/>
        <v>11.838478877443544</v>
      </c>
      <c r="GC24" s="20">
        <f t="shared" si="25"/>
        <v>89.233802044880818</v>
      </c>
      <c r="GD24" s="59">
        <f t="shared" si="26"/>
        <v>382.56713537821412</v>
      </c>
      <c r="GE24" s="59">
        <f ca="1">AVERAGE(OFFSET($GD$3,0,0,'Données projet'!$E$17+1,1))-AVERAGE(OFFSET($H$3,0,0,'Données projet'!$E$17+1,1))</f>
        <v>275.5229427552884</v>
      </c>
      <c r="GF24" s="59">
        <f t="shared" si="50"/>
        <v>241.20234081716143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274.57619581652199</v>
      </c>
      <c r="T25" s="59">
        <f t="shared" si="34"/>
        <v>366.15117322598775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5.0383867649316398</v>
      </c>
      <c r="AB25" s="21">
        <f>EXP(-LN(2)/2)*AB24+(1-EXP(-LN(2)/2))/(LN(2)/2)*V25*Y25*VLOOKUP('Données projet'!$B$9,Paramètres!$A$1:$I$89,3,0)*0.475*44/12</f>
        <v>4.3851470106429797</v>
      </c>
      <c r="AC25" s="22">
        <f t="shared" si="3"/>
        <v>9.4235337755746187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</v>
      </c>
      <c r="AI25" s="13">
        <f>IF('Données projet'!$A$62&gt;35,AI24+AH25-AQ24,IF(A25&lt;'Données projet'!$A$62,$AF$205^A25,IF(A25='Données projet'!$A$62,'Données projet'!$B$62,AI24+AH25-AQ24)))</f>
        <v>136</v>
      </c>
      <c r="AJ25" s="13">
        <f>AI25*VLOOKUP('Données projet'!$B$10,Paramètres!$A$1:$I$89,3,0)*VLOOKUP('Données projet'!$B$10,Paramètres!$A$1:$I$89,5,0)</f>
        <v>84.864000000000004</v>
      </c>
      <c r="AK25" s="13">
        <f t="shared" si="35"/>
        <v>23.322341364766192</v>
      </c>
      <c r="AL25" s="20">
        <f t="shared" si="4"/>
        <v>188.42454454363443</v>
      </c>
      <c r="AM25" s="59">
        <f t="shared" si="5"/>
        <v>481.75787787696777</v>
      </c>
      <c r="AN25" s="59">
        <f ca="1">AVERAGE(OFFSET($AM$3,0,0,'Données projet'!$E$10+1,1))-AVERAGE(OFFSET($H$3,0,0,'Données projet'!$E$10+1,1))</f>
        <v>175.05987582828078</v>
      </c>
      <c r="AO25" s="59">
        <f t="shared" si="36"/>
        <v>268.54782308462387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11.965127859389753</v>
      </c>
      <c r="AW25" s="21">
        <f>EXP(-LN(2)/2)*AW24+(1-EXP(-LN(2)/2))/(LN(2)/2)*AQ25*AT25*VLOOKUP('Données projet'!$B$10,Paramètres!$A$1:$I$89,3,0)*0.475*44/12</f>
        <v>7.2695248480693069</v>
      </c>
      <c r="AX25" s="21">
        <f t="shared" si="6"/>
        <v>19.234652707459059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9.1999999999999993</v>
      </c>
      <c r="BD25" s="12">
        <f>IF('Données projet'!$A$88&gt;35,BD24+BC25-BL24,IF(A25&lt;'Données projet'!$A$88,$BA$205^A25,IF(A25='Données projet'!$A$88,'Données projet'!$B$88,BD24+BC25-BL24)))</f>
        <v>144.79999999999998</v>
      </c>
      <c r="BE25" s="13">
        <f>BD25*VLOOKUP('Données projet'!$B$11,Paramètres!$A$1:$I$89,3,0)*VLOOKUP('Données projet'!$B$11,Paramètres!$A$1:$I$89,5,0)</f>
        <v>67.76639999999999</v>
      </c>
      <c r="BF25" s="13">
        <f t="shared" si="37"/>
        <v>19.117733439735236</v>
      </c>
      <c r="BG25" s="20">
        <f t="shared" si="7"/>
        <v>151.32319907420549</v>
      </c>
      <c r="BH25" s="59">
        <f t="shared" si="8"/>
        <v>444.6565324075388</v>
      </c>
      <c r="BI25" s="59">
        <f ca="1">AVERAGE(OFFSET($BH$3,0,0,'Données projet'!$E$11+1,1))-AVERAGE(OFFSET($H$3,0,0,'Données projet'!$E$11+1,1))</f>
        <v>252.70779718608964</v>
      </c>
      <c r="BJ25" s="59">
        <f t="shared" si="38"/>
        <v>187.86969111712705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5.6939841098845054</v>
      </c>
      <c r="BR25" s="21">
        <f>EXP(-LN(2)/2)*BR24+(1-EXP(-LN(2)/2))/(LN(2)/2)*BL25*BO25*VLOOKUP('Données projet'!$B$11,Paramètres!$A$1:$I$89,3,0)*0.475*44/12</f>
        <v>3.6837585403650683</v>
      </c>
      <c r="BS25" s="22">
        <f t="shared" si="9"/>
        <v>9.3777426502495729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16.399999999999999</v>
      </c>
      <c r="BY25" s="12">
        <f>IF('Données projet'!$A$114&gt;35,BY24+BX25-CG24,IF(A25&lt;'Données projet'!$A$114,$BV$205^A25,IF(A25='Données projet'!$A$114,'Données projet'!$B$114,BY24+BX25-CG24)))</f>
        <v>154.80000000000001</v>
      </c>
      <c r="BZ25" s="13">
        <f>BY25*VLOOKUP('Données projet'!$B$12,Paramètres!$A$1:$I$89,3,0)*VLOOKUP('Données projet'!$B$12,Paramètres!$A$1:$I$89,5,0)</f>
        <v>92.570400000000021</v>
      </c>
      <c r="CA25" s="13">
        <f t="shared" si="39"/>
        <v>25.184123943972491</v>
      </c>
      <c r="CB25" s="20">
        <f t="shared" si="10"/>
        <v>205.0891292024188</v>
      </c>
      <c r="CC25" s="59">
        <f t="shared" si="11"/>
        <v>498.42246253575212</v>
      </c>
      <c r="CD25" s="59">
        <f ca="1">AVERAGE(OFFSET($CC$3,0,0,'Données projet'!$E$12+1,1))-AVERAGE(OFFSET($H$3,0,0,'Données projet'!$E$12+1,1))</f>
        <v>279.86432710889352</v>
      </c>
      <c r="CE25" s="59">
        <f t="shared" si="40"/>
        <v>297.01680128882509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5.813430410379028</v>
      </c>
      <c r="CM25" s="21">
        <f>EXP(-LN(2)/2)*CM24+(1-EXP(-LN(2)/2))/(LN(2)/2)*CG25*CJ25*VLOOKUP('Données projet'!$B$12,Paramètres!$A$1:$I$89,3,0)*0.475*44/12</f>
        <v>2.7493711362695525</v>
      </c>
      <c r="CN25" s="22">
        <f t="shared" si="12"/>
        <v>8.562801546648581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16.8</v>
      </c>
      <c r="CT25" s="12">
        <f>IF('Données projet'!$A$140&gt;35,CT24+CS25-DB24,IF(A25&lt;'Données projet'!$A$140,$CQ$205^A25,IF(A25='Données projet'!$A$140,'Données projet'!$B$140,CT24+CS25-DB24)))</f>
        <v>102.59999999999998</v>
      </c>
      <c r="CU25" s="17">
        <f>CT25*VLOOKUP('Données projet'!$B$13,Paramètres!$A$1:$I$89,3,0)*VLOOKUP('Données projet'!$B$13,Paramètres!$A$1:$I$89,5,0)</f>
        <v>81.628559999999993</v>
      </c>
      <c r="CV25" s="13">
        <f t="shared" si="41"/>
        <v>22.534907282778494</v>
      </c>
      <c r="CW25" s="20">
        <f t="shared" si="13"/>
        <v>181.41803885083917</v>
      </c>
      <c r="CX25" s="59">
        <f t="shared" si="14"/>
        <v>474.75137218417251</v>
      </c>
      <c r="CY25" s="59">
        <f ca="1">AVERAGE(OFFSET($CX$3,0,0,'Données projet'!$E$13+1,1))-AVERAGE(OFFSET($H$3,0,0,'Données projet'!$E$13+1,1))</f>
        <v>314.6300257056194</v>
      </c>
      <c r="CZ25" s="59">
        <f t="shared" si="42"/>
        <v>298.00555477466668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16.8</v>
      </c>
      <c r="DO25" s="12">
        <f>IF('Données projet'!$A$166&gt;35,DO24+DN25-DW24,IF(A25&lt;'Données projet'!$A$166,$DL$205^A25,IF(A25='Données projet'!$A$166,'Données projet'!$B$166,DO24+DN25-DW24)))</f>
        <v>102.59999999999998</v>
      </c>
      <c r="DP25" s="17">
        <f>DO25*VLOOKUP('Données projet'!$B$14,Paramètres!$A$1:$I$89,3,0)*VLOOKUP('Données projet'!$B$14,Paramètres!$A$1:$I$89,5,0)</f>
        <v>81.628559999999993</v>
      </c>
      <c r="DQ25" s="13">
        <f t="shared" si="43"/>
        <v>22.534907282778494</v>
      </c>
      <c r="DR25" s="20">
        <f t="shared" si="16"/>
        <v>181.41803885083917</v>
      </c>
      <c r="DS25" s="59">
        <f t="shared" si="17"/>
        <v>474.75137218417251</v>
      </c>
      <c r="DT25" s="59">
        <f ca="1">AVERAGE(OFFSET($DS$3,0,0,'Données projet'!$E$14+1,1))-AVERAGE(OFFSET($H$3,0,0,'Données projet'!$E$14+1,1))</f>
        <v>314.6300257056194</v>
      </c>
      <c r="DU25" s="59">
        <f t="shared" si="44"/>
        <v>298.00555477466668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4.7456410256410253</v>
      </c>
      <c r="EJ25" s="12">
        <f>IF('Données projet'!$A$192&gt;35,EJ24+EI25-ER24,IF(A25&lt;'Données projet'!$A$192,$EG$205^A25,IF(A25='Données projet'!$A$192,'Données projet'!$B$192,EJ24+EI25-ER24)))</f>
        <v>37.946509614800192</v>
      </c>
      <c r="EK25" s="17">
        <f>EJ25*VLOOKUP('Données projet'!$B$15,Paramètres!$A$1:$I$89,3,0)*VLOOKUP('Données projet'!$B$15,Paramètres!$A$1:$I$89,5,0)</f>
        <v>18.252271124718892</v>
      </c>
      <c r="EL25" s="13">
        <f t="shared" si="45"/>
        <v>5.9986246481388106</v>
      </c>
      <c r="EM25" s="20">
        <f t="shared" si="19"/>
        <v>42.236976804393827</v>
      </c>
      <c r="EN25" s="59">
        <f t="shared" si="20"/>
        <v>335.57031013772712</v>
      </c>
      <c r="EO25" s="59">
        <f ca="1">AVERAGE(OFFSET($EN$3,0,0,'Données projet'!$E$15+1,1))-AVERAGE(OFFSET($H$3,0,0,'Données projet'!$E$15+1,1))</f>
        <v>238.83604534181978</v>
      </c>
      <c r="EP25" s="59">
        <f t="shared" si="46"/>
        <v>114.85152559837792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12.6</v>
      </c>
      <c r="FE25" s="12">
        <f>IF('Données projet'!$A$218&gt;35,FE24+FD25-FM24,IF(A25&lt;'Données projet'!$A$218,$FB$205^A25,IF(A25='Données projet'!$A$218,'Données projet'!$B$218,FE24+FD25-FM24)))</f>
        <v>49.199999999999996</v>
      </c>
      <c r="FF25" s="17">
        <f>FE25*VLOOKUP('Données projet'!$B$16,Paramètres!$A$1:$I$89,3,0)*VLOOKUP('Données projet'!$B$16,Paramètres!$A$1:$I$89,5,0)</f>
        <v>39.91104</v>
      </c>
      <c r="FG25" s="13">
        <f t="shared" si="47"/>
        <v>11.975064994395126</v>
      </c>
      <c r="FH25" s="20">
        <f t="shared" si="22"/>
        <v>90.368299531904839</v>
      </c>
      <c r="FI25" s="59">
        <f t="shared" si="23"/>
        <v>383.70163286523814</v>
      </c>
      <c r="FJ25" s="59">
        <f ca="1">AVERAGE(OFFSET($FI$3,0,0,'Données projet'!$E$16+1,1))-AVERAGE(OFFSET($H$3,0,0,'Données projet'!$E$16+1,1))</f>
        <v>196.95467273423861</v>
      </c>
      <c r="FK25" s="59">
        <f t="shared" si="48"/>
        <v>173.8709326829258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12.6</v>
      </c>
      <c r="FZ25" s="12">
        <f>IF('Données projet'!$A$244&gt;35,FZ24+FY25-GH24,IF(A25&lt;'Données projet'!$A$244,$FW$205^A25,IF(A25='Données projet'!$A$244,'Données projet'!$B$244,FZ24+FY25-GH24)))</f>
        <v>49.199999999999996</v>
      </c>
      <c r="GA25" s="17">
        <f>FZ25*VLOOKUP('Données projet'!$B$17,Paramètres!$A$1:$I$89,3,0)*VLOOKUP('Données projet'!$B$17,Paramètres!$A$1:$I$89,5,0)</f>
        <v>52.958879999999994</v>
      </c>
      <c r="GB25" s="13">
        <f t="shared" si="49"/>
        <v>15.375327718852544</v>
      </c>
      <c r="GC25" s="20">
        <f t="shared" si="25"/>
        <v>119.01541177700149</v>
      </c>
      <c r="GD25" s="59">
        <f t="shared" si="26"/>
        <v>412.34874511033479</v>
      </c>
      <c r="GE25" s="59">
        <f ca="1">AVERAGE(OFFSET($GD$3,0,0,'Données projet'!$E$17+1,1))-AVERAGE(OFFSET($H$3,0,0,'Données projet'!$E$17+1,1))</f>
        <v>275.5229427552884</v>
      </c>
      <c r="GF25" s="59">
        <f t="shared" si="50"/>
        <v>241.20234081716143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274.57619581652199</v>
      </c>
      <c r="T26" s="59">
        <f t="shared" si="34"/>
        <v>366.15117322598775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4.9006118138873394</v>
      </c>
      <c r="AB26" s="21">
        <f>EXP(-LN(2)/2)*AB25+(1-EXP(-LN(2)/2))/(LN(2)/2)*V26*Y26*VLOOKUP('Données projet'!$B$9,Paramètres!$A$1:$I$89,3,0)*0.475*44/12</f>
        <v>3.1007671877255687</v>
      </c>
      <c r="AC26" s="22">
        <f t="shared" si="3"/>
        <v>8.0013790016129072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152</v>
      </c>
      <c r="AJ26" s="13">
        <f>AI26*VLOOKUP('Données projet'!$B$10,Paramètres!$A$1:$I$89,3,0)*VLOOKUP('Données projet'!$B$10,Paramètres!$A$1:$I$89,5,0)</f>
        <v>94.847999999999999</v>
      </c>
      <c r="AK26" s="13">
        <f t="shared" si="35"/>
        <v>25.730851751939202</v>
      </c>
      <c r="AL26" s="20">
        <f t="shared" si="4"/>
        <v>210.0081668012941</v>
      </c>
      <c r="AM26" s="59">
        <f t="shared" si="5"/>
        <v>503.34150013462738</v>
      </c>
      <c r="AN26" s="59">
        <f ca="1">AVERAGE(OFFSET($AM$3,0,0,'Données projet'!$E$10+1,1))-AVERAGE(OFFSET($H$3,0,0,'Données projet'!$E$10+1,1))</f>
        <v>175.05987582828078</v>
      </c>
      <c r="AO26" s="59">
        <f t="shared" si="36"/>
        <v>268.54782308462387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11.637940808856012</v>
      </c>
      <c r="AW26" s="21">
        <f>EXP(-LN(2)/2)*AW25+(1-EXP(-LN(2)/2))/(LN(2)/2)*AQ26*AT26*VLOOKUP('Données projet'!$B$10,Paramètres!$A$1:$I$89,3,0)*0.475*44/12</f>
        <v>5.1403303160739142</v>
      </c>
      <c r="AX26" s="21">
        <f t="shared" si="6"/>
        <v>16.778271124929926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9.1999999999999993</v>
      </c>
      <c r="BD26" s="12">
        <f>IF('Données projet'!$A$88&gt;35,BD25+BC26-BL25,IF(A26&lt;'Données projet'!$A$88,$BA$205^A26,IF(A26='Données projet'!$A$88,'Données projet'!$B$88,BD25+BC26-BL25)))</f>
        <v>153.99999999999997</v>
      </c>
      <c r="BE26" s="13">
        <f>BD26*VLOOKUP('Données projet'!$B$11,Paramètres!$A$1:$I$89,3,0)*VLOOKUP('Données projet'!$B$11,Paramètres!$A$1:$I$89,5,0)</f>
        <v>72.071999999999989</v>
      </c>
      <c r="BF26" s="13">
        <f t="shared" si="37"/>
        <v>20.187131385147271</v>
      </c>
      <c r="BG26" s="20">
        <f t="shared" si="7"/>
        <v>160.68465382913146</v>
      </c>
      <c r="BH26" s="59">
        <f t="shared" si="8"/>
        <v>454.01798716246481</v>
      </c>
      <c r="BI26" s="59">
        <f ca="1">AVERAGE(OFFSET($BH$3,0,0,'Données projet'!$E$11+1,1))-AVERAGE(OFFSET($H$3,0,0,'Données projet'!$E$11+1,1))</f>
        <v>252.70779718608964</v>
      </c>
      <c r="BJ26" s="59">
        <f t="shared" si="38"/>
        <v>187.86969111712705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5.5382818149661031</v>
      </c>
      <c r="BR26" s="21">
        <f>EXP(-LN(2)/2)*BR25+(1-EXP(-LN(2)/2))/(LN(2)/2)*BL26*BO26*VLOOKUP('Données projet'!$B$11,Paramètres!$A$1:$I$89,3,0)*0.475*44/12</f>
        <v>2.6048106441459984</v>
      </c>
      <c r="BS26" s="22">
        <f t="shared" si="9"/>
        <v>8.1430924591121006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16.399999999999999</v>
      </c>
      <c r="BY26" s="12">
        <f>IF('Données projet'!$A$114&gt;35,BY25+BX26-CG25,IF(A26&lt;'Données projet'!$A$114,$BV$205^A26,IF(A26='Données projet'!$A$114,'Données projet'!$B$114,BY25+BX26-CG25)))</f>
        <v>171.20000000000002</v>
      </c>
      <c r="BZ26" s="13">
        <f>BY26*VLOOKUP('Données projet'!$B$12,Paramètres!$A$1:$I$89,3,0)*VLOOKUP('Données projet'!$B$12,Paramètres!$A$1:$I$89,5,0)</f>
        <v>102.37760000000002</v>
      </c>
      <c r="CA26" s="13">
        <f t="shared" si="39"/>
        <v>27.527651005505614</v>
      </c>
      <c r="CB26" s="20">
        <f t="shared" si="10"/>
        <v>226.25164550125564</v>
      </c>
      <c r="CC26" s="59">
        <f t="shared" si="11"/>
        <v>519.58497883458892</v>
      </c>
      <c r="CD26" s="59">
        <f ca="1">AVERAGE(OFFSET($CC$3,0,0,'Données projet'!$E$12+1,1))-AVERAGE(OFFSET($H$3,0,0,'Données projet'!$E$12+1,1))</f>
        <v>279.86432710889352</v>
      </c>
      <c r="CE26" s="59">
        <f t="shared" si="40"/>
        <v>297.01680128882509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5.6544618500921953</v>
      </c>
      <c r="CM26" s="21">
        <f>EXP(-LN(2)/2)*CM25+(1-EXP(-LN(2)/2))/(LN(2)/2)*CG26*CJ26*VLOOKUP('Données projet'!$B$12,Paramètres!$A$1:$I$89,3,0)*0.475*44/12</f>
        <v>1.9440989744547641</v>
      </c>
      <c r="CN26" s="22">
        <f t="shared" si="12"/>
        <v>7.5985608245469596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16.8</v>
      </c>
      <c r="CT26" s="12">
        <f>IF('Données projet'!$A$140&gt;35,CT25+CS26-DB25,IF(A26&lt;'Données projet'!$A$140,$CQ$205^A26,IF(A26='Données projet'!$A$140,'Données projet'!$B$140,CT25+CS26-DB25)))</f>
        <v>119.39999999999998</v>
      </c>
      <c r="CU26" s="17">
        <f>CT26*VLOOKUP('Données projet'!$B$13,Paramètres!$A$1:$I$89,3,0)*VLOOKUP('Données projet'!$B$13,Paramètres!$A$1:$I$89,5,0)</f>
        <v>94.99463999999999</v>
      </c>
      <c r="CV26" s="13">
        <f t="shared" si="41"/>
        <v>25.765999304326996</v>
      </c>
      <c r="CW26" s="20">
        <f t="shared" si="13"/>
        <v>210.32478012170284</v>
      </c>
      <c r="CX26" s="59">
        <f t="shared" si="14"/>
        <v>503.65811345503619</v>
      </c>
      <c r="CY26" s="59">
        <f ca="1">AVERAGE(OFFSET($CX$3,0,0,'Données projet'!$E$13+1,1))-AVERAGE(OFFSET($H$3,0,0,'Données projet'!$E$13+1,1))</f>
        <v>314.6300257056194</v>
      </c>
      <c r="CZ26" s="59">
        <f t="shared" si="42"/>
        <v>298.00555477466668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16.8</v>
      </c>
      <c r="DO26" s="12">
        <f>IF('Données projet'!$A$166&gt;35,DO25+DN26-DW25,IF(A26&lt;'Données projet'!$A$166,$DL$205^A26,IF(A26='Données projet'!$A$166,'Données projet'!$B$166,DO25+DN26-DW25)))</f>
        <v>119.39999999999998</v>
      </c>
      <c r="DP26" s="17">
        <f>DO26*VLOOKUP('Données projet'!$B$14,Paramètres!$A$1:$I$89,3,0)*VLOOKUP('Données projet'!$B$14,Paramètres!$A$1:$I$89,5,0)</f>
        <v>94.99463999999999</v>
      </c>
      <c r="DQ26" s="13">
        <f t="shared" si="43"/>
        <v>25.765999304326996</v>
      </c>
      <c r="DR26" s="20">
        <f t="shared" si="16"/>
        <v>210.32478012170284</v>
      </c>
      <c r="DS26" s="59">
        <f t="shared" si="17"/>
        <v>503.65811345503619</v>
      </c>
      <c r="DT26" s="59">
        <f ca="1">AVERAGE(OFFSET($DS$3,0,0,'Données projet'!$E$14+1,1))-AVERAGE(OFFSET($H$3,0,0,'Données projet'!$E$14+1,1))</f>
        <v>314.6300257056194</v>
      </c>
      <c r="DU26" s="59">
        <f t="shared" si="44"/>
        <v>298.00555477466668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4.7456410256410253</v>
      </c>
      <c r="EJ26" s="12">
        <f>IF('Données projet'!$A$192&gt;35,EJ25+EI26-ER25,IF(A26&lt;'Données projet'!$A$192,$EG$205^A26,IF(A26='Données projet'!$A$192,'Données projet'!$B$192,EJ25+EI26-ER25)))</f>
        <v>44.766420815236351</v>
      </c>
      <c r="EK26" s="17">
        <f>EJ26*VLOOKUP('Données projet'!$B$15,Paramètres!$A$1:$I$89,3,0)*VLOOKUP('Données projet'!$B$15,Paramètres!$A$1:$I$89,5,0)</f>
        <v>21.532648412128687</v>
      </c>
      <c r="EL26" s="13">
        <f t="shared" si="45"/>
        <v>6.9418779060396494</v>
      </c>
      <c r="EM26" s="20">
        <f t="shared" si="19"/>
        <v>49.593133337476523</v>
      </c>
      <c r="EN26" s="59">
        <f t="shared" si="20"/>
        <v>342.92646667080982</v>
      </c>
      <c r="EO26" s="59">
        <f ca="1">AVERAGE(OFFSET($EN$3,0,0,'Données projet'!$E$15+1,1))-AVERAGE(OFFSET($H$3,0,0,'Données projet'!$E$15+1,1))</f>
        <v>238.83604534181978</v>
      </c>
      <c r="EP26" s="59">
        <f t="shared" si="46"/>
        <v>114.85152559837792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12.6</v>
      </c>
      <c r="FE26" s="12">
        <f>IF('Données projet'!$A$218&gt;35,FE25+FD26-FM25,IF(A26&lt;'Données projet'!$A$218,$FB$205^A26,IF(A26='Données projet'!$A$218,'Données projet'!$B$218,FE25+FD26-FM25)))</f>
        <v>61.8</v>
      </c>
      <c r="FF26" s="17">
        <f>FE26*VLOOKUP('Données projet'!$B$16,Paramètres!$A$1:$I$89,3,0)*VLOOKUP('Données projet'!$B$16,Paramètres!$A$1:$I$89,5,0)</f>
        <v>50.132160000000006</v>
      </c>
      <c r="FG26" s="13">
        <f t="shared" si="47"/>
        <v>14.647885314430297</v>
      </c>
      <c r="FH26" s="20">
        <f t="shared" si="22"/>
        <v>112.82524558929946</v>
      </c>
      <c r="FI26" s="59">
        <f t="shared" si="23"/>
        <v>406.15857892263278</v>
      </c>
      <c r="FJ26" s="59">
        <f ca="1">AVERAGE(OFFSET($FI$3,0,0,'Données projet'!$E$16+1,1))-AVERAGE(OFFSET($H$3,0,0,'Données projet'!$E$16+1,1))</f>
        <v>196.95467273423861</v>
      </c>
      <c r="FK26" s="59">
        <f t="shared" si="48"/>
        <v>173.8709326829258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12.6</v>
      </c>
      <c r="FZ26" s="12">
        <f>IF('Données projet'!$A$244&gt;35,FZ25+FY26-GH25,IF(A26&lt;'Données projet'!$A$244,$FW$205^A26,IF(A26='Données projet'!$A$244,'Données projet'!$B$244,FZ25+FY26-GH25)))</f>
        <v>61.8</v>
      </c>
      <c r="GA26" s="17">
        <f>FZ26*VLOOKUP('Données projet'!$B$17,Paramètres!$A$1:$I$89,3,0)*VLOOKUP('Données projet'!$B$17,Paramètres!$A$1:$I$89,5,0)</f>
        <v>66.521519999999995</v>
      </c>
      <c r="GB26" s="13">
        <f t="shared" si="49"/>
        <v>18.807082650736728</v>
      </c>
      <c r="GC26" s="20">
        <f t="shared" si="25"/>
        <v>148.61398295003312</v>
      </c>
      <c r="GD26" s="59">
        <f t="shared" si="26"/>
        <v>441.94731628336643</v>
      </c>
      <c r="GE26" s="59">
        <f ca="1">AVERAGE(OFFSET($GD$3,0,0,'Données projet'!$E$17+1,1))-AVERAGE(OFFSET($H$3,0,0,'Données projet'!$E$17+1,1))</f>
        <v>275.5229427552884</v>
      </c>
      <c r="GF26" s="59">
        <f t="shared" si="50"/>
        <v>241.20234081716143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274.57619581652199</v>
      </c>
      <c r="T27" s="59">
        <f t="shared" si="34"/>
        <v>366.15117322598775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0.22000000000000003</v>
      </c>
      <c r="Y27" s="16">
        <f>IF(ISNA(VLOOKUP(A27,'Données projet'!$A$35:$I$55,7,0)),0%,VLOOKUP(A27,'Données projet'!$A$35:$I$55,7,0))</f>
        <v>0.3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11.699042418173251</v>
      </c>
      <c r="AB27" s="21">
        <f>EXP(-LN(2)/2)*AB26+(1-EXP(-LN(2)/2))/(LN(2)/2)*V27*Y27*VLOOKUP('Données projet'!$B$9,Paramètres!$A$1:$I$89,3,0)*0.475*44/12</f>
        <v>10.292948320806987</v>
      </c>
      <c r="AC27" s="22">
        <f t="shared" si="3"/>
        <v>21.991990738980238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168</v>
      </c>
      <c r="AG27" s="12">
        <f>VLOOKUP(A27,'Données projet'!$A$61:$I$81,9,0)</f>
        <v>16</v>
      </c>
      <c r="AH27" s="12">
        <f t="array" ref="AH27">INDEX(AG:AG,MIN(IF(ISNUMBER(AG27:AG223),ROW(AG27:AG223),"")))</f>
        <v>16</v>
      </c>
      <c r="AI27" s="13">
        <f>IF('Données projet'!$A$62&gt;35,AI26+AH27-AQ26,IF(A27&lt;'Données projet'!$A$62,$AF$205^A27,IF(A27='Données projet'!$A$62,'Données projet'!$B$62,AI26+AH27-AQ26)))</f>
        <v>168</v>
      </c>
      <c r="AJ27" s="13">
        <f>AI27*VLOOKUP('Données projet'!$B$10,Paramètres!$A$1:$I$89,3,0)*VLOOKUP('Données projet'!$B$10,Paramètres!$A$1:$I$89,5,0)</f>
        <v>104.83200000000001</v>
      </c>
      <c r="AK27" s="13">
        <f t="shared" si="35"/>
        <v>28.109974371137717</v>
      </c>
      <c r="AL27" s="20">
        <f t="shared" si="4"/>
        <v>231.54060536306486</v>
      </c>
      <c r="AM27" s="59">
        <f t="shared" si="5"/>
        <v>524.87393869639823</v>
      </c>
      <c r="AN27" s="59">
        <f ca="1">AVERAGE(OFFSET($AM$3,0,0,'Données projet'!$E$10+1,1))-AVERAGE(OFFSET($H$3,0,0,'Données projet'!$E$10+1,1))</f>
        <v>175.05987582828078</v>
      </c>
      <c r="AO27" s="59">
        <f t="shared" si="36"/>
        <v>268.54782308462387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29</v>
      </c>
      <c r="AR27" s="16">
        <f>IF(ISNA(VLOOKUP(A27,'Données projet'!$A$61:$I$81,5,0)),0%,VLOOKUP(A27,'Données projet'!$A$61:$I$81,5,0)*VLOOKUP('Données projet'!$B$10,Paramètres!$A$1:$I$89,7,0))</f>
        <v>0.42</v>
      </c>
      <c r="AS27" s="16">
        <f>IF(ISNA(VLOOKUP(A27,'Données projet'!$A$61:$I$81,6,0)),0%,VLOOKUP(A27,'Données projet'!$A$61:$I$81,6,0)*VLOOKUP('Données projet'!$B$10,Paramètres!$A$1:$I$89,7,0))</f>
        <v>0.1008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10.082314361966246</v>
      </c>
      <c r="AV27" s="21">
        <f>EXP(-LN(2)/25)*AV26+(1-EXP(-LN(2)/25))/(LN(2)/25)*Calculateur!AQ27*Calculateur!AS27*VLOOKUP('Données projet'!$B$10,Paramètres!$A$1:$I$89,3,0)*0.475*44/12</f>
        <v>13.729928653103592</v>
      </c>
      <c r="AW27" s="21">
        <f>EXP(-LN(2)/2)*AW26+(1-EXP(-LN(2)/2))/(LN(2)/2)*AQ27*AT27*VLOOKUP('Données projet'!$B$10,Paramètres!$A$1:$I$89,3,0)*0.475*44/12</f>
        <v>6.339294010631793</v>
      </c>
      <c r="AX27" s="21">
        <f t="shared" si="6"/>
        <v>30.151537025701632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9.1999999999999993</v>
      </c>
      <c r="BD27" s="12">
        <f>IF('Données projet'!$A$88&gt;35,BD26+BC27-BL26,IF(A27&lt;'Données projet'!$A$88,$BA$205^A27,IF(A27='Données projet'!$A$88,'Données projet'!$B$88,BD26+BC27-BL26)))</f>
        <v>163.19999999999996</v>
      </c>
      <c r="BE27" s="13">
        <f>BD27*VLOOKUP('Données projet'!$B$11,Paramètres!$A$1:$I$89,3,0)*VLOOKUP('Données projet'!$B$11,Paramètres!$A$1:$I$89,5,0)</f>
        <v>76.377599999999973</v>
      </c>
      <c r="BF27" s="13">
        <f t="shared" si="37"/>
        <v>21.249114127498402</v>
      </c>
      <c r="BG27" s="20">
        <f t="shared" si="7"/>
        <v>170.03319377205966</v>
      </c>
      <c r="BH27" s="59">
        <f t="shared" si="8"/>
        <v>463.36652710539295</v>
      </c>
      <c r="BI27" s="59">
        <f ca="1">AVERAGE(OFFSET($BH$3,0,0,'Données projet'!$E$11+1,1))-AVERAGE(OFFSET($H$3,0,0,'Données projet'!$E$11+1,1))</f>
        <v>252.70779718608964</v>
      </c>
      <c r="BJ27" s="59">
        <f t="shared" si="38"/>
        <v>187.86969111712705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5.386837207490272</v>
      </c>
      <c r="BR27" s="21">
        <f>EXP(-LN(2)/2)*BR26+(1-EXP(-LN(2)/2))/(LN(2)/2)*BL27*BO27*VLOOKUP('Données projet'!$B$11,Paramètres!$A$1:$I$89,3,0)*0.475*44/12</f>
        <v>1.8418792701825346</v>
      </c>
      <c r="BS27" s="22">
        <f t="shared" si="9"/>
        <v>7.2287164776728066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16.399999999999999</v>
      </c>
      <c r="BY27" s="12">
        <f>IF('Données projet'!$A$114&gt;35,BY26+BX27-CG26,IF(A27&lt;'Données projet'!$A$114,$BV$205^A27,IF(A27='Données projet'!$A$114,'Données projet'!$B$114,BY26+BX27-CG26)))</f>
        <v>187.60000000000002</v>
      </c>
      <c r="BZ27" s="13">
        <f>BY27*VLOOKUP('Données projet'!$B$12,Paramètres!$A$1:$I$89,3,0)*VLOOKUP('Données projet'!$B$12,Paramètres!$A$1:$I$89,5,0)</f>
        <v>112.18480000000002</v>
      </c>
      <c r="CA27" s="13">
        <f t="shared" si="39"/>
        <v>29.845149809641946</v>
      </c>
      <c r="CB27" s="20">
        <f t="shared" si="10"/>
        <v>247.36882925179307</v>
      </c>
      <c r="CC27" s="59">
        <f t="shared" si="11"/>
        <v>540.70216258512642</v>
      </c>
      <c r="CD27" s="59">
        <f ca="1">AVERAGE(OFFSET($CC$3,0,0,'Données projet'!$E$12+1,1))-AVERAGE(OFFSET($H$3,0,0,'Données projet'!$E$12+1,1))</f>
        <v>279.86432710889352</v>
      </c>
      <c r="CE27" s="59">
        <f t="shared" si="40"/>
        <v>297.01680128882509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5.4998402934461987</v>
      </c>
      <c r="CM27" s="21">
        <f>EXP(-LN(2)/2)*CM26+(1-EXP(-LN(2)/2))/(LN(2)/2)*CG27*CJ27*VLOOKUP('Données projet'!$B$12,Paramètres!$A$1:$I$89,3,0)*0.475*44/12</f>
        <v>1.3746855681347765</v>
      </c>
      <c r="CN27" s="22">
        <f t="shared" si="12"/>
        <v>6.8745258615809757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16.8</v>
      </c>
      <c r="CT27" s="12">
        <f>IF('Données projet'!$A$140&gt;35,CT26+CS27-DB26,IF(A27&lt;'Données projet'!$A$140,$CQ$205^A27,IF(A27='Données projet'!$A$140,'Données projet'!$B$140,CT26+CS27-DB26)))</f>
        <v>136.19999999999999</v>
      </c>
      <c r="CU27" s="17">
        <f>CT27*VLOOKUP('Données projet'!$B$13,Paramètres!$A$1:$I$89,3,0)*VLOOKUP('Données projet'!$B$13,Paramètres!$A$1:$I$89,5,0)</f>
        <v>108.36071999999999</v>
      </c>
      <c r="CV27" s="13">
        <f t="shared" si="41"/>
        <v>28.944420560439042</v>
      </c>
      <c r="CW27" s="20">
        <f t="shared" si="13"/>
        <v>239.13978647609795</v>
      </c>
      <c r="CX27" s="59">
        <f t="shared" si="14"/>
        <v>532.4731198094313</v>
      </c>
      <c r="CY27" s="59">
        <f ca="1">AVERAGE(OFFSET($CX$3,0,0,'Données projet'!$E$13+1,1))-AVERAGE(OFFSET($H$3,0,0,'Données projet'!$E$13+1,1))</f>
        <v>314.6300257056194</v>
      </c>
      <c r="CZ27" s="59">
        <f t="shared" si="42"/>
        <v>298.00555477466668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16.8</v>
      </c>
      <c r="DO27" s="12">
        <f>IF('Données projet'!$A$166&gt;35,DO26+DN27-DW26,IF(A27&lt;'Données projet'!$A$166,$DL$205^A27,IF(A27='Données projet'!$A$166,'Données projet'!$B$166,DO26+DN27-DW26)))</f>
        <v>136.19999999999999</v>
      </c>
      <c r="DP27" s="17">
        <f>DO27*VLOOKUP('Données projet'!$B$14,Paramètres!$A$1:$I$89,3,0)*VLOOKUP('Données projet'!$B$14,Paramètres!$A$1:$I$89,5,0)</f>
        <v>108.36071999999999</v>
      </c>
      <c r="DQ27" s="13">
        <f t="shared" si="43"/>
        <v>28.944420560439042</v>
      </c>
      <c r="DR27" s="20">
        <f t="shared" si="16"/>
        <v>239.13978647609795</v>
      </c>
      <c r="DS27" s="59">
        <f t="shared" si="17"/>
        <v>532.4731198094313</v>
      </c>
      <c r="DT27" s="59">
        <f ca="1">AVERAGE(OFFSET($DS$3,0,0,'Données projet'!$E$14+1,1))-AVERAGE(OFFSET($H$3,0,0,'Données projet'!$E$14+1,1))</f>
        <v>314.6300257056194</v>
      </c>
      <c r="DU27" s="59">
        <f t="shared" si="44"/>
        <v>298.00555477466668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4.7456410256410253</v>
      </c>
      <c r="EJ27" s="12">
        <f>IF('Données projet'!$A$192&gt;35,EJ26+EI27-ER26,IF(A27&lt;'Données projet'!$A$192,$EG$205^A27,IF(A27='Données projet'!$A$192,'Données projet'!$B$192,EJ26+EI27-ER26)))</f>
        <v>52.812036019913599</v>
      </c>
      <c r="EK27" s="17">
        <f>EJ27*VLOOKUP('Données projet'!$B$15,Paramètres!$A$1:$I$89,3,0)*VLOOKUP('Données projet'!$B$15,Paramètres!$A$1:$I$89,5,0)</f>
        <v>25.40258932557844</v>
      </c>
      <c r="EL27" s="13">
        <f t="shared" si="45"/>
        <v>8.0334529478041556</v>
      </c>
      <c r="EM27" s="20">
        <f t="shared" si="19"/>
        <v>58.234440292808017</v>
      </c>
      <c r="EN27" s="59">
        <f t="shared" si="20"/>
        <v>351.56777362614133</v>
      </c>
      <c r="EO27" s="59">
        <f ca="1">AVERAGE(OFFSET($EN$3,0,0,'Données projet'!$E$15+1,1))-AVERAGE(OFFSET($H$3,0,0,'Données projet'!$E$15+1,1))</f>
        <v>238.83604534181978</v>
      </c>
      <c r="EP27" s="59">
        <f t="shared" si="46"/>
        <v>114.85152559837792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12.6</v>
      </c>
      <c r="FE27" s="12">
        <f>IF('Données projet'!$A$218&gt;35,FE26+FD27-FM26,IF(A27&lt;'Données projet'!$A$218,$FB$205^A27,IF(A27='Données projet'!$A$218,'Données projet'!$B$218,FE26+FD27-FM26)))</f>
        <v>74.399999999999991</v>
      </c>
      <c r="FF27" s="17">
        <f>FE27*VLOOKUP('Données projet'!$B$16,Paramètres!$A$1:$I$89,3,0)*VLOOKUP('Données projet'!$B$16,Paramètres!$A$1:$I$89,5,0)</f>
        <v>60.353279999999998</v>
      </c>
      <c r="FG27" s="13">
        <f t="shared" si="47"/>
        <v>17.257558739100197</v>
      </c>
      <c r="FH27" s="20">
        <f t="shared" si="22"/>
        <v>135.17221080393281</v>
      </c>
      <c r="FI27" s="59">
        <f t="shared" si="23"/>
        <v>428.50554413726616</v>
      </c>
      <c r="FJ27" s="59">
        <f ca="1">AVERAGE(OFFSET($FI$3,0,0,'Données projet'!$E$16+1,1))-AVERAGE(OFFSET($H$3,0,0,'Données projet'!$E$16+1,1))</f>
        <v>196.95467273423861</v>
      </c>
      <c r="FK27" s="59">
        <f t="shared" si="48"/>
        <v>173.8709326829258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12.6</v>
      </c>
      <c r="FZ27" s="12">
        <f>IF('Données projet'!$A$244&gt;35,FZ26+FY27-GH26,IF(A27&lt;'Données projet'!$A$244,$FW$205^A27,IF(A27='Données projet'!$A$244,'Données projet'!$B$244,FZ26+FY27-GH26)))</f>
        <v>74.399999999999991</v>
      </c>
      <c r="GA27" s="17">
        <f>FZ27*VLOOKUP('Données projet'!$B$17,Paramètres!$A$1:$I$89,3,0)*VLOOKUP('Données projet'!$B$17,Paramètres!$A$1:$I$89,5,0)</f>
        <v>80.084159999999983</v>
      </c>
      <c r="GB27" s="13">
        <f t="shared" si="49"/>
        <v>22.15776042678721</v>
      </c>
      <c r="GC27" s="20">
        <f t="shared" si="25"/>
        <v>178.07134474332099</v>
      </c>
      <c r="GD27" s="59">
        <f t="shared" si="26"/>
        <v>471.40467807665431</v>
      </c>
      <c r="GE27" s="59">
        <f ca="1">AVERAGE(OFFSET($GD$3,0,0,'Données projet'!$E$17+1,1))-AVERAGE(OFFSET($H$3,0,0,'Données projet'!$E$17+1,1))</f>
        <v>275.5229427552884</v>
      </c>
      <c r="GF27" s="59">
        <f t="shared" si="50"/>
        <v>241.20234081716143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274.57619581652199</v>
      </c>
      <c r="T28" s="59">
        <f t="shared" si="34"/>
        <v>366.15117322598775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11.379131488022402</v>
      </c>
      <c r="AB28" s="21">
        <f>EXP(-LN(2)/2)*AB27+(1-EXP(-LN(2)/2))/(LN(2)/2)*V28*Y28*VLOOKUP('Données projet'!$B$9,Paramètres!$A$1:$I$89,3,0)*0.475*44/12</f>
        <v>7.2782135560453085</v>
      </c>
      <c r="AC28" s="22">
        <f t="shared" si="3"/>
        <v>18.657345044067711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14.166666666666666</v>
      </c>
      <c r="AI28" s="13">
        <f>IF('Données projet'!$A$62&gt;35,AI27+AH28-AQ27,IF(A28&lt;'Données projet'!$A$62,$AF$205^A28,IF(A28='Données projet'!$A$62,'Données projet'!$B$62,AI27+AH28-AQ27)))</f>
        <v>153.16666666666666</v>
      </c>
      <c r="AJ28" s="13">
        <f>AI28*VLOOKUP('Données projet'!$B$10,Paramètres!$A$1:$I$89,3,0)*VLOOKUP('Données projet'!$B$10,Paramètres!$A$1:$I$89,5,0)</f>
        <v>95.575999999999993</v>
      </c>
      <c r="AK28" s="13">
        <f t="shared" si="35"/>
        <v>25.905281107545633</v>
      </c>
      <c r="AL28" s="20">
        <f t="shared" si="4"/>
        <v>211.57989792897527</v>
      </c>
      <c r="AM28" s="59">
        <f t="shared" si="5"/>
        <v>504.91323126230861</v>
      </c>
      <c r="AN28" s="59">
        <f ca="1">AVERAGE(OFFSET($AM$3,0,0,'Données projet'!$E$10+1,1))-AVERAGE(OFFSET($H$3,0,0,'Données projet'!$E$10+1,1))</f>
        <v>175.05987582828078</v>
      </c>
      <c r="AO28" s="59">
        <f t="shared" si="36"/>
        <v>268.54782308462387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9.8846063269326248</v>
      </c>
      <c r="AV28" s="21">
        <f>EXP(-LN(2)/25)*AV27+(1-EXP(-LN(2)/25))/(LN(2)/25)*Calculateur!AQ28*Calculateur!AS28*VLOOKUP('Données projet'!$B$10,Paramètres!$A$1:$I$89,3,0)*0.475*44/12</f>
        <v>13.354483032058907</v>
      </c>
      <c r="AW28" s="21">
        <f>EXP(-LN(2)/2)*AW27+(1-EXP(-LN(2)/2))/(LN(2)/2)*AQ28*AT28*VLOOKUP('Données projet'!$B$10,Paramètres!$A$1:$I$89,3,0)*0.475*44/12</f>
        <v>4.4825577828530072</v>
      </c>
      <c r="AX28" s="21">
        <f t="shared" si="6"/>
        <v>27.721647141844539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9.1999999999999993</v>
      </c>
      <c r="BD28" s="12">
        <f>IF('Données projet'!$A$88&gt;35,BD27+BC28-BL27,IF(A28&lt;'Données projet'!$A$88,$BA$205^A28,IF(A28='Données projet'!$A$88,'Données projet'!$B$88,BD27+BC28-BL27)))</f>
        <v>172.39999999999995</v>
      </c>
      <c r="BE28" s="13">
        <f>BD28*VLOOKUP('Données projet'!$B$11,Paramètres!$A$1:$I$89,3,0)*VLOOKUP('Données projet'!$B$11,Paramètres!$A$1:$I$89,5,0)</f>
        <v>80.683199999999971</v>
      </c>
      <c r="BF28" s="13">
        <f t="shared" si="37"/>
        <v>22.304147316572461</v>
      </c>
      <c r="BG28" s="20">
        <f t="shared" si="7"/>
        <v>179.36962990969698</v>
      </c>
      <c r="BH28" s="59">
        <f t="shared" si="8"/>
        <v>472.7029632430303</v>
      </c>
      <c r="BI28" s="59">
        <f ca="1">AVERAGE(OFFSET($BH$3,0,0,'Données projet'!$E$11+1,1))-AVERAGE(OFFSET($H$3,0,0,'Données projet'!$E$11+1,1))</f>
        <v>252.70779718608964</v>
      </c>
      <c r="BJ28" s="59">
        <f t="shared" si="38"/>
        <v>187.86969111712705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5.2395338607699937</v>
      </c>
      <c r="BR28" s="21">
        <f>EXP(-LN(2)/2)*BR27+(1-EXP(-LN(2)/2))/(LN(2)/2)*BL28*BO28*VLOOKUP('Données projet'!$B$11,Paramètres!$A$1:$I$89,3,0)*0.475*44/12</f>
        <v>1.3024053220729994</v>
      </c>
      <c r="BS28" s="22">
        <f t="shared" si="9"/>
        <v>6.5419391828429934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204</v>
      </c>
      <c r="BW28" s="12">
        <f>VLOOKUP(A28,'Données projet'!$A$113:$I$133,9,0)</f>
        <v>16.399999999999999</v>
      </c>
      <c r="BX28" s="12">
        <f t="array" ref="BX28">INDEX(BW:BW,MIN(IF(ISNUMBER(BW28:BW224),ROW(BW28:BW224),"")))</f>
        <v>16.399999999999999</v>
      </c>
      <c r="BY28" s="12">
        <f>IF('Données projet'!$A$114&gt;35,BY27+BX28-CG27,IF(A28&lt;'Données projet'!$A$114,$BV$205^A28,IF(A28='Données projet'!$A$114,'Données projet'!$B$114,BY27+BX28-CG27)))</f>
        <v>204.00000000000003</v>
      </c>
      <c r="BZ28" s="13">
        <f>BY28*VLOOKUP('Données projet'!$B$12,Paramètres!$A$1:$I$89,3,0)*VLOOKUP('Données projet'!$B$12,Paramètres!$A$1:$I$89,5,0)</f>
        <v>121.99200000000003</v>
      </c>
      <c r="CA28" s="13">
        <f t="shared" si="39"/>
        <v>32.139154469866327</v>
      </c>
      <c r="CB28" s="20">
        <f t="shared" si="10"/>
        <v>268.44509403501723</v>
      </c>
      <c r="CC28" s="59">
        <f t="shared" si="11"/>
        <v>561.77842736835055</v>
      </c>
      <c r="CD28" s="59">
        <f ca="1">AVERAGE(OFFSET($CC$3,0,0,'Données projet'!$E$12+1,1))-AVERAGE(OFFSET($H$3,0,0,'Données projet'!$E$12+1,1))</f>
        <v>279.86432710889352</v>
      </c>
      <c r="CE28" s="59">
        <f t="shared" si="40"/>
        <v>297.01680128882509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36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0.27</v>
      </c>
      <c r="CJ28" s="16">
        <f>IF(ISNA(VLOOKUP(A28,'Données projet'!$A$113:$I$133,7,0)),0%,VLOOKUP(A28,'Données projet'!$A$113:$I$133,7,0))</f>
        <v>0.4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13.029822258858479</v>
      </c>
      <c r="CM28" s="21">
        <f>EXP(-LN(2)/2)*CM27+(1-EXP(-LN(2)/2))/(LN(2)/2)*CG28*CJ28*VLOOKUP('Données projet'!$B$12,Paramètres!$A$1:$I$89,3,0)*0.475*44/12</f>
        <v>10.721928247687284</v>
      </c>
      <c r="CN28" s="22">
        <f t="shared" si="12"/>
        <v>23.751750506545761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165</v>
      </c>
      <c r="CR28" s="12">
        <f>VLOOKUP(A28,'Données projet'!$A$139:$I$159,9,0)</f>
        <v>16.8</v>
      </c>
      <c r="CS28" s="12">
        <f t="array" ref="CS28">INDEX(CR:CR,MIN(IF(ISNUMBER(CR28:CR224),ROW(CR28:CR224),"")))</f>
        <v>16.8</v>
      </c>
      <c r="CT28" s="12">
        <f>IF('Données projet'!$A$140&gt;35,CT27+CS28-DB27,IF(A28&lt;'Données projet'!$A$140,$CQ$205^A28,IF(A28='Données projet'!$A$140,'Données projet'!$B$140,CT27+CS28-DB27)))</f>
        <v>153</v>
      </c>
      <c r="CU28" s="17">
        <f>CT28*VLOOKUP('Données projet'!$B$13,Paramètres!$A$1:$I$89,3,0)*VLOOKUP('Données projet'!$B$13,Paramètres!$A$1:$I$89,5,0)</f>
        <v>121.72680000000001</v>
      </c>
      <c r="CV28" s="13">
        <f t="shared" si="41"/>
        <v>32.077411529031998</v>
      </c>
      <c r="CW28" s="20">
        <f t="shared" si="13"/>
        <v>267.87566841306403</v>
      </c>
      <c r="CX28" s="59">
        <f t="shared" si="14"/>
        <v>561.20900174639735</v>
      </c>
      <c r="CY28" s="59">
        <f ca="1">AVERAGE(OFFSET($CX$3,0,0,'Données projet'!$E$13+1,1))-AVERAGE(OFFSET($H$3,0,0,'Données projet'!$E$13+1,1))</f>
        <v>314.6300257056194</v>
      </c>
      <c r="CZ28" s="59">
        <f t="shared" si="42"/>
        <v>298.00555477466668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42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165</v>
      </c>
      <c r="DM28" s="12">
        <f>VLOOKUP(A28,'Données projet'!$A$165:$I$185,9,0)</f>
        <v>16.8</v>
      </c>
      <c r="DN28" s="12">
        <f t="array" ref="DN28">INDEX(DM:DM,MIN(IF(ISNUMBER(DM28:DM224),ROW(DM28:DM224),"")))</f>
        <v>16.8</v>
      </c>
      <c r="DO28" s="12">
        <f>IF('Données projet'!$A$166&gt;35,DO27+DN28-DW27,IF(A28&lt;'Données projet'!$A$166,$DL$205^A28,IF(A28='Données projet'!$A$166,'Données projet'!$B$166,DO27+DN28-DW27)))</f>
        <v>153</v>
      </c>
      <c r="DP28" s="17">
        <f>DO28*VLOOKUP('Données projet'!$B$14,Paramètres!$A$1:$I$89,3,0)*VLOOKUP('Données projet'!$B$14,Paramètres!$A$1:$I$89,5,0)</f>
        <v>121.72680000000001</v>
      </c>
      <c r="DQ28" s="13">
        <f t="shared" si="43"/>
        <v>32.077411529031998</v>
      </c>
      <c r="DR28" s="20">
        <f t="shared" si="16"/>
        <v>267.87566841306403</v>
      </c>
      <c r="DS28" s="59">
        <f t="shared" si="17"/>
        <v>561.20900174639735</v>
      </c>
      <c r="DT28" s="59">
        <f ca="1">AVERAGE(OFFSET($DS$3,0,0,'Données projet'!$E$14+1,1))-AVERAGE(OFFSET($H$3,0,0,'Données projet'!$E$14+1,1))</f>
        <v>314.6300257056194</v>
      </c>
      <c r="DU28" s="59">
        <f t="shared" si="44"/>
        <v>298.00555477466668</v>
      </c>
      <c r="DV28" s="15">
        <f>IF(ISNA(VLOOKUP(A28,'Données projet'!$A$165:$I$185,3,0)),0,VLOOKUP(A28,'Données projet'!$A$165:$I$185,3,0))</f>
        <v>1</v>
      </c>
      <c r="DW28" s="15">
        <f>IF(ISNA(VLOOKUP(A28,'Données projet'!$A$165:$I$185,4,0)),0,VLOOKUP(A28,'Données projet'!$A$165:$I$185,4,0))</f>
        <v>42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4.7456410256410253</v>
      </c>
      <c r="EJ28" s="12">
        <f>IF('Données projet'!$A$192&gt;35,EJ27+EI28-ER27,IF(A28&lt;'Données projet'!$A$192,$EG$205^A28,IF(A28='Données projet'!$A$192,'Données projet'!$B$192,EJ27+EI28-ER27)))</f>
        <v>62.30364406571838</v>
      </c>
      <c r="EK28" s="17">
        <f>EJ28*VLOOKUP('Données projet'!$B$15,Paramètres!$A$1:$I$89,3,0)*VLOOKUP('Données projet'!$B$15,Paramètres!$A$1:$I$89,5,0)</f>
        <v>29.968052795610539</v>
      </c>
      <c r="EL28" s="13">
        <f t="shared" si="45"/>
        <v>9.2966726205937267</v>
      </c>
      <c r="EM28" s="20">
        <f t="shared" si="19"/>
        <v>68.386063433222418</v>
      </c>
      <c r="EN28" s="59">
        <f t="shared" si="20"/>
        <v>361.71939676655575</v>
      </c>
      <c r="EO28" s="59">
        <f ca="1">AVERAGE(OFFSET($EN$3,0,0,'Données projet'!$E$15+1,1))-AVERAGE(OFFSET($H$3,0,0,'Données projet'!$E$15+1,1))</f>
        <v>238.83604534181978</v>
      </c>
      <c r="EP28" s="59">
        <f t="shared" si="46"/>
        <v>114.85152559837792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87</v>
      </c>
      <c r="FC28" s="12">
        <f>VLOOKUP(A28,'Données projet'!$A$217:$I$237,9,0)</f>
        <v>12.6</v>
      </c>
      <c r="FD28" s="12">
        <f t="array" ref="FD28">INDEX(FC:FC,MIN(IF(ISNUMBER(FC28:FC224),ROW(FC28:FC224),"")))</f>
        <v>12.6</v>
      </c>
      <c r="FE28" s="12">
        <f>IF('Données projet'!$A$218&gt;35,FE27+FD28-FM27,IF(A28&lt;'Données projet'!$A$218,$FB$205^A28,IF(A28='Données projet'!$A$218,'Données projet'!$B$218,FE27+FD28-FM27)))</f>
        <v>86.999999999999986</v>
      </c>
      <c r="FF28" s="17">
        <f>FE28*VLOOKUP('Données projet'!$B$16,Paramètres!$A$1:$I$89,3,0)*VLOOKUP('Données projet'!$B$16,Paramètres!$A$1:$I$89,5,0)</f>
        <v>70.574399999999997</v>
      </c>
      <c r="FG28" s="13">
        <f t="shared" si="47"/>
        <v>19.816033420152426</v>
      </c>
      <c r="FH28" s="20">
        <f t="shared" si="22"/>
        <v>157.43000487343213</v>
      </c>
      <c r="FI28" s="59">
        <f t="shared" si="23"/>
        <v>450.76333820676541</v>
      </c>
      <c r="FJ28" s="59">
        <f ca="1">AVERAGE(OFFSET($FI$3,0,0,'Données projet'!$E$16+1,1))-AVERAGE(OFFSET($H$3,0,0,'Données projet'!$E$16+1,1))</f>
        <v>196.95467273423861</v>
      </c>
      <c r="FK28" s="59">
        <f t="shared" si="48"/>
        <v>173.8709326829258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28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>
        <f>VLOOKUP(A28,'Données projet'!$A$243:$I$263,2,0)</f>
        <v>87</v>
      </c>
      <c r="FX28" s="12">
        <f>VLOOKUP(A28,'Données projet'!$A$243:$I$263,9,0)</f>
        <v>12.6</v>
      </c>
      <c r="FY28" s="12">
        <f t="array" ref="FY28">INDEX(FX:FX,MIN(IF(ISNUMBER(FX28:FX224),ROW(FX28:FX224),"")))</f>
        <v>12.6</v>
      </c>
      <c r="FZ28" s="12">
        <f>IF('Données projet'!$A$244&gt;35,FZ27+FY28-GH27,IF(A28&lt;'Données projet'!$A$244,$FW$205^A28,IF(A28='Données projet'!$A$244,'Données projet'!$B$244,FZ27+FY28-GH27)))</f>
        <v>86.999999999999986</v>
      </c>
      <c r="GA28" s="17">
        <f>FZ28*VLOOKUP('Données projet'!$B$17,Paramètres!$A$1:$I$89,3,0)*VLOOKUP('Données projet'!$B$17,Paramètres!$A$1:$I$89,5,0)</f>
        <v>93.646799999999985</v>
      </c>
      <c r="GB28" s="13">
        <f t="shared" si="49"/>
        <v>25.4427018195877</v>
      </c>
      <c r="GC28" s="20">
        <f t="shared" si="25"/>
        <v>207.41421566911518</v>
      </c>
      <c r="GD28" s="59">
        <f t="shared" si="26"/>
        <v>500.74754900244852</v>
      </c>
      <c r="GE28" s="59">
        <f ca="1">AVERAGE(OFFSET($GD$3,0,0,'Données projet'!$E$17+1,1))-AVERAGE(OFFSET($H$3,0,0,'Données projet'!$E$17+1,1))</f>
        <v>275.5229427552884</v>
      </c>
      <c r="GF28" s="59">
        <f t="shared" si="50"/>
        <v>241.20234081716143</v>
      </c>
      <c r="GG28" s="15">
        <f>IF(ISNA(VLOOKUP(A28,'Données projet'!$A$243:$I$263,3,0)),0,VLOOKUP(A28,'Données projet'!$A$243:$I$263,3,0))</f>
        <v>2</v>
      </c>
      <c r="GH28" s="15">
        <f>IF(ISNA(VLOOKUP(A28,'Données projet'!$A$243:$I$263,4,0)),0,VLOOKUP(A28,'Données projet'!$A$243:$I$263,4,0))</f>
        <v>28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274.57619581652199</v>
      </c>
      <c r="T29" s="59">
        <f t="shared" si="34"/>
        <v>366.15117322598775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11.067968539079912</v>
      </c>
      <c r="AB29" s="21">
        <f>EXP(-LN(2)/2)*AB28+(1-EXP(-LN(2)/2))/(LN(2)/2)*V29*Y29*VLOOKUP('Données projet'!$B$9,Paramètres!$A$1:$I$89,3,0)*0.475*44/12</f>
        <v>5.1464741604034945</v>
      </c>
      <c r="AC29" s="22">
        <f t="shared" si="3"/>
        <v>16.214442699483406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14.166666666666666</v>
      </c>
      <c r="AI29" s="13">
        <f>IF('Données projet'!$A$62&gt;35,AI28+AH29-AQ28,IF(A29&lt;'Données projet'!$A$62,$AF$205^A29,IF(A29='Données projet'!$A$62,'Données projet'!$B$62,AI28+AH29-AQ28)))</f>
        <v>167.33333333333331</v>
      </c>
      <c r="AJ29" s="13">
        <f>AI29*VLOOKUP('Données projet'!$B$10,Paramètres!$A$1:$I$89,3,0)*VLOOKUP('Données projet'!$B$10,Paramètres!$A$1:$I$89,5,0)</f>
        <v>104.416</v>
      </c>
      <c r="AK29" s="13">
        <f t="shared" si="35"/>
        <v>28.01138818767625</v>
      </c>
      <c r="AL29" s="20">
        <f t="shared" si="4"/>
        <v>230.64436776020281</v>
      </c>
      <c r="AM29" s="59">
        <f t="shared" si="5"/>
        <v>523.9777010935361</v>
      </c>
      <c r="AN29" s="59">
        <f ca="1">AVERAGE(OFFSET($AM$3,0,0,'Données projet'!$E$10+1,1))-AVERAGE(OFFSET($H$3,0,0,'Données projet'!$E$10+1,1))</f>
        <v>175.05987582828078</v>
      </c>
      <c r="AO29" s="59">
        <f t="shared" si="36"/>
        <v>268.54782308462387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9.6907752258760205</v>
      </c>
      <c r="AV29" s="21">
        <f>EXP(-LN(2)/25)*AV28+(1-EXP(-LN(2)/25))/(LN(2)/25)*Calculateur!AQ29*Calculateur!AS29*VLOOKUP('Données projet'!$B$10,Paramètres!$A$1:$I$89,3,0)*0.475*44/12</f>
        <v>12.989303991265515</v>
      </c>
      <c r="AW29" s="21">
        <f>EXP(-LN(2)/2)*AW28+(1-EXP(-LN(2)/2))/(LN(2)/2)*AQ29*AT29*VLOOKUP('Données projet'!$B$10,Paramètres!$A$1:$I$89,3,0)*0.475*44/12</f>
        <v>3.1696470053158974</v>
      </c>
      <c r="AX29" s="21">
        <f t="shared" si="6"/>
        <v>25.849726222457434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181.59999999999994</v>
      </c>
      <c r="BE29" s="13">
        <f>BD29*VLOOKUP('Données projet'!$B$11,Paramètres!$A$1:$I$89,3,0)*VLOOKUP('Données projet'!$B$11,Paramètres!$A$1:$I$89,5,0)</f>
        <v>84.988799999999969</v>
      </c>
      <c r="BF29" s="13">
        <f t="shared" si="37"/>
        <v>23.352644097155146</v>
      </c>
      <c r="BG29" s="20">
        <f t="shared" si="7"/>
        <v>188.69468180254515</v>
      </c>
      <c r="BH29" s="59">
        <f t="shared" si="8"/>
        <v>482.02801513587849</v>
      </c>
      <c r="BI29" s="59">
        <f ca="1">AVERAGE(OFFSET($BH$3,0,0,'Données projet'!$E$11+1,1))-AVERAGE(OFFSET($H$3,0,0,'Données projet'!$E$11+1,1))</f>
        <v>252.70779718608964</v>
      </c>
      <c r="BJ29" s="59">
        <f t="shared" si="38"/>
        <v>187.86969111712705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5.0962585318121274</v>
      </c>
      <c r="BR29" s="21">
        <f>EXP(-LN(2)/2)*BR28+(1-EXP(-LN(2)/2))/(LN(2)/2)*BL29*BO29*VLOOKUP('Données projet'!$B$11,Paramètres!$A$1:$I$89,3,0)*0.475*44/12</f>
        <v>0.92093963509126742</v>
      </c>
      <c r="BS29" s="22">
        <f t="shared" si="9"/>
        <v>6.0171981669033947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17.600000000000001</v>
      </c>
      <c r="BY29" s="12">
        <f>IF('Données projet'!$A$114&gt;35,BY28+BX29-CG28,IF(A29&lt;'Données projet'!$A$114,$BV$205^A29,IF(A29='Données projet'!$A$114,'Données projet'!$B$114,BY28+BX29-CG28)))</f>
        <v>185.60000000000002</v>
      </c>
      <c r="BZ29" s="13">
        <f>BY29*VLOOKUP('Données projet'!$B$12,Paramètres!$A$1:$I$89,3,0)*VLOOKUP('Données projet'!$B$12,Paramètres!$A$1:$I$89,5,0)</f>
        <v>110.98880000000003</v>
      </c>
      <c r="CA29" s="13">
        <f t="shared" si="39"/>
        <v>29.56383208945169</v>
      </c>
      <c r="CB29" s="20">
        <f t="shared" si="10"/>
        <v>244.79583422246174</v>
      </c>
      <c r="CC29" s="59">
        <f t="shared" si="11"/>
        <v>538.12916755579499</v>
      </c>
      <c r="CD29" s="59">
        <f ca="1">AVERAGE(OFFSET($CC$3,0,0,'Données projet'!$E$12+1,1))-AVERAGE(OFFSET($H$3,0,0,'Données projet'!$E$12+1,1))</f>
        <v>279.86432710889352</v>
      </c>
      <c r="CE29" s="59">
        <f t="shared" si="40"/>
        <v>297.01680128882509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12.673521083981422</v>
      </c>
      <c r="CM29" s="21">
        <f>EXP(-LN(2)/2)*CM28+(1-EXP(-LN(2)/2))/(LN(2)/2)*CG29*CJ29*VLOOKUP('Données projet'!$B$12,Paramètres!$A$1:$I$89,3,0)*0.475*44/12</f>
        <v>7.5815481713352755</v>
      </c>
      <c r="CN29" s="22">
        <f t="shared" si="12"/>
        <v>20.255069255316698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16.399999999999999</v>
      </c>
      <c r="CT29" s="12">
        <f>IF('Données projet'!$A$140&gt;35,CT28+CS29-DB28,IF(A29&lt;'Données projet'!$A$140,$CQ$205^A29,IF(A29='Données projet'!$A$140,'Données projet'!$B$140,CT28+CS29-DB28)))</f>
        <v>127.4</v>
      </c>
      <c r="CU29" s="17">
        <f>CT29*VLOOKUP('Données projet'!$B$13,Paramètres!$A$1:$I$89,3,0)*VLOOKUP('Données projet'!$B$13,Paramètres!$A$1:$I$89,5,0)</f>
        <v>101.35944000000001</v>
      </c>
      <c r="CV29" s="13">
        <f t="shared" si="41"/>
        <v>27.285610426884986</v>
      </c>
      <c r="CW29" s="20">
        <f t="shared" si="13"/>
        <v>224.05679616015803</v>
      </c>
      <c r="CX29" s="59">
        <f t="shared" si="14"/>
        <v>517.39012949349137</v>
      </c>
      <c r="CY29" s="59">
        <f ca="1">AVERAGE(OFFSET($CX$3,0,0,'Données projet'!$E$13+1,1))-AVERAGE(OFFSET($H$3,0,0,'Données projet'!$E$13+1,1))</f>
        <v>314.6300257056194</v>
      </c>
      <c r="CZ29" s="59">
        <f t="shared" si="42"/>
        <v>298.00555477466668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16.399999999999999</v>
      </c>
      <c r="DO29" s="12">
        <f>IF('Données projet'!$A$166&gt;35,DO28+DN29-DW28,IF(A29&lt;'Données projet'!$A$166,$DL$205^A29,IF(A29='Données projet'!$A$166,'Données projet'!$B$166,DO28+DN29-DW28)))</f>
        <v>127.4</v>
      </c>
      <c r="DP29" s="17">
        <f>DO29*VLOOKUP('Données projet'!$B$14,Paramètres!$A$1:$I$89,3,0)*VLOOKUP('Données projet'!$B$14,Paramètres!$A$1:$I$89,5,0)</f>
        <v>101.35944000000001</v>
      </c>
      <c r="DQ29" s="13">
        <f t="shared" si="43"/>
        <v>27.285610426884986</v>
      </c>
      <c r="DR29" s="20">
        <f t="shared" si="16"/>
        <v>224.05679616015803</v>
      </c>
      <c r="DS29" s="59">
        <f t="shared" si="17"/>
        <v>517.39012949349137</v>
      </c>
      <c r="DT29" s="59">
        <f ca="1">AVERAGE(OFFSET($DS$3,0,0,'Données projet'!$E$14+1,1))-AVERAGE(OFFSET($H$3,0,0,'Données projet'!$E$14+1,1))</f>
        <v>314.6300257056194</v>
      </c>
      <c r="DU29" s="59">
        <f t="shared" si="44"/>
        <v>298.00555477466668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4.7456410256410253</v>
      </c>
      <c r="EJ29" s="12">
        <f>IF('Données projet'!$A$192&gt;35,EJ28+EI29-ER28,IF(A29&lt;'Données projet'!$A$192,$EG$205^A29,IF(A29='Données projet'!$A$192,'Données projet'!$B$192,EJ28+EI29-ER28)))</f>
        <v>73.501125054221617</v>
      </c>
      <c r="EK29" s="17">
        <f>EJ29*VLOOKUP('Données projet'!$B$15,Paramètres!$A$1:$I$89,3,0)*VLOOKUP('Données projet'!$B$15,Paramètres!$A$1:$I$89,5,0)</f>
        <v>35.354041151080601</v>
      </c>
      <c r="EL29" s="13">
        <f t="shared" si="45"/>
        <v>10.758527170825223</v>
      </c>
      <c r="EM29" s="20">
        <f t="shared" si="19"/>
        <v>80.312723160652638</v>
      </c>
      <c r="EN29" s="59">
        <f t="shared" si="20"/>
        <v>373.64605649398595</v>
      </c>
      <c r="EO29" s="59">
        <f ca="1">AVERAGE(OFFSET($EN$3,0,0,'Données projet'!$E$15+1,1))-AVERAGE(OFFSET($H$3,0,0,'Données projet'!$E$15+1,1))</f>
        <v>238.83604534181978</v>
      </c>
      <c r="EP29" s="59">
        <f t="shared" si="46"/>
        <v>114.85152559837792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11.8</v>
      </c>
      <c r="FE29" s="12">
        <f>IF('Données projet'!$A$218&gt;35,FE28+FD29-FM28,IF(A29&lt;'Données projet'!$A$218,$FB$205^A29,IF(A29='Données projet'!$A$218,'Données projet'!$B$218,FE28+FD29-FM28)))</f>
        <v>70.799999999999983</v>
      </c>
      <c r="FF29" s="17">
        <f>FE29*VLOOKUP('Données projet'!$B$16,Paramètres!$A$1:$I$89,3,0)*VLOOKUP('Données projet'!$B$16,Paramètres!$A$1:$I$89,5,0)</f>
        <v>57.432959999999994</v>
      </c>
      <c r="FG29" s="13">
        <f t="shared" si="47"/>
        <v>16.517598331652863</v>
      </c>
      <c r="FH29" s="20">
        <f t="shared" si="22"/>
        <v>128.79722242762872</v>
      </c>
      <c r="FI29" s="59">
        <f t="shared" si="23"/>
        <v>422.13055576096201</v>
      </c>
      <c r="FJ29" s="59">
        <f ca="1">AVERAGE(OFFSET($FI$3,0,0,'Données projet'!$E$16+1,1))-AVERAGE(OFFSET($H$3,0,0,'Données projet'!$E$16+1,1))</f>
        <v>196.95467273423861</v>
      </c>
      <c r="FK29" s="59">
        <f t="shared" si="48"/>
        <v>173.8709326829258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11.8</v>
      </c>
      <c r="FZ29" s="12">
        <f>IF('Données projet'!$A$244&gt;35,FZ28+FY29-GH28,IF(A29&lt;'Données projet'!$A$244,$FW$205^A29,IF(A29='Données projet'!$A$244,'Données projet'!$B$244,FZ28+FY29-GH28)))</f>
        <v>70.799999999999983</v>
      </c>
      <c r="GA29" s="17">
        <f>FZ29*VLOOKUP('Données projet'!$B$17,Paramètres!$A$1:$I$89,3,0)*VLOOKUP('Données projet'!$B$17,Paramètres!$A$1:$I$89,5,0)</f>
        <v>76.20911999999997</v>
      </c>
      <c r="GB29" s="13">
        <f t="shared" si="49"/>
        <v>21.207691782583318</v>
      </c>
      <c r="GC29" s="20">
        <f t="shared" si="25"/>
        <v>169.66761385466589</v>
      </c>
      <c r="GD29" s="59">
        <f t="shared" si="26"/>
        <v>463.0009471879992</v>
      </c>
      <c r="GE29" s="59">
        <f ca="1">AVERAGE(OFFSET($GD$3,0,0,'Données projet'!$E$17+1,1))-AVERAGE(OFFSET($H$3,0,0,'Données projet'!$E$17+1,1))</f>
        <v>275.5229427552884</v>
      </c>
      <c r="GF29" s="59">
        <f t="shared" si="50"/>
        <v>241.20234081716143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274.57619581652199</v>
      </c>
      <c r="T30" s="59">
        <f t="shared" si="34"/>
        <v>366.15117322598775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10.765314357339602</v>
      </c>
      <c r="AB30" s="21">
        <f>EXP(-LN(2)/2)*AB29+(1-EXP(-LN(2)/2))/(LN(2)/2)*V30*Y30*VLOOKUP('Données projet'!$B$9,Paramètres!$A$1:$I$89,3,0)*0.475*44/12</f>
        <v>3.6391067780226547</v>
      </c>
      <c r="AC30" s="22">
        <f t="shared" si="3"/>
        <v>14.404421135362256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14.166666666666666</v>
      </c>
      <c r="AI30" s="13">
        <f>IF('Données projet'!$A$62&gt;35,AI29+AH30-AQ29,IF(A30&lt;'Données projet'!$A$62,$AF$205^A30,IF(A30='Données projet'!$A$62,'Données projet'!$B$62,AI29+AH30-AQ29)))</f>
        <v>181.49999999999997</v>
      </c>
      <c r="AJ30" s="13">
        <f>AI30*VLOOKUP('Données projet'!$B$10,Paramètres!$A$1:$I$89,3,0)*VLOOKUP('Données projet'!$B$10,Paramètres!$A$1:$I$89,5,0)</f>
        <v>113.25599999999997</v>
      </c>
      <c r="AK30" s="13">
        <f t="shared" si="35"/>
        <v>30.096816336106439</v>
      </c>
      <c r="AL30" s="20">
        <f t="shared" si="4"/>
        <v>249.67282178538531</v>
      </c>
      <c r="AM30" s="59">
        <f t="shared" si="5"/>
        <v>543.00615511871865</v>
      </c>
      <c r="AN30" s="59">
        <f ca="1">AVERAGE(OFFSET($AM$3,0,0,'Données projet'!$E$10+1,1))-AVERAGE(OFFSET($H$3,0,0,'Données projet'!$E$10+1,1))</f>
        <v>175.05987582828078</v>
      </c>
      <c r="AO30" s="59">
        <f t="shared" si="36"/>
        <v>268.54782308462387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9.5007450344858384</v>
      </c>
      <c r="AV30" s="21">
        <f>EXP(-LN(2)/25)*AV29+(1-EXP(-LN(2)/25))/(LN(2)/25)*Calculateur!AQ30*Calculateur!AS30*VLOOKUP('Données projet'!$B$10,Paramètres!$A$1:$I$89,3,0)*0.475*44/12</f>
        <v>12.634110790546551</v>
      </c>
      <c r="AW30" s="21">
        <f>EXP(-LN(2)/2)*AW29+(1-EXP(-LN(2)/2))/(LN(2)/2)*AQ30*AT30*VLOOKUP('Données projet'!$B$10,Paramètres!$A$1:$I$89,3,0)*0.475*44/12</f>
        <v>2.241278891426504</v>
      </c>
      <c r="AX30" s="21">
        <f t="shared" si="6"/>
        <v>24.376134716458893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190.79999999999993</v>
      </c>
      <c r="BE30" s="13">
        <f>BD30*VLOOKUP('Données projet'!$B$11,Paramètres!$A$1:$I$89,3,0)*VLOOKUP('Données projet'!$B$11,Paramètres!$A$1:$I$89,5,0)</f>
        <v>89.294399999999968</v>
      </c>
      <c r="BF30" s="13">
        <f t="shared" si="37"/>
        <v>24.394973389005663</v>
      </c>
      <c r="BG30" s="20">
        <f t="shared" si="7"/>
        <v>198.00899198585145</v>
      </c>
      <c r="BH30" s="59">
        <f t="shared" si="8"/>
        <v>491.34232531918474</v>
      </c>
      <c r="BI30" s="59">
        <f ca="1">AVERAGE(OFFSET($BH$3,0,0,'Données projet'!$E$11+1,1))-AVERAGE(OFFSET($H$3,0,0,'Données projet'!$E$11+1,1))</f>
        <v>252.70779718608964</v>
      </c>
      <c r="BJ30" s="59">
        <f t="shared" si="38"/>
        <v>187.86969111712705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4.956901074259136</v>
      </c>
      <c r="BR30" s="21">
        <f>EXP(-LN(2)/2)*BR29+(1-EXP(-LN(2)/2))/(LN(2)/2)*BL30*BO30*VLOOKUP('Données projet'!$B$11,Paramètres!$A$1:$I$89,3,0)*0.475*44/12</f>
        <v>0.65120266103649982</v>
      </c>
      <c r="BS30" s="22">
        <f t="shared" si="9"/>
        <v>5.6081037352956358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17.600000000000001</v>
      </c>
      <c r="BY30" s="12">
        <f>IF('Données projet'!$A$114&gt;35,BY29+BX30-CG29,IF(A30&lt;'Données projet'!$A$114,$BV$205^A30,IF(A30='Données projet'!$A$114,'Données projet'!$B$114,BY29+BX30-CG29)))</f>
        <v>203.20000000000002</v>
      </c>
      <c r="BZ30" s="13">
        <f>BY30*VLOOKUP('Données projet'!$B$12,Paramètres!$A$1:$I$89,3,0)*VLOOKUP('Données projet'!$B$12,Paramètres!$A$1:$I$89,5,0)</f>
        <v>121.51360000000001</v>
      </c>
      <c r="CA30" s="13">
        <f t="shared" si="39"/>
        <v>32.027763694063836</v>
      </c>
      <c r="CB30" s="20">
        <f t="shared" si="10"/>
        <v>267.41787510049454</v>
      </c>
      <c r="CC30" s="59">
        <f t="shared" si="11"/>
        <v>560.75120843382786</v>
      </c>
      <c r="CD30" s="59">
        <f ca="1">AVERAGE(OFFSET($CC$3,0,0,'Données projet'!$E$12+1,1))-AVERAGE(OFFSET($H$3,0,0,'Données projet'!$E$12+1,1))</f>
        <v>279.86432710889352</v>
      </c>
      <c r="CE30" s="59">
        <f t="shared" si="40"/>
        <v>297.01680128882509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12.326962983468443</v>
      </c>
      <c r="CM30" s="21">
        <f>EXP(-LN(2)/2)*CM29+(1-EXP(-LN(2)/2))/(LN(2)/2)*CG30*CJ30*VLOOKUP('Données projet'!$B$12,Paramètres!$A$1:$I$89,3,0)*0.475*44/12</f>
        <v>5.360964123843643</v>
      </c>
      <c r="CN30" s="22">
        <f t="shared" si="12"/>
        <v>17.687927107312085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16.399999999999999</v>
      </c>
      <c r="CT30" s="12">
        <f>IF('Données projet'!$A$140&gt;35,CT29+CS30-DB29,IF(A30&lt;'Données projet'!$A$140,$CQ$205^A30,IF(A30='Données projet'!$A$140,'Données projet'!$B$140,CT29+CS30-DB29)))</f>
        <v>143.80000000000001</v>
      </c>
      <c r="CU30" s="17">
        <f>CT30*VLOOKUP('Données projet'!$B$13,Paramètres!$A$1:$I$89,3,0)*VLOOKUP('Données projet'!$B$13,Paramètres!$A$1:$I$89,5,0)</f>
        <v>114.40728000000001</v>
      </c>
      <c r="CV30" s="13">
        <f t="shared" si="41"/>
        <v>30.366988101371486</v>
      </c>
      <c r="CW30" s="20">
        <f t="shared" si="13"/>
        <v>252.14851694322201</v>
      </c>
      <c r="CX30" s="59">
        <f t="shared" si="14"/>
        <v>545.48185027655529</v>
      </c>
      <c r="CY30" s="59">
        <f ca="1">AVERAGE(OFFSET($CX$3,0,0,'Données projet'!$E$13+1,1))-AVERAGE(OFFSET($H$3,0,0,'Données projet'!$E$13+1,1))</f>
        <v>314.6300257056194</v>
      </c>
      <c r="CZ30" s="59">
        <f t="shared" si="42"/>
        <v>298.00555477466668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16.399999999999999</v>
      </c>
      <c r="DO30" s="12">
        <f>IF('Données projet'!$A$166&gt;35,DO29+DN30-DW29,IF(A30&lt;'Données projet'!$A$166,$DL$205^A30,IF(A30='Données projet'!$A$166,'Données projet'!$B$166,DO29+DN30-DW29)))</f>
        <v>143.80000000000001</v>
      </c>
      <c r="DP30" s="17">
        <f>DO30*VLOOKUP('Données projet'!$B$14,Paramètres!$A$1:$I$89,3,0)*VLOOKUP('Données projet'!$B$14,Paramètres!$A$1:$I$89,5,0)</f>
        <v>114.40728000000001</v>
      </c>
      <c r="DQ30" s="13">
        <f t="shared" si="43"/>
        <v>30.366988101371486</v>
      </c>
      <c r="DR30" s="20">
        <f t="shared" si="16"/>
        <v>252.14851694322201</v>
      </c>
      <c r="DS30" s="59">
        <f t="shared" si="17"/>
        <v>545.48185027655529</v>
      </c>
      <c r="DT30" s="59">
        <f ca="1">AVERAGE(OFFSET($DS$3,0,0,'Données projet'!$E$14+1,1))-AVERAGE(OFFSET($H$3,0,0,'Données projet'!$E$14+1,1))</f>
        <v>314.6300257056194</v>
      </c>
      <c r="DU30" s="59">
        <f t="shared" si="44"/>
        <v>298.00555477466668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4.7456410256410253</v>
      </c>
      <c r="EJ30" s="12">
        <f>IF('Données projet'!$A$192&gt;35,EJ29+EI30-ER29,IF(A30&lt;'Données projet'!$A$192,$EG$205^A30,IF(A30='Données projet'!$A$192,'Données projet'!$B$192,EJ29+EI30-ER29)))</f>
        <v>86.711065865390026</v>
      </c>
      <c r="EK30" s="17">
        <f>EJ30*VLOOKUP('Données projet'!$B$15,Paramètres!$A$1:$I$89,3,0)*VLOOKUP('Données projet'!$B$15,Paramètres!$A$1:$I$89,5,0)</f>
        <v>41.708022681252608</v>
      </c>
      <c r="EL30" s="13">
        <f t="shared" si="45"/>
        <v>12.450250924076595</v>
      </c>
      <c r="EM30" s="20">
        <f t="shared" si="19"/>
        <v>94.325659862615012</v>
      </c>
      <c r="EN30" s="59">
        <f t="shared" si="20"/>
        <v>387.65899319594831</v>
      </c>
      <c r="EO30" s="59">
        <f ca="1">AVERAGE(OFFSET($EN$3,0,0,'Données projet'!$E$15+1,1))-AVERAGE(OFFSET($H$3,0,0,'Données projet'!$E$15+1,1))</f>
        <v>238.83604534181978</v>
      </c>
      <c r="EP30" s="59">
        <f t="shared" si="46"/>
        <v>114.85152559837792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11.8</v>
      </c>
      <c r="FE30" s="12">
        <f>IF('Données projet'!$A$218&gt;35,FE29+FD30-FM29,IF(A30&lt;'Données projet'!$A$218,$FB$205^A30,IF(A30='Données projet'!$A$218,'Données projet'!$B$218,FE29+FD30-FM29)))</f>
        <v>82.59999999999998</v>
      </c>
      <c r="FF30" s="17">
        <f>FE30*VLOOKUP('Données projet'!$B$16,Paramètres!$A$1:$I$89,3,0)*VLOOKUP('Données projet'!$B$16,Paramètres!$A$1:$I$89,5,0)</f>
        <v>67.005119999999991</v>
      </c>
      <c r="FG30" s="13">
        <f t="shared" si="47"/>
        <v>18.927841223964183</v>
      </c>
      <c r="FH30" s="20">
        <f t="shared" si="22"/>
        <v>149.66657413173758</v>
      </c>
      <c r="FI30" s="59">
        <f t="shared" si="23"/>
        <v>442.99990746507092</v>
      </c>
      <c r="FJ30" s="59">
        <f ca="1">AVERAGE(OFFSET($FI$3,0,0,'Données projet'!$E$16+1,1))-AVERAGE(OFFSET($H$3,0,0,'Données projet'!$E$16+1,1))</f>
        <v>196.95467273423861</v>
      </c>
      <c r="FK30" s="59">
        <f t="shared" si="48"/>
        <v>173.8709326829258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11.8</v>
      </c>
      <c r="FZ30" s="12">
        <f>IF('Données projet'!$A$244&gt;35,FZ29+FY30-GH29,IF(A30&lt;'Données projet'!$A$244,$FW$205^A30,IF(A30='Données projet'!$A$244,'Données projet'!$B$244,FZ29+FY30-GH29)))</f>
        <v>82.59999999999998</v>
      </c>
      <c r="GA30" s="17">
        <f>FZ30*VLOOKUP('Données projet'!$B$17,Paramètres!$A$1:$I$89,3,0)*VLOOKUP('Données projet'!$B$17,Paramètres!$A$1:$I$89,5,0)</f>
        <v>88.910639999999972</v>
      </c>
      <c r="GB30" s="13">
        <f t="shared" si="49"/>
        <v>24.302311675558148</v>
      </c>
      <c r="GC30" s="20">
        <f t="shared" si="25"/>
        <v>197.17922416826369</v>
      </c>
      <c r="GD30" s="59">
        <f t="shared" si="26"/>
        <v>490.51255750159703</v>
      </c>
      <c r="GE30" s="59">
        <f ca="1">AVERAGE(OFFSET($GD$3,0,0,'Données projet'!$E$17+1,1))-AVERAGE(OFFSET($H$3,0,0,'Données projet'!$E$17+1,1))</f>
        <v>275.5229427552884</v>
      </c>
      <c r="GF30" s="59">
        <f t="shared" si="50"/>
        <v>241.20234081716143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274.57619581652199</v>
      </c>
      <c r="T31" s="59">
        <f t="shared" si="34"/>
        <v>366.15117322598775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10.470936270114873</v>
      </c>
      <c r="AB31" s="21">
        <f>EXP(-LN(2)/2)*AB30+(1-EXP(-LN(2)/2))/(LN(2)/2)*V31*Y31*VLOOKUP('Données projet'!$B$9,Paramètres!$A$1:$I$89,3,0)*0.475*44/12</f>
        <v>2.5732370802017472</v>
      </c>
      <c r="AC31" s="22">
        <f t="shared" si="3"/>
        <v>13.044173350316619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14.166666666666666</v>
      </c>
      <c r="AI31" s="13">
        <f>IF('Données projet'!$A$62&gt;35,AI30+AH31-AQ30,IF(A31&lt;'Données projet'!$A$62,$AF$205^A31,IF(A31='Données projet'!$A$62,'Données projet'!$B$62,AI30+AH31-AQ30)))</f>
        <v>195.66666666666663</v>
      </c>
      <c r="AJ31" s="13">
        <f>AI31*VLOOKUP('Données projet'!$B$10,Paramètres!$A$1:$I$89,3,0)*VLOOKUP('Données projet'!$B$10,Paramètres!$A$1:$I$89,5,0)</f>
        <v>122.09599999999998</v>
      </c>
      <c r="AK31" s="13">
        <f t="shared" si="35"/>
        <v>32.163363121463028</v>
      </c>
      <c r="AL31" s="20">
        <f t="shared" si="4"/>
        <v>268.6683907698814</v>
      </c>
      <c r="AM31" s="59">
        <f t="shared" si="5"/>
        <v>562.00172410321466</v>
      </c>
      <c r="AN31" s="59">
        <f ca="1">AVERAGE(OFFSET($AM$3,0,0,'Données projet'!$E$10+1,1))-AVERAGE(OFFSET($H$3,0,0,'Données projet'!$E$10+1,1))</f>
        <v>175.05987582828078</v>
      </c>
      <c r="AO31" s="59">
        <f t="shared" si="36"/>
        <v>268.54782308462387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9.3144412192418446</v>
      </c>
      <c r="AV31" s="21">
        <f>EXP(-LN(2)/25)*AV30+(1-EXP(-LN(2)/25))/(LN(2)/25)*Calculateur!AQ31*Calculateur!AS31*VLOOKUP('Données projet'!$B$10,Paramètres!$A$1:$I$89,3,0)*0.475*44/12</f>
        <v>12.288630366580044</v>
      </c>
      <c r="AW31" s="21">
        <f>EXP(-LN(2)/2)*AW30+(1-EXP(-LN(2)/2))/(LN(2)/2)*AQ31*AT31*VLOOKUP('Données projet'!$B$10,Paramètres!$A$1:$I$89,3,0)*0.475*44/12</f>
        <v>1.5848235026579489</v>
      </c>
      <c r="AX31" s="21">
        <f t="shared" si="6"/>
        <v>23.187895088479834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199.99999999999991</v>
      </c>
      <c r="BE31" s="13">
        <f>BD31*VLOOKUP('Données projet'!$B$11,Paramètres!$A$1:$I$89,3,0)*VLOOKUP('Données projet'!$B$11,Paramètres!$A$1:$I$89,5,0)</f>
        <v>93.599999999999966</v>
      </c>
      <c r="BF31" s="13">
        <f t="shared" si="37"/>
        <v>25.431466524572915</v>
      </c>
      <c r="BG31" s="20">
        <f t="shared" si="7"/>
        <v>207.31313753029772</v>
      </c>
      <c r="BH31" s="59">
        <f t="shared" si="8"/>
        <v>500.64647086363107</v>
      </c>
      <c r="BI31" s="59">
        <f ca="1">AVERAGE(OFFSET($BH$3,0,0,'Données projet'!$E$11+1,1))-AVERAGE(OFFSET($H$3,0,0,'Données projet'!$E$11+1,1))</f>
        <v>252.70779718608964</v>
      </c>
      <c r="BJ31" s="59">
        <f t="shared" si="38"/>
        <v>187.86969111712705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4.8213543537114214</v>
      </c>
      <c r="BR31" s="21">
        <f>EXP(-LN(2)/2)*BR30+(1-EXP(-LN(2)/2))/(LN(2)/2)*BL31*BO31*VLOOKUP('Données projet'!$B$11,Paramètres!$A$1:$I$89,3,0)*0.475*44/12</f>
        <v>0.46046981754563376</v>
      </c>
      <c r="BS31" s="22">
        <f t="shared" si="9"/>
        <v>5.2818241712570551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17.600000000000001</v>
      </c>
      <c r="BY31" s="12">
        <f>IF('Données projet'!$A$114&gt;35,BY30+BX31-CG30,IF(A31&lt;'Données projet'!$A$114,$BV$205^A31,IF(A31='Données projet'!$A$114,'Données projet'!$B$114,BY30+BX31-CG30)))</f>
        <v>220.8</v>
      </c>
      <c r="BZ31" s="13">
        <f>BY31*VLOOKUP('Données projet'!$B$12,Paramètres!$A$1:$I$89,3,0)*VLOOKUP('Données projet'!$B$12,Paramètres!$A$1:$I$89,5,0)</f>
        <v>132.03840000000002</v>
      </c>
      <c r="CA31" s="13">
        <f t="shared" si="39"/>
        <v>34.466946374534373</v>
      </c>
      <c r="CB31" s="20">
        <f t="shared" si="10"/>
        <v>289.99681160231404</v>
      </c>
      <c r="CC31" s="59">
        <f t="shared" si="11"/>
        <v>583.33014493564735</v>
      </c>
      <c r="CD31" s="59">
        <f ca="1">AVERAGE(OFFSET($CC$3,0,0,'Données projet'!$E$12+1,1))-AVERAGE(OFFSET($H$3,0,0,'Données projet'!$E$12+1,1))</f>
        <v>279.86432710889352</v>
      </c>
      <c r="CE31" s="59">
        <f t="shared" si="40"/>
        <v>297.01680128882509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11.989881532438689</v>
      </c>
      <c r="CM31" s="21">
        <f>EXP(-LN(2)/2)*CM30+(1-EXP(-LN(2)/2))/(LN(2)/2)*CG31*CJ31*VLOOKUP('Données projet'!$B$12,Paramètres!$A$1:$I$89,3,0)*0.475*44/12</f>
        <v>3.7907740856676386</v>
      </c>
      <c r="CN31" s="22">
        <f t="shared" si="12"/>
        <v>15.780655618106328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16.399999999999999</v>
      </c>
      <c r="CT31" s="12">
        <f>IF('Données projet'!$A$140&gt;35,CT30+CS31-DB30,IF(A31&lt;'Données projet'!$A$140,$CQ$205^A31,IF(A31='Données projet'!$A$140,'Données projet'!$B$140,CT30+CS31-DB30)))</f>
        <v>160.20000000000002</v>
      </c>
      <c r="CU31" s="17">
        <f>CT31*VLOOKUP('Données projet'!$B$13,Paramètres!$A$1:$I$89,3,0)*VLOOKUP('Données projet'!$B$13,Paramètres!$A$1:$I$89,5,0)</f>
        <v>127.45512000000002</v>
      </c>
      <c r="CV31" s="13">
        <f t="shared" si="41"/>
        <v>33.407637376349015</v>
      </c>
      <c r="CW31" s="20">
        <f t="shared" si="13"/>
        <v>280.16930243047454</v>
      </c>
      <c r="CX31" s="59">
        <f t="shared" si="14"/>
        <v>573.5026357638078</v>
      </c>
      <c r="CY31" s="59">
        <f ca="1">AVERAGE(OFFSET($CX$3,0,0,'Données projet'!$E$13+1,1))-AVERAGE(OFFSET($H$3,0,0,'Données projet'!$E$13+1,1))</f>
        <v>314.6300257056194</v>
      </c>
      <c r="CZ31" s="59">
        <f t="shared" si="42"/>
        <v>298.00555477466668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16.399999999999999</v>
      </c>
      <c r="DO31" s="12">
        <f>IF('Données projet'!$A$166&gt;35,DO30+DN31-DW30,IF(A31&lt;'Données projet'!$A$166,$DL$205^A31,IF(A31='Données projet'!$A$166,'Données projet'!$B$166,DO30+DN31-DW30)))</f>
        <v>160.20000000000002</v>
      </c>
      <c r="DP31" s="17">
        <f>DO31*VLOOKUP('Données projet'!$B$14,Paramètres!$A$1:$I$89,3,0)*VLOOKUP('Données projet'!$B$14,Paramètres!$A$1:$I$89,5,0)</f>
        <v>127.45512000000002</v>
      </c>
      <c r="DQ31" s="13">
        <f t="shared" si="43"/>
        <v>33.407637376349015</v>
      </c>
      <c r="DR31" s="20">
        <f t="shared" si="16"/>
        <v>280.16930243047454</v>
      </c>
      <c r="DS31" s="59">
        <f t="shared" si="17"/>
        <v>573.5026357638078</v>
      </c>
      <c r="DT31" s="59">
        <f ca="1">AVERAGE(OFFSET($DS$3,0,0,'Données projet'!$E$14+1,1))-AVERAGE(OFFSET($H$3,0,0,'Données projet'!$E$14+1,1))</f>
        <v>314.6300257056194</v>
      </c>
      <c r="DU31" s="59">
        <f t="shared" si="44"/>
        <v>298.00555477466668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4.7456410256410253</v>
      </c>
      <c r="EJ31" s="12">
        <f>IF('Données projet'!$A$192&gt;35,EJ30+EI31-ER30,IF(A31&lt;'Données projet'!$A$192,$EG$205^A31,IF(A31='Données projet'!$A$192,'Données projet'!$B$192,EJ30+EI31-ER30)))</f>
        <v>102.29515450226646</v>
      </c>
      <c r="EK31" s="17">
        <f>EJ31*VLOOKUP('Données projet'!$B$15,Paramètres!$A$1:$I$89,3,0)*VLOOKUP('Données projet'!$B$15,Paramètres!$A$1:$I$89,5,0)</f>
        <v>49.203969315590165</v>
      </c>
      <c r="EL31" s="13">
        <f t="shared" si="45"/>
        <v>14.407989644978537</v>
      </c>
      <c r="EM31" s="20">
        <f t="shared" si="19"/>
        <v>110.79082852299048</v>
      </c>
      <c r="EN31" s="59">
        <f t="shared" si="20"/>
        <v>404.12416185632378</v>
      </c>
      <c r="EO31" s="59">
        <f ca="1">AVERAGE(OFFSET($EN$3,0,0,'Données projet'!$E$15+1,1))-AVERAGE(OFFSET($H$3,0,0,'Données projet'!$E$15+1,1))</f>
        <v>238.83604534181978</v>
      </c>
      <c r="EP31" s="59">
        <f t="shared" si="46"/>
        <v>114.85152559837792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11.8</v>
      </c>
      <c r="FE31" s="12">
        <f>IF('Données projet'!$A$218&gt;35,FE30+FD31-FM30,IF(A31&lt;'Données projet'!$A$218,$FB$205^A31,IF(A31='Données projet'!$A$218,'Données projet'!$B$218,FE30+FD31-FM30)))</f>
        <v>94.399999999999977</v>
      </c>
      <c r="FF31" s="17">
        <f>FE31*VLOOKUP('Données projet'!$B$16,Paramètres!$A$1:$I$89,3,0)*VLOOKUP('Données projet'!$B$16,Paramètres!$A$1:$I$89,5,0)</f>
        <v>76.577279999999988</v>
      </c>
      <c r="FG31" s="13">
        <f t="shared" si="47"/>
        <v>21.298193508320413</v>
      </c>
      <c r="FH31" s="20">
        <f t="shared" si="22"/>
        <v>170.46644969365801</v>
      </c>
      <c r="FI31" s="59">
        <f t="shared" si="23"/>
        <v>463.79978302699135</v>
      </c>
      <c r="FJ31" s="59">
        <f ca="1">AVERAGE(OFFSET($FI$3,0,0,'Données projet'!$E$16+1,1))-AVERAGE(OFFSET($H$3,0,0,'Données projet'!$E$16+1,1))</f>
        <v>196.95467273423861</v>
      </c>
      <c r="FK31" s="59">
        <f t="shared" si="48"/>
        <v>173.8709326829258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11.8</v>
      </c>
      <c r="FZ31" s="12">
        <f>IF('Données projet'!$A$244&gt;35,FZ30+FY31-GH30,IF(A31&lt;'Données projet'!$A$244,$FW$205^A31,IF(A31='Données projet'!$A$244,'Données projet'!$B$244,FZ30+FY31-GH30)))</f>
        <v>94.399999999999977</v>
      </c>
      <c r="GA31" s="17">
        <f>FZ31*VLOOKUP('Données projet'!$B$17,Paramètres!$A$1:$I$89,3,0)*VLOOKUP('Données projet'!$B$17,Paramètres!$A$1:$I$89,5,0)</f>
        <v>101.61215999999997</v>
      </c>
      <c r="GB31" s="13">
        <f t="shared" si="49"/>
        <v>27.345714212259665</v>
      </c>
      <c r="GC31" s="20">
        <f t="shared" si="25"/>
        <v>224.6016309196855</v>
      </c>
      <c r="GD31" s="59">
        <f t="shared" si="26"/>
        <v>517.93496425301885</v>
      </c>
      <c r="GE31" s="59">
        <f ca="1">AVERAGE(OFFSET($GD$3,0,0,'Données projet'!$E$17+1,1))-AVERAGE(OFFSET($H$3,0,0,'Données projet'!$E$17+1,1))</f>
        <v>275.5229427552884</v>
      </c>
      <c r="GF31" s="59">
        <f t="shared" si="50"/>
        <v>241.20234081716143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274.57619581652199</v>
      </c>
      <c r="T32" s="59">
        <f t="shared" si="34"/>
        <v>366.15117322598775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10.184607967165975</v>
      </c>
      <c r="AB32" s="21">
        <f>EXP(-LN(2)/2)*AB31+(1-EXP(-LN(2)/2))/(LN(2)/2)*V32*Y32*VLOOKUP('Données projet'!$B$9,Paramètres!$A$1:$I$89,3,0)*0.475*44/12</f>
        <v>1.8195533890113273</v>
      </c>
      <c r="AC32" s="22">
        <f t="shared" si="3"/>
        <v>12.004161356177303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14.166666666666666</v>
      </c>
      <c r="AI32" s="13">
        <f>IF('Données projet'!$A$62&gt;35,AI31+AH32-AQ31,IF(A32&lt;'Données projet'!$A$62,$AF$205^A32,IF(A32='Données projet'!$A$62,'Données projet'!$B$62,AI31+AH32-AQ31)))</f>
        <v>209.83333333333329</v>
      </c>
      <c r="AJ32" s="13">
        <f>AI32*VLOOKUP('Données projet'!$B$10,Paramètres!$A$1:$I$89,3,0)*VLOOKUP('Données projet'!$B$10,Paramètres!$A$1:$I$89,5,0)</f>
        <v>130.93599999999998</v>
      </c>
      <c r="AK32" s="13">
        <f t="shared" si="35"/>
        <v>34.21255106176632</v>
      </c>
      <c r="AL32" s="20">
        <f t="shared" si="4"/>
        <v>287.63372643257628</v>
      </c>
      <c r="AM32" s="59">
        <f t="shared" si="5"/>
        <v>580.96705976590965</v>
      </c>
      <c r="AN32" s="59">
        <f ca="1">AVERAGE(OFFSET($AM$3,0,0,'Données projet'!$E$10+1,1))-AVERAGE(OFFSET($H$3,0,0,'Données projet'!$E$10+1,1))</f>
        <v>175.05987582828078</v>
      </c>
      <c r="AO32" s="59">
        <f t="shared" si="36"/>
        <v>268.54782308462387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9.1317907081806791</v>
      </c>
      <c r="AV32" s="21">
        <f>EXP(-LN(2)/25)*AV31+(1-EXP(-LN(2)/25))/(LN(2)/25)*Calculateur!AQ32*Calculateur!AS32*VLOOKUP('Données projet'!$B$10,Paramètres!$A$1:$I$89,3,0)*0.475*44/12</f>
        <v>11.952597122974927</v>
      </c>
      <c r="AW32" s="21">
        <f>EXP(-LN(2)/2)*AW31+(1-EXP(-LN(2)/2))/(LN(2)/2)*AQ32*AT32*VLOOKUP('Données projet'!$B$10,Paramètres!$A$1:$I$89,3,0)*0.475*44/12</f>
        <v>1.1206394457132522</v>
      </c>
      <c r="AX32" s="21">
        <f t="shared" si="6"/>
        <v>22.205027276868858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209.1999999999999</v>
      </c>
      <c r="BE32" s="13">
        <f>BD32*VLOOKUP('Données projet'!$B$11,Paramètres!$A$1:$I$89,3,0)*VLOOKUP('Données projet'!$B$11,Paramètres!$A$1:$I$89,5,0)</f>
        <v>97.905599999999964</v>
      </c>
      <c r="BF32" s="13">
        <f t="shared" si="37"/>
        <v>26.462422630828478</v>
      </c>
      <c r="BG32" s="20">
        <f t="shared" si="7"/>
        <v>216.60763941535956</v>
      </c>
      <c r="BH32" s="59">
        <f t="shared" si="8"/>
        <v>509.94097274869284</v>
      </c>
      <c r="BI32" s="59">
        <f ca="1">AVERAGE(OFFSET($BH$3,0,0,'Données projet'!$E$11+1,1))-AVERAGE(OFFSET($H$3,0,0,'Données projet'!$E$11+1,1))</f>
        <v>252.70779718608964</v>
      </c>
      <c r="BJ32" s="59">
        <f t="shared" si="38"/>
        <v>187.86969111712705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4.6895141653651766</v>
      </c>
      <c r="BR32" s="21">
        <f>EXP(-LN(2)/2)*BR31+(1-EXP(-LN(2)/2))/(LN(2)/2)*BL32*BO32*VLOOKUP('Données projet'!$B$11,Paramètres!$A$1:$I$89,3,0)*0.475*44/12</f>
        <v>0.32560133051824997</v>
      </c>
      <c r="BS32" s="22">
        <f t="shared" si="9"/>
        <v>5.0151154958834265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17.600000000000001</v>
      </c>
      <c r="BY32" s="12">
        <f>IF('Données projet'!$A$114&gt;35,BY31+BX32-CG31,IF(A32&lt;'Données projet'!$A$114,$BV$205^A32,IF(A32='Données projet'!$A$114,'Données projet'!$B$114,BY31+BX32-CG31)))</f>
        <v>238.4</v>
      </c>
      <c r="BZ32" s="13">
        <f>BY32*VLOOKUP('Données projet'!$B$12,Paramètres!$A$1:$I$89,3,0)*VLOOKUP('Données projet'!$B$12,Paramètres!$A$1:$I$89,5,0)</f>
        <v>142.56319999999999</v>
      </c>
      <c r="CA32" s="13">
        <f t="shared" si="39"/>
        <v>36.883577154665602</v>
      </c>
      <c r="CB32" s="20">
        <f t="shared" si="10"/>
        <v>312.53647021104257</v>
      </c>
      <c r="CC32" s="59">
        <f t="shared" si="11"/>
        <v>605.86980354437583</v>
      </c>
      <c r="CD32" s="59">
        <f ca="1">AVERAGE(OFFSET($CC$3,0,0,'Données projet'!$E$12+1,1))-AVERAGE(OFFSET($H$3,0,0,'Données projet'!$E$12+1,1))</f>
        <v>279.86432710889352</v>
      </c>
      <c r="CE32" s="59">
        <f t="shared" si="40"/>
        <v>297.01680128882509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11.662017591413687</v>
      </c>
      <c r="CM32" s="21">
        <f>EXP(-LN(2)/2)*CM31+(1-EXP(-LN(2)/2))/(LN(2)/2)*CG32*CJ32*VLOOKUP('Données projet'!$B$12,Paramètres!$A$1:$I$89,3,0)*0.475*44/12</f>
        <v>2.6804820619218219</v>
      </c>
      <c r="CN32" s="22">
        <f t="shared" si="12"/>
        <v>14.342499653335508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16.399999999999999</v>
      </c>
      <c r="CT32" s="12">
        <f>IF('Données projet'!$A$140&gt;35,CT31+CS32-DB31,IF(A32&lt;'Données projet'!$A$140,$CQ$205^A32,IF(A32='Données projet'!$A$140,'Données projet'!$B$140,CT31+CS32-DB31)))</f>
        <v>176.60000000000002</v>
      </c>
      <c r="CU32" s="17">
        <f>CT32*VLOOKUP('Données projet'!$B$13,Paramètres!$A$1:$I$89,3,0)*VLOOKUP('Données projet'!$B$13,Paramètres!$A$1:$I$89,5,0)</f>
        <v>140.50296000000003</v>
      </c>
      <c r="CV32" s="13">
        <f t="shared" si="41"/>
        <v>36.412202509054282</v>
      </c>
      <c r="CW32" s="20">
        <f t="shared" si="13"/>
        <v>308.12724136993626</v>
      </c>
      <c r="CX32" s="59">
        <f t="shared" si="14"/>
        <v>601.46057470326957</v>
      </c>
      <c r="CY32" s="59">
        <f ca="1">AVERAGE(OFFSET($CX$3,0,0,'Données projet'!$E$13+1,1))-AVERAGE(OFFSET($H$3,0,0,'Données projet'!$E$13+1,1))</f>
        <v>314.6300257056194</v>
      </c>
      <c r="CZ32" s="59">
        <f t="shared" si="42"/>
        <v>298.00555477466668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16.399999999999999</v>
      </c>
      <c r="DO32" s="12">
        <f>IF('Données projet'!$A$166&gt;35,DO31+DN32-DW31,IF(A32&lt;'Données projet'!$A$166,$DL$205^A32,IF(A32='Données projet'!$A$166,'Données projet'!$B$166,DO31+DN32-DW31)))</f>
        <v>176.60000000000002</v>
      </c>
      <c r="DP32" s="17">
        <f>DO32*VLOOKUP('Données projet'!$B$14,Paramètres!$A$1:$I$89,3,0)*VLOOKUP('Données projet'!$B$14,Paramètres!$A$1:$I$89,5,0)</f>
        <v>140.50296000000003</v>
      </c>
      <c r="DQ32" s="13">
        <f t="shared" si="43"/>
        <v>36.412202509054282</v>
      </c>
      <c r="DR32" s="20">
        <f t="shared" si="16"/>
        <v>308.12724136993626</v>
      </c>
      <c r="DS32" s="59">
        <f t="shared" si="17"/>
        <v>601.46057470326957</v>
      </c>
      <c r="DT32" s="59">
        <f ca="1">AVERAGE(OFFSET($DS$3,0,0,'Données projet'!$E$14+1,1))-AVERAGE(OFFSET($H$3,0,0,'Données projet'!$E$14+1,1))</f>
        <v>314.6300257056194</v>
      </c>
      <c r="DU32" s="59">
        <f t="shared" si="44"/>
        <v>298.00555477466668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4.7456410256410253</v>
      </c>
      <c r="EJ32" s="12">
        <f>IF('Données projet'!$A$192&gt;35,EJ31+EI32-ER31,IF(A32&lt;'Données projet'!$A$192,$EG$205^A32,IF(A32='Données projet'!$A$192,'Données projet'!$B$192,EJ31+EI32-ER31)))</f>
        <v>120.68008310366417</v>
      </c>
      <c r="EK32" s="17">
        <f>EJ32*VLOOKUP('Données projet'!$B$15,Paramètres!$A$1:$I$89,3,0)*VLOOKUP('Données projet'!$B$15,Paramètres!$A$1:$I$89,5,0)</f>
        <v>58.047119972862468</v>
      </c>
      <c r="EL32" s="13">
        <f t="shared" si="45"/>
        <v>16.673572836059552</v>
      </c>
      <c r="EM32" s="20">
        <f t="shared" si="19"/>
        <v>130.13853997553917</v>
      </c>
      <c r="EN32" s="59">
        <f t="shared" si="20"/>
        <v>423.47187330887249</v>
      </c>
      <c r="EO32" s="59">
        <f ca="1">AVERAGE(OFFSET($EN$3,0,0,'Données projet'!$E$15+1,1))-AVERAGE(OFFSET($H$3,0,0,'Données projet'!$E$15+1,1))</f>
        <v>238.83604534181978</v>
      </c>
      <c r="EP32" s="59">
        <f t="shared" si="46"/>
        <v>114.85152559837792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11.8</v>
      </c>
      <c r="FE32" s="12">
        <f>IF('Données projet'!$A$218&gt;35,FE31+FD32-FM31,IF(A32&lt;'Données projet'!$A$218,$FB$205^A32,IF(A32='Données projet'!$A$218,'Données projet'!$B$218,FE31+FD32-FM31)))</f>
        <v>106.19999999999997</v>
      </c>
      <c r="FF32" s="17">
        <f>FE32*VLOOKUP('Données projet'!$B$16,Paramètres!$A$1:$I$89,3,0)*VLOOKUP('Données projet'!$B$16,Paramètres!$A$1:$I$89,5,0)</f>
        <v>86.149439999999984</v>
      </c>
      <c r="FG32" s="13">
        <f t="shared" si="47"/>
        <v>23.634212574413375</v>
      </c>
      <c r="FH32" s="20">
        <f t="shared" si="22"/>
        <v>191.20652823376994</v>
      </c>
      <c r="FI32" s="59">
        <f t="shared" si="23"/>
        <v>484.53986156710323</v>
      </c>
      <c r="FJ32" s="59">
        <f ca="1">AVERAGE(OFFSET($FI$3,0,0,'Données projet'!$E$16+1,1))-AVERAGE(OFFSET($H$3,0,0,'Données projet'!$E$16+1,1))</f>
        <v>196.95467273423861</v>
      </c>
      <c r="FK32" s="59">
        <f t="shared" si="48"/>
        <v>173.8709326829258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11.8</v>
      </c>
      <c r="FZ32" s="12">
        <f>IF('Données projet'!$A$244&gt;35,FZ31+FY32-GH31,IF(A32&lt;'Données projet'!$A$244,$FW$205^A32,IF(A32='Données projet'!$A$244,'Données projet'!$B$244,FZ31+FY32-GH31)))</f>
        <v>106.19999999999997</v>
      </c>
      <c r="GA32" s="17">
        <f>FZ32*VLOOKUP('Données projet'!$B$17,Paramètres!$A$1:$I$89,3,0)*VLOOKUP('Données projet'!$B$17,Paramètres!$A$1:$I$89,5,0)</f>
        <v>114.31367999999996</v>
      </c>
      <c r="GB32" s="13">
        <f t="shared" si="49"/>
        <v>30.345034776739105</v>
      </c>
      <c r="GC32" s="20">
        <f t="shared" si="25"/>
        <v>251.94726156948718</v>
      </c>
      <c r="GD32" s="59">
        <f t="shared" si="26"/>
        <v>545.28059490282044</v>
      </c>
      <c r="GE32" s="59">
        <f ca="1">AVERAGE(OFFSET($GD$3,0,0,'Données projet'!$E$17+1,1))-AVERAGE(OFFSET($H$3,0,0,'Données projet'!$E$17+1,1))</f>
        <v>275.5229427552884</v>
      </c>
      <c r="GF32" s="59">
        <f t="shared" si="50"/>
        <v>241.20234081716143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274.57619581652199</v>
      </c>
      <c r="T33" s="59">
        <f t="shared" si="34"/>
        <v>366.15117322598775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5.3566685976293194</v>
      </c>
      <c r="AA33" s="21">
        <f>EXP(-LN(2)/25)*AA32+(1-EXP(-LN(2)/25))/(LN(2)/25)*Calculateur!V33*Calculateur!X33*VLOOKUP('Données projet'!$B$9,Paramètres!$A$1:$I$89,3,0)*0.475*44/12</f>
        <v>20.577264031337968</v>
      </c>
      <c r="AB33" s="21">
        <f>EXP(-LN(2)/2)*AB32+(1-EXP(-LN(2)/2))/(LN(2)/2)*V33*Y33*VLOOKUP('Données projet'!$B$9,Paramètres!$A$1:$I$89,3,0)*0.475*44/12</f>
        <v>9.5992642667266299</v>
      </c>
      <c r="AC33" s="22">
        <f t="shared" si="3"/>
        <v>35.533196895693919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224</v>
      </c>
      <c r="AG33" s="12">
        <f>VLOOKUP(A33,'Données projet'!$A$61:$I$81,9,0)</f>
        <v>14.166666666666666</v>
      </c>
      <c r="AH33" s="12">
        <f t="array" ref="AH33">INDEX(AG:AG,MIN(IF(ISNUMBER(AG33:AG229),ROW(AG33:AG229),"")))</f>
        <v>14.166666666666666</v>
      </c>
      <c r="AI33" s="13">
        <f>IF('Données projet'!$A$62&gt;35,AI32+AH33-AQ32,IF(A33&lt;'Données projet'!$A$62,$AF$205^A33,IF(A33='Données projet'!$A$62,'Données projet'!$B$62,AI32+AH33-AQ32)))</f>
        <v>223.99999999999994</v>
      </c>
      <c r="AJ33" s="13">
        <f>AI33*VLOOKUP('Données projet'!$B$10,Paramètres!$A$1:$I$89,3,0)*VLOOKUP('Données projet'!$B$10,Paramètres!$A$1:$I$89,5,0)</f>
        <v>139.77599999999995</v>
      </c>
      <c r="AK33" s="13">
        <f t="shared" si="35"/>
        <v>36.245685459195258</v>
      </c>
      <c r="AL33" s="20">
        <f t="shared" si="4"/>
        <v>306.57110217476503</v>
      </c>
      <c r="AM33" s="59">
        <f t="shared" si="5"/>
        <v>599.90443550809835</v>
      </c>
      <c r="AN33" s="59">
        <f ca="1">AVERAGE(OFFSET($AM$3,0,0,'Données projet'!$E$10+1,1))-AVERAGE(OFFSET($H$3,0,0,'Données projet'!$E$10+1,1))</f>
        <v>175.05987582828078</v>
      </c>
      <c r="AO33" s="59">
        <f t="shared" si="36"/>
        <v>268.54782308462387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53</v>
      </c>
      <c r="AR33" s="16">
        <f>IF(ISNA(VLOOKUP(A33,'Données projet'!$A$61:$I$81,5,0)),0%,VLOOKUP(A33,'Données projet'!$A$61:$I$81,5,0)*VLOOKUP('Données projet'!$B$10,Paramètres!$A$1:$I$89,7,0))</f>
        <v>0.42</v>
      </c>
      <c r="AS33" s="16">
        <f>IF(ISNA(VLOOKUP(A33,'Données projet'!$A$61:$I$81,6,0)),0%,VLOOKUP(A33,'Données projet'!$A$61:$I$81,6,0)*VLOOKUP('Données projet'!$B$10,Paramètres!$A$1:$I$89,7,0))</f>
        <v>0.1008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27.379020523760126</v>
      </c>
      <c r="AV33" s="21">
        <f>EXP(-LN(2)/25)*AV32+(1-EXP(-LN(2)/25))/(LN(2)/25)*Calculateur!AQ33*Calculateur!AS33*VLOOKUP('Données projet'!$B$10,Paramètres!$A$1:$I$89,3,0)*0.475*44/12</f>
        <v>16.030652078741142</v>
      </c>
      <c r="AW33" s="21">
        <f>EXP(-LN(2)/2)*AW32+(1-EXP(-LN(2)/2))/(LN(2)/2)*AQ33*AT33*VLOOKUP('Données projet'!$B$10,Paramètres!$A$1:$I$89,3,0)*0.475*44/12</f>
        <v>5.7351763751099512</v>
      </c>
      <c r="AX33" s="21">
        <f t="shared" si="6"/>
        <v>49.144848977611218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218.4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218.39999999999989</v>
      </c>
      <c r="BE33" s="13">
        <f>BD33*VLOOKUP('Données projet'!$B$11,Paramètres!$A$1:$I$89,3,0)*VLOOKUP('Données projet'!$B$11,Paramètres!$A$1:$I$89,5,0)</f>
        <v>102.21119999999995</v>
      </c>
      <c r="BF33" s="13">
        <f t="shared" si="37"/>
        <v>27.488113037666018</v>
      </c>
      <c r="BG33" s="20">
        <f t="shared" si="7"/>
        <v>225.89297020726823</v>
      </c>
      <c r="BH33" s="59">
        <f t="shared" si="8"/>
        <v>519.22630354060152</v>
      </c>
      <c r="BI33" s="59">
        <f ca="1">AVERAGE(OFFSET($BH$3,0,0,'Données projet'!$E$11+1,1))-AVERAGE(OFFSET($H$3,0,0,'Données projet'!$E$11+1,1))</f>
        <v>252.70779718608964</v>
      </c>
      <c r="BJ33" s="59">
        <f t="shared" si="38"/>
        <v>187.86969111712705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43.680000000000007</v>
      </c>
      <c r="BM33" s="16">
        <f>IF(ISNA(VLOOKUP(A33,'Données projet'!$A$87:$I$107,5,0)),0%,VLOOKUP(A33,'Données projet'!$A$87:$I$107,5,0)*VLOOKUP('Données projet'!$B$11,Paramètres!$A$1:$I$89,7,0))</f>
        <v>0.38500000000000001</v>
      </c>
      <c r="BN33" s="16">
        <f>IF(ISNA(VLOOKUP(A33,'Données projet'!$A$87:$I$107,6,0)),0%,VLOOKUP(A33,'Données projet'!$A$87:$I$107,6,0)*VLOOKUP('Données projet'!$B$11,Paramètres!$A$1:$I$89,7,0))</f>
        <v>9.240000000000001E-2</v>
      </c>
      <c r="BO33" s="16">
        <f>IF(ISNA(VLOOKUP(A33,'Données projet'!$A$87:$I$107,7,0)),0%,VLOOKUP(A33,'Données projet'!$A$87:$I$107,7,0))</f>
        <v>0.13200000000000001</v>
      </c>
      <c r="BP33" s="21">
        <f>EXP(-LN(2)/35)*BP32+(1-EXP(-LN(2)/35))/(LN(2)/35)*BL33*BM33*VLOOKUP('Données projet'!$B$11,Paramètres!$A$1:$I$89,3,0)*0.475*44/12</f>
        <v>10.440410354822289</v>
      </c>
      <c r="BQ33" s="21">
        <f>EXP(-LN(2)/25)*BQ32+(1-EXP(-LN(2)/25))/(LN(2)/25)*Calculateur!BL33*Calculateur!BN33*VLOOKUP('Données projet'!$B$11,Paramètres!$A$1:$I$89,3,0)*0.475*44/12</f>
        <v>7.0571117493777455</v>
      </c>
      <c r="BR33" s="21">
        <f>EXP(-LN(2)/2)*BR32+(1-EXP(-LN(2)/2))/(LN(2)/2)*BL33*BO33*VLOOKUP('Données projet'!$B$11,Paramètres!$A$1:$I$89,3,0)*0.475*44/12</f>
        <v>3.2854230045287567</v>
      </c>
      <c r="BS33" s="22">
        <f t="shared" si="9"/>
        <v>20.782945108728789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256</v>
      </c>
      <c r="BW33" s="12">
        <f>VLOOKUP(A33,'Données projet'!$A$113:$I$133,9,0)</f>
        <v>17.600000000000001</v>
      </c>
      <c r="BX33" s="12">
        <f t="array" ref="BX33">INDEX(BW:BW,MIN(IF(ISNUMBER(BW33:BW229),ROW(BW33:BW229),"")))</f>
        <v>17.600000000000001</v>
      </c>
      <c r="BY33" s="12">
        <f>IF('Données projet'!$A$114&gt;35,BY32+BX33-CG32,IF(A33&lt;'Données projet'!$A$114,$BV$205^A33,IF(A33='Données projet'!$A$114,'Données projet'!$B$114,BY32+BX33-CG32)))</f>
        <v>256</v>
      </c>
      <c r="BZ33" s="13">
        <f>BY33*VLOOKUP('Données projet'!$B$12,Paramètres!$A$1:$I$89,3,0)*VLOOKUP('Données projet'!$B$12,Paramètres!$A$1:$I$89,5,0)</f>
        <v>153.08800000000002</v>
      </c>
      <c r="CA33" s="13">
        <f t="shared" si="39"/>
        <v>39.27951026543515</v>
      </c>
      <c r="CB33" s="20">
        <f t="shared" si="10"/>
        <v>335.04008037896625</v>
      </c>
      <c r="CC33" s="59">
        <f t="shared" si="11"/>
        <v>628.37341371229957</v>
      </c>
      <c r="CD33" s="59">
        <f ca="1">AVERAGE(OFFSET($CC$3,0,0,'Données projet'!$E$12+1,1))-AVERAGE(OFFSET($H$3,0,0,'Données projet'!$E$12+1,1))</f>
        <v>279.86432710889352</v>
      </c>
      <c r="CE33" s="59">
        <f t="shared" si="40"/>
        <v>297.01680128882509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54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0.27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22.863682188288522</v>
      </c>
      <c r="CM33" s="21">
        <f>EXP(-LN(2)/2)*CM32+(1-EXP(-LN(2)/2))/(LN(2)/2)*CG33*CJ33*VLOOKUP('Données projet'!$B$12,Paramètres!$A$1:$I$89,3,0)*0.475*44/12</f>
        <v>16.520205183523675</v>
      </c>
      <c r="CN33" s="22">
        <f t="shared" si="12"/>
        <v>39.383887371812193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205</v>
      </c>
      <c r="CR33" s="12">
        <f>VLOOKUP(A33,'Données projet'!$A$139:$I$159,9,0)</f>
        <v>16.399999999999999</v>
      </c>
      <c r="CS33" s="12">
        <f t="array" ref="CS33">INDEX(CR:CR,MIN(IF(ISNUMBER(CR33:CR229),ROW(CR33:CR229),"")))</f>
        <v>16.399999999999999</v>
      </c>
      <c r="CT33" s="12">
        <f>IF('Données projet'!$A$140&gt;35,CT32+CS33-DB32,IF(A33&lt;'Données projet'!$A$140,$CQ$205^A33,IF(A33='Données projet'!$A$140,'Données projet'!$B$140,CT32+CS33-DB32)))</f>
        <v>193.00000000000003</v>
      </c>
      <c r="CU33" s="17">
        <f>CT33*VLOOKUP('Données projet'!$B$13,Paramètres!$A$1:$I$89,3,0)*VLOOKUP('Données projet'!$B$13,Paramètres!$A$1:$I$89,5,0)</f>
        <v>153.55080000000004</v>
      </c>
      <c r="CV33" s="13">
        <f t="shared" si="41"/>
        <v>39.384415616157561</v>
      </c>
      <c r="CW33" s="20">
        <f t="shared" si="13"/>
        <v>336.02883386480784</v>
      </c>
      <c r="CX33" s="59">
        <f t="shared" si="14"/>
        <v>629.36216719814115</v>
      </c>
      <c r="CY33" s="59">
        <f ca="1">AVERAGE(OFFSET($CX$3,0,0,'Données projet'!$E$13+1,1))-AVERAGE(OFFSET($H$3,0,0,'Données projet'!$E$13+1,1))</f>
        <v>314.6300257056194</v>
      </c>
      <c r="CZ33" s="59">
        <f t="shared" si="42"/>
        <v>298.00555477466668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42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205</v>
      </c>
      <c r="DM33" s="12">
        <f>VLOOKUP(A33,'Données projet'!$A$165:$I$185,9,0)</f>
        <v>16.399999999999999</v>
      </c>
      <c r="DN33" s="12">
        <f t="array" ref="DN33">INDEX(DM:DM,MIN(IF(ISNUMBER(DM33:DM229),ROW(DM33:DM229),"")))</f>
        <v>16.399999999999999</v>
      </c>
      <c r="DO33" s="12">
        <f>IF('Données projet'!$A$166&gt;35,DO32+DN33-DW32,IF(A33&lt;'Données projet'!$A$166,$DL$205^A33,IF(A33='Données projet'!$A$166,'Données projet'!$B$166,DO32+DN33-DW32)))</f>
        <v>193.00000000000003</v>
      </c>
      <c r="DP33" s="17">
        <f>DO33*VLOOKUP('Données projet'!$B$14,Paramètres!$A$1:$I$89,3,0)*VLOOKUP('Données projet'!$B$14,Paramètres!$A$1:$I$89,5,0)</f>
        <v>153.55080000000004</v>
      </c>
      <c r="DQ33" s="13">
        <f t="shared" si="43"/>
        <v>39.384415616157561</v>
      </c>
      <c r="DR33" s="20">
        <f t="shared" si="16"/>
        <v>336.02883386480784</v>
      </c>
      <c r="DS33" s="59">
        <f t="shared" si="17"/>
        <v>629.36216719814115</v>
      </c>
      <c r="DT33" s="59">
        <f ca="1">AVERAGE(OFFSET($DS$3,0,0,'Données projet'!$E$14+1,1))-AVERAGE(OFFSET($H$3,0,0,'Données projet'!$E$14+1,1))</f>
        <v>314.6300257056194</v>
      </c>
      <c r="DU33" s="59">
        <f t="shared" si="44"/>
        <v>298.00555477466668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42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142.36923076923077</v>
      </c>
      <c r="EH33" s="12">
        <f>VLOOKUP(A33,'Données projet'!$A$191:$I$211,9,0)</f>
        <v>4.7456410256410253</v>
      </c>
      <c r="EI33" s="12">
        <f t="array" ref="EI33">INDEX(EH:EH,MIN(IF(ISNUMBER(EH33:EH229),ROW(EH33:EH229),"")))</f>
        <v>4.7456410256410253</v>
      </c>
      <c r="EJ33" s="12">
        <f>IF('Données projet'!$A$192&gt;35,EJ32+EI33-ER32,IF(A33&lt;'Données projet'!$A$192,$EG$205^A33,IF(A33='Données projet'!$A$192,'Données projet'!$B$192,EJ32+EI33-ER32)))</f>
        <v>142.36923076923077</v>
      </c>
      <c r="EK33" s="17">
        <f>EJ33*VLOOKUP('Données projet'!$B$15,Paramètres!$A$1:$I$89,3,0)*VLOOKUP('Données projet'!$B$15,Paramètres!$A$1:$I$89,5,0)</f>
        <v>68.479600000000005</v>
      </c>
      <c r="EL33" s="13">
        <f t="shared" si="45"/>
        <v>19.295407476661673</v>
      </c>
      <c r="EM33" s="20">
        <f t="shared" si="19"/>
        <v>152.87480468851905</v>
      </c>
      <c r="EN33" s="59">
        <f t="shared" si="20"/>
        <v>446.20813802185239</v>
      </c>
      <c r="EO33" s="59">
        <f ca="1">AVERAGE(OFFSET($EN$3,0,0,'Données projet'!$E$15+1,1))-AVERAGE(OFFSET($H$3,0,0,'Données projet'!$E$15+1,1))</f>
        <v>238.83604534181978</v>
      </c>
      <c r="EP33" s="59">
        <f t="shared" si="46"/>
        <v>114.85152559837792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118</v>
      </c>
      <c r="FC33" s="12">
        <f>VLOOKUP(A33,'Données projet'!$A$217:$I$237,9,0)</f>
        <v>11.8</v>
      </c>
      <c r="FD33" s="12">
        <f t="array" ref="FD33">INDEX(FC:FC,MIN(IF(ISNUMBER(FC33:FC229),ROW(FC33:FC229),"")))</f>
        <v>11.8</v>
      </c>
      <c r="FE33" s="12">
        <f>IF('Données projet'!$A$218&gt;35,FE32+FD33-FM32,IF(A33&lt;'Données projet'!$A$218,$FB$205^A33,IF(A33='Données projet'!$A$218,'Données projet'!$B$218,FE32+FD33-FM32)))</f>
        <v>117.99999999999997</v>
      </c>
      <c r="FF33" s="17">
        <f>FE33*VLOOKUP('Données projet'!$B$16,Paramètres!$A$1:$I$89,3,0)*VLOOKUP('Données projet'!$B$16,Paramètres!$A$1:$I$89,5,0)</f>
        <v>95.721599999999981</v>
      </c>
      <c r="FG33" s="13">
        <f t="shared" si="47"/>
        <v>25.940148386449934</v>
      </c>
      <c r="FH33" s="20">
        <f t="shared" si="22"/>
        <v>211.89421177306693</v>
      </c>
      <c r="FI33" s="59">
        <f t="shared" si="23"/>
        <v>505.22754510640027</v>
      </c>
      <c r="FJ33" s="59">
        <f ca="1">AVERAGE(OFFSET($FI$3,0,0,'Données projet'!$E$16+1,1))-AVERAGE(OFFSET($H$3,0,0,'Données projet'!$E$16+1,1))</f>
        <v>196.95467273423861</v>
      </c>
      <c r="FK33" s="59">
        <f t="shared" si="48"/>
        <v>173.8709326829258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118</v>
      </c>
      <c r="FX33" s="12">
        <f>VLOOKUP(A33,'Données projet'!$A$243:$I$263,9,0)</f>
        <v>11.8</v>
      </c>
      <c r="FY33" s="12">
        <f t="array" ref="FY33">INDEX(FX:FX,MIN(IF(ISNUMBER(FX33:FX229),ROW(FX33:FX229),"")))</f>
        <v>11.8</v>
      </c>
      <c r="FZ33" s="12">
        <f>IF('Données projet'!$A$244&gt;35,FZ32+FY33-GH32,IF(A33&lt;'Données projet'!$A$244,$FW$205^A33,IF(A33='Données projet'!$A$244,'Données projet'!$B$244,FZ32+FY33-GH32)))</f>
        <v>117.99999999999997</v>
      </c>
      <c r="GA33" s="17">
        <f>FZ33*VLOOKUP('Données projet'!$B$17,Paramètres!$A$1:$I$89,3,0)*VLOOKUP('Données projet'!$B$17,Paramètres!$A$1:$I$89,5,0)</f>
        <v>127.01519999999996</v>
      </c>
      <c r="GB33" s="13">
        <f t="shared" si="49"/>
        <v>33.305730090317354</v>
      </c>
      <c r="GC33" s="20">
        <f t="shared" si="25"/>
        <v>279.22561990730264</v>
      </c>
      <c r="GD33" s="59">
        <f t="shared" si="26"/>
        <v>572.5589532406359</v>
      </c>
      <c r="GE33" s="59">
        <f ca="1">AVERAGE(OFFSET($GD$3,0,0,'Données projet'!$E$17+1,1))-AVERAGE(OFFSET($H$3,0,0,'Données projet'!$E$17+1,1))</f>
        <v>275.5229427552884</v>
      </c>
      <c r="GF33" s="59">
        <f t="shared" si="50"/>
        <v>241.20234081716143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28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22.884615384615376</v>
      </c>
      <c r="N34" s="13">
        <f>IF('Données projet'!$A$36&gt;35,N33+M34-V33,IF(A34&lt;'Données projet'!$A$36,$K$205^A34,IF(A34='Données projet'!$A$36,'Données projet'!$B$36,N33+M34-V33)))</f>
        <v>289.08461538461523</v>
      </c>
      <c r="O34" s="13">
        <f>N34*VLOOKUP('Données projet'!$B$9,Paramètres!$A$1:$I$89,3,0)*VLOOKUP('Données projet'!$B$9,Paramètres!$A$1:$I$89,5,0)</f>
        <v>161.59829999999991</v>
      </c>
      <c r="P34" s="13">
        <f t="shared" si="33"/>
        <v>41.202807619439696</v>
      </c>
      <c r="Q34" s="20">
        <f t="shared" si="2"/>
        <v>353.2119291038573</v>
      </c>
      <c r="R34" s="59">
        <f t="shared" si="0"/>
        <v>646.54526243719056</v>
      </c>
      <c r="S34" s="59">
        <f ca="1">AVERAGE(OFFSET($R$3,0,0,'Données projet'!$E$9+1,1))-AVERAGE(OFFSET($H$3,0,0,'Données projet'!$E$9+1,1))</f>
        <v>274.57619581652199</v>
      </c>
      <c r="T34" s="59">
        <f t="shared" si="34"/>
        <v>366.15117322598775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5.251627593675039</v>
      </c>
      <c r="AA34" s="21">
        <f>EXP(-LN(2)/25)*AA33+(1-EXP(-LN(2)/25))/(LN(2)/25)*Calculateur!V34*Calculateur!X34*VLOOKUP('Données projet'!$B$9,Paramètres!$A$1:$I$89,3,0)*0.475*44/12</f>
        <v>20.014577664289746</v>
      </c>
      <c r="AB34" s="21">
        <f>EXP(-LN(2)/2)*AB33+(1-EXP(-LN(2)/2))/(LN(2)/2)*V34*Y34*VLOOKUP('Données projet'!$B$9,Paramètres!$A$1:$I$89,3,0)*0.475*44/12</f>
        <v>6.7877048574041119</v>
      </c>
      <c r="AC34" s="22">
        <f t="shared" si="3"/>
        <v>32.053910115368893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12.833333333333334</v>
      </c>
      <c r="AI34" s="13">
        <f>IF('Données projet'!$A$62&gt;35,AI33+AH34-AQ33,IF(A34&lt;'Données projet'!$A$62,$AF$205^A34,IF(A34='Données projet'!$A$62,'Données projet'!$B$62,AI33+AH34-AQ33)))</f>
        <v>183.83333333333329</v>
      </c>
      <c r="AJ34" s="13">
        <f>AI34*VLOOKUP('Données projet'!$B$10,Paramètres!$A$1:$I$89,3,0)*VLOOKUP('Données projet'!$B$10,Paramètres!$A$1:$I$89,5,0)</f>
        <v>114.71199999999997</v>
      </c>
      <c r="AK34" s="13">
        <f t="shared" si="35"/>
        <v>30.438443898016164</v>
      </c>
      <c r="AL34" s="20">
        <f t="shared" si="4"/>
        <v>252.80368978904474</v>
      </c>
      <c r="AM34" s="59">
        <f t="shared" si="5"/>
        <v>546.13702312237808</v>
      </c>
      <c r="AN34" s="59">
        <f ca="1">AVERAGE(OFFSET($AM$3,0,0,'Données projet'!$E$10+1,1))-AVERAGE(OFFSET($H$3,0,0,'Données projet'!$E$10+1,1))</f>
        <v>175.05987582828078</v>
      </c>
      <c r="AO34" s="59">
        <f t="shared" si="36"/>
        <v>268.54782308462387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26.842134630842764</v>
      </c>
      <c r="AV34" s="21">
        <f>EXP(-LN(2)/25)*AV33+(1-EXP(-LN(2)/25))/(LN(2)/25)*Calculateur!AQ34*Calculateur!AS34*VLOOKUP('Données projet'!$B$10,Paramètres!$A$1:$I$89,3,0)*0.475*44/12</f>
        <v>15.592293054632611</v>
      </c>
      <c r="AW34" s="21">
        <f>EXP(-LN(2)/2)*AW33+(1-EXP(-LN(2)/2))/(LN(2)/2)*AQ34*AT34*VLOOKUP('Données projet'!$B$10,Paramètres!$A$1:$I$89,3,0)*0.475*44/12</f>
        <v>4.0553821061411295</v>
      </c>
      <c r="AX34" s="21">
        <f t="shared" si="6"/>
        <v>46.489809791616509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10.000000000000004</v>
      </c>
      <c r="BD34" s="12">
        <f>IF('Données projet'!$A$88&gt;35,BD33+BC34-BL33,IF(A34&lt;'Données projet'!$A$88,$BA$205^A34,IF(A34='Données projet'!$A$88,'Données projet'!$B$88,BD33+BC34-BL33)))</f>
        <v>184.71999999999989</v>
      </c>
      <c r="BE34" s="13">
        <f>BD34*VLOOKUP('Données projet'!$B$11,Paramètres!$A$1:$I$89,3,0)*VLOOKUP('Données projet'!$B$11,Paramètres!$A$1:$I$89,5,0)</f>
        <v>86.448959999999957</v>
      </c>
      <c r="BF34" s="13">
        <f t="shared" si="37"/>
        <v>23.706803517624444</v>
      </c>
      <c r="BG34" s="20">
        <f t="shared" si="7"/>
        <v>191.85462145986244</v>
      </c>
      <c r="BH34" s="59">
        <f t="shared" si="8"/>
        <v>485.18795479319579</v>
      </c>
      <c r="BI34" s="59">
        <f ca="1">AVERAGE(OFFSET($BH$3,0,0,'Données projet'!$E$11+1,1))-AVERAGE(OFFSET($H$3,0,0,'Données projet'!$E$11+1,1))</f>
        <v>252.70779718608964</v>
      </c>
      <c r="BJ34" s="59">
        <f t="shared" si="38"/>
        <v>187.86969111712705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10.23568027578575</v>
      </c>
      <c r="BQ34" s="21">
        <f>EXP(-LN(2)/25)*BQ33+(1-EXP(-LN(2)/25))/(LN(2)/25)*Calculateur!BL34*Calculateur!BN34*VLOOKUP('Données projet'!$B$11,Paramètres!$A$1:$I$89,3,0)*0.475*44/12</f>
        <v>6.8641346574736337</v>
      </c>
      <c r="BR34" s="21">
        <f>EXP(-LN(2)/2)*BR33+(1-EXP(-LN(2)/2))/(LN(2)/2)*BL34*BO34*VLOOKUP('Données projet'!$B$11,Paramètres!$A$1:$I$89,3,0)*0.475*44/12</f>
        <v>2.3231448855685652</v>
      </c>
      <c r="BS34" s="22">
        <f t="shared" si="9"/>
        <v>19.422959818827948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19.399999999999999</v>
      </c>
      <c r="BY34" s="12">
        <f>IF('Données projet'!$A$114&gt;35,BY33+BX34-CG33,IF(A34&lt;'Données projet'!$A$114,$BV$205^A34,IF(A34='Données projet'!$A$114,'Données projet'!$B$114,BY33+BX34-CG33)))</f>
        <v>221.39999999999998</v>
      </c>
      <c r="BZ34" s="13">
        <f>BY34*VLOOKUP('Données projet'!$B$12,Paramètres!$A$1:$I$89,3,0)*VLOOKUP('Données projet'!$B$12,Paramètres!$A$1:$I$89,5,0)</f>
        <v>132.3972</v>
      </c>
      <c r="CA34" s="13">
        <f t="shared" si="39"/>
        <v>34.549691434742741</v>
      </c>
      <c r="CB34" s="20">
        <f t="shared" si="10"/>
        <v>290.76583591551019</v>
      </c>
      <c r="CC34" s="59">
        <f t="shared" si="11"/>
        <v>584.09916924884351</v>
      </c>
      <c r="CD34" s="59">
        <f ca="1">AVERAGE(OFFSET($CC$3,0,0,'Données projet'!$E$12+1,1))-AVERAGE(OFFSET($H$3,0,0,'Données projet'!$E$12+1,1))</f>
        <v>279.86432710889352</v>
      </c>
      <c r="CE34" s="59">
        <f t="shared" si="40"/>
        <v>297.01680128882509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22.238473596500981</v>
      </c>
      <c r="CM34" s="21">
        <f>EXP(-LN(2)/2)*CM33+(1-EXP(-LN(2)/2))/(LN(2)/2)*CG34*CJ34*VLOOKUP('Données projet'!$B$12,Paramètres!$A$1:$I$89,3,0)*0.475*44/12</f>
        <v>11.681549111862745</v>
      </c>
      <c r="CN34" s="22">
        <f t="shared" si="12"/>
        <v>33.920022708363724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15.2</v>
      </c>
      <c r="CT34" s="12">
        <f>IF('Données projet'!$A$140&gt;35,CT33+CS34-DB33,IF(A34&lt;'Données projet'!$A$140,$CQ$205^A34,IF(A34='Données projet'!$A$140,'Données projet'!$B$140,CT33+CS34-DB33)))</f>
        <v>166.20000000000002</v>
      </c>
      <c r="CU34" s="17">
        <f>CT34*VLOOKUP('Données projet'!$B$13,Paramètres!$A$1:$I$89,3,0)*VLOOKUP('Données projet'!$B$13,Paramètres!$A$1:$I$89,5,0)</f>
        <v>132.22872000000004</v>
      </c>
      <c r="CV34" s="13">
        <f t="shared" si="41"/>
        <v>34.510840487492636</v>
      </c>
      <c r="CW34" s="20">
        <f t="shared" si="13"/>
        <v>290.40473451571637</v>
      </c>
      <c r="CX34" s="59">
        <f t="shared" si="14"/>
        <v>583.73806784904968</v>
      </c>
      <c r="CY34" s="59">
        <f ca="1">AVERAGE(OFFSET($CX$3,0,0,'Données projet'!$E$13+1,1))-AVERAGE(OFFSET($H$3,0,0,'Données projet'!$E$13+1,1))</f>
        <v>314.6300257056194</v>
      </c>
      <c r="CZ34" s="59">
        <f t="shared" si="42"/>
        <v>298.00555477466668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15.2</v>
      </c>
      <c r="DO34" s="12">
        <f>IF('Données projet'!$A$166&gt;35,DO33+DN34-DW33,IF(A34&lt;'Données projet'!$A$166,$DL$205^A34,IF(A34='Données projet'!$A$166,'Données projet'!$B$166,DO33+DN34-DW33)))</f>
        <v>166.20000000000002</v>
      </c>
      <c r="DP34" s="17">
        <f>DO34*VLOOKUP('Données projet'!$B$14,Paramètres!$A$1:$I$89,3,0)*VLOOKUP('Données projet'!$B$14,Paramètres!$A$1:$I$89,5,0)</f>
        <v>132.22872000000004</v>
      </c>
      <c r="DQ34" s="13">
        <f t="shared" si="43"/>
        <v>34.510840487492636</v>
      </c>
      <c r="DR34" s="20">
        <f t="shared" si="16"/>
        <v>290.40473451571637</v>
      </c>
      <c r="DS34" s="59">
        <f t="shared" si="17"/>
        <v>583.73806784904968</v>
      </c>
      <c r="DT34" s="59">
        <f ca="1">AVERAGE(OFFSET($DS$3,0,0,'Données projet'!$E$14+1,1))-AVERAGE(OFFSET($H$3,0,0,'Données projet'!$E$14+1,1))</f>
        <v>314.6300257056194</v>
      </c>
      <c r="DU34" s="59">
        <f t="shared" si="44"/>
        <v>298.00555477466668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13.410256410256407</v>
      </c>
      <c r="EJ34" s="12">
        <f>IF('Données projet'!$A$192&gt;35,EJ33+EI34-ER33,IF(A34&lt;'Données projet'!$A$192,$EG$205^A34,IF(A34='Données projet'!$A$192,'Données projet'!$B$192,EJ33+EI34-ER33)))</f>
        <v>155.77948717948718</v>
      </c>
      <c r="EK34" s="17">
        <f>EJ34*VLOOKUP('Données projet'!$B$15,Paramètres!$A$1:$I$89,3,0)*VLOOKUP('Données projet'!$B$15,Paramètres!$A$1:$I$89,5,0)</f>
        <v>74.929933333333338</v>
      </c>
      <c r="EL34" s="13">
        <f t="shared" si="45"/>
        <v>20.892842423381854</v>
      </c>
      <c r="EM34" s="20">
        <f t="shared" si="19"/>
        <v>166.89133444294561</v>
      </c>
      <c r="EN34" s="59">
        <f t="shared" si="20"/>
        <v>460.22466777627892</v>
      </c>
      <c r="EO34" s="59">
        <f ca="1">AVERAGE(OFFSET($EN$3,0,0,'Données projet'!$E$15+1,1))-AVERAGE(OFFSET($H$3,0,0,'Données projet'!$E$15+1,1))</f>
        <v>238.83604534181978</v>
      </c>
      <c r="EP34" s="59">
        <f t="shared" si="46"/>
        <v>114.85152559837792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10.8</v>
      </c>
      <c r="FE34" s="12">
        <f>IF('Données projet'!$A$218&gt;35,FE33+FD34-FM33,IF(A34&lt;'Données projet'!$A$218,$FB$205^A34,IF(A34='Données projet'!$A$218,'Données projet'!$B$218,FE33+FD34-FM33)))</f>
        <v>100.79999999999998</v>
      </c>
      <c r="FF34" s="17">
        <f>FE34*VLOOKUP('Données projet'!$B$16,Paramètres!$A$1:$I$89,3,0)*VLOOKUP('Données projet'!$B$16,Paramètres!$A$1:$I$89,5,0)</f>
        <v>81.768959999999993</v>
      </c>
      <c r="FG34" s="13">
        <f t="shared" si="47"/>
        <v>22.569151954451023</v>
      </c>
      <c r="FH34" s="20">
        <f t="shared" si="22"/>
        <v>181.72221165400219</v>
      </c>
      <c r="FI34" s="59">
        <f t="shared" si="23"/>
        <v>475.05554498733551</v>
      </c>
      <c r="FJ34" s="59">
        <f ca="1">AVERAGE(OFFSET($FI$3,0,0,'Données projet'!$E$16+1,1))-AVERAGE(OFFSET($H$3,0,0,'Données projet'!$E$16+1,1))</f>
        <v>196.95467273423861</v>
      </c>
      <c r="FK34" s="59">
        <f t="shared" si="48"/>
        <v>173.8709326829258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10.8</v>
      </c>
      <c r="FZ34" s="12">
        <f>IF('Données projet'!$A$244&gt;35,FZ33+FY34-GH33,IF(A34&lt;'Données projet'!$A$244,$FW$205^A34,IF(A34='Données projet'!$A$244,'Données projet'!$B$244,FZ33+FY34-GH33)))</f>
        <v>100.79999999999998</v>
      </c>
      <c r="GA34" s="17">
        <f>FZ34*VLOOKUP('Données projet'!$B$17,Paramètres!$A$1:$I$89,3,0)*VLOOKUP('Données projet'!$B$17,Paramètres!$A$1:$I$89,5,0)</f>
        <v>108.50111999999997</v>
      </c>
      <c r="GB34" s="13">
        <f t="shared" si="49"/>
        <v>28.977555261594095</v>
      </c>
      <c r="GC34" s="20">
        <f t="shared" si="25"/>
        <v>239.44202608060968</v>
      </c>
      <c r="GD34" s="59">
        <f t="shared" si="26"/>
        <v>532.77535941394297</v>
      </c>
      <c r="GE34" s="59">
        <f ca="1">AVERAGE(OFFSET($GD$3,0,0,'Données projet'!$E$17+1,1))-AVERAGE(OFFSET($H$3,0,0,'Données projet'!$E$17+1,1))</f>
        <v>275.5229427552884</v>
      </c>
      <c r="GF34" s="59">
        <f t="shared" si="50"/>
        <v>241.20234081716143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22.884615384615376</v>
      </c>
      <c r="N35" s="13">
        <f>IF('Données projet'!$A$36&gt;35,N34+M35-V34,IF(A35&lt;'Données projet'!$A$36,$K$205^A35,IF(A35='Données projet'!$A$36,'Données projet'!$B$36,N34+M35-V34)))</f>
        <v>311.96923076923059</v>
      </c>
      <c r="O35" s="13">
        <f>N35*VLOOKUP('Données projet'!$B$9,Paramètres!$A$1:$I$89,3,0)*VLOOKUP('Données projet'!$B$9,Paramètres!$A$1:$I$89,5,0)</f>
        <v>174.39079999999993</v>
      </c>
      <c r="P35" s="13">
        <f t="shared" si="33"/>
        <v>44.071952499783528</v>
      </c>
      <c r="Q35" s="20">
        <f t="shared" ref="Q35:Q66" si="53">(O35+P35)*0.475*44/12</f>
        <v>380.4892939371228</v>
      </c>
      <c r="R35" s="59">
        <f t="shared" si="0"/>
        <v>673.82262727045611</v>
      </c>
      <c r="S35" s="59">
        <f ca="1">AVERAGE(OFFSET($R$3,0,0,'Données projet'!$E$9+1,1))-AVERAGE(OFFSET($H$3,0,0,'Données projet'!$E$9+1,1))</f>
        <v>274.57619581652199</v>
      </c>
      <c r="T35" s="59">
        <f t="shared" si="34"/>
        <v>366.15117322598775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5.148646379739616</v>
      </c>
      <c r="AA35" s="21">
        <f>EXP(-LN(2)/25)*AA34+(1-EXP(-LN(2)/25))/(LN(2)/25)*Calculateur!V35*Calculateur!X35*VLOOKUP('Données projet'!$B$9,Paramètres!$A$1:$I$89,3,0)*0.475*44/12</f>
        <v>19.467277985538846</v>
      </c>
      <c r="AB35" s="21">
        <f>EXP(-LN(2)/2)*AB34+(1-EXP(-LN(2)/2))/(LN(2)/2)*V35*Y35*VLOOKUP('Données projet'!$B$9,Paramètres!$A$1:$I$89,3,0)*0.475*44/12</f>
        <v>4.7996321333633158</v>
      </c>
      <c r="AC35" s="22">
        <f t="shared" si="3"/>
        <v>29.415556498641777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12.833333333333334</v>
      </c>
      <c r="AI35" s="13">
        <f>IF('Données projet'!$A$62&gt;35,AI34+AH35-AQ34,IF(A35&lt;'Données projet'!$A$62,$AF$205^A35,IF(A35='Données projet'!$A$62,'Données projet'!$B$62,AI34+AH35-AQ34)))</f>
        <v>196.66666666666663</v>
      </c>
      <c r="AJ35" s="13">
        <f>AI35*VLOOKUP('Données projet'!$B$10,Paramètres!$A$1:$I$89,3,0)*VLOOKUP('Données projet'!$B$10,Paramètres!$A$1:$I$89,5,0)</f>
        <v>122.71999999999997</v>
      </c>
      <c r="AK35" s="13">
        <f t="shared" si="35"/>
        <v>32.308564708068729</v>
      </c>
      <c r="AL35" s="20">
        <f t="shared" si="4"/>
        <v>270.00808353321963</v>
      </c>
      <c r="AM35" s="59">
        <f t="shared" si="5"/>
        <v>563.34141686655289</v>
      </c>
      <c r="AN35" s="59">
        <f ca="1">AVERAGE(OFFSET($AM$3,0,0,'Données projet'!$E$10+1,1))-AVERAGE(OFFSET($H$3,0,0,'Données projet'!$E$10+1,1))</f>
        <v>175.05987582828078</v>
      </c>
      <c r="AO35" s="59">
        <f t="shared" si="36"/>
        <v>268.54782308462387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26.315776742817455</v>
      </c>
      <c r="AV35" s="21">
        <f>EXP(-LN(2)/25)*AV34+(1-EXP(-LN(2)/25))/(LN(2)/25)*Calculateur!AQ35*Calculateur!AS35*VLOOKUP('Données projet'!$B$10,Paramètres!$A$1:$I$89,3,0)*0.475*44/12</f>
        <v>15.165920981090627</v>
      </c>
      <c r="AW35" s="21">
        <f>EXP(-LN(2)/2)*AW34+(1-EXP(-LN(2)/2))/(LN(2)/2)*AQ35*AT35*VLOOKUP('Données projet'!$B$10,Paramètres!$A$1:$I$89,3,0)*0.475*44/12</f>
        <v>2.867588187554976</v>
      </c>
      <c r="AX35" s="21">
        <f t="shared" si="6"/>
        <v>44.349285911463063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10.000000000000004</v>
      </c>
      <c r="BD35" s="12">
        <f>IF('Données projet'!$A$88&gt;35,BD34+BC35-BL34,IF(A35&lt;'Données projet'!$A$88,$BA$205^A35,IF(A35='Données projet'!$A$88,'Données projet'!$B$88,BD34+BC35-BL34)))</f>
        <v>194.71999999999989</v>
      </c>
      <c r="BE35" s="13">
        <f>BD35*VLOOKUP('Données projet'!$B$11,Paramètres!$A$1:$I$89,3,0)*VLOOKUP('Données projet'!$B$11,Paramètres!$A$1:$I$89,5,0)</f>
        <v>91.12895999999995</v>
      </c>
      <c r="BF35" s="13">
        <f t="shared" si="37"/>
        <v>24.83730510294016</v>
      </c>
      <c r="BG35" s="20">
        <f t="shared" si="7"/>
        <v>201.97457838762068</v>
      </c>
      <c r="BH35" s="59">
        <f t="shared" si="8"/>
        <v>495.307911720954</v>
      </c>
      <c r="BI35" s="59">
        <f ca="1">AVERAGE(OFFSET($BH$3,0,0,'Données projet'!$E$11+1,1))-AVERAGE(OFFSET($H$3,0,0,'Données projet'!$E$11+1,1))</f>
        <v>252.70779718608964</v>
      </c>
      <c r="BJ35" s="59">
        <f t="shared" si="38"/>
        <v>187.86969111712705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10.0349648287261</v>
      </c>
      <c r="BQ35" s="21">
        <f>EXP(-LN(2)/25)*BQ34+(1-EXP(-LN(2)/25))/(LN(2)/25)*Calculateur!BL35*Calculateur!BN35*VLOOKUP('Données projet'!$B$11,Paramètres!$A$1:$I$89,3,0)*0.475*44/12</f>
        <v>6.676434534295864</v>
      </c>
      <c r="BR35" s="21">
        <f>EXP(-LN(2)/2)*BR34+(1-EXP(-LN(2)/2))/(LN(2)/2)*BL35*BO35*VLOOKUP('Données projet'!$B$11,Paramètres!$A$1:$I$89,3,0)*0.475*44/12</f>
        <v>1.6427115022643786</v>
      </c>
      <c r="BS35" s="22">
        <f t="shared" si="9"/>
        <v>18.354110865286344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19.399999999999999</v>
      </c>
      <c r="BY35" s="12">
        <f>IF('Données projet'!$A$114&gt;35,BY34+BX35-CG34,IF(A35&lt;'Données projet'!$A$114,$BV$205^A35,IF(A35='Données projet'!$A$114,'Données projet'!$B$114,BY34+BX35-CG34)))</f>
        <v>240.79999999999998</v>
      </c>
      <c r="BZ35" s="13">
        <f>BY35*VLOOKUP('Données projet'!$B$12,Paramètres!$A$1:$I$89,3,0)*VLOOKUP('Données projet'!$B$12,Paramètres!$A$1:$I$89,5,0)</f>
        <v>143.9984</v>
      </c>
      <c r="CA35" s="13">
        <f t="shared" si="39"/>
        <v>37.21147619889382</v>
      </c>
      <c r="CB35" s="20">
        <f t="shared" si="10"/>
        <v>315.60720104640671</v>
      </c>
      <c r="CC35" s="59">
        <f t="shared" si="11"/>
        <v>608.94053437974003</v>
      </c>
      <c r="CD35" s="59">
        <f ca="1">AVERAGE(OFFSET($CC$3,0,0,'Données projet'!$E$12+1,1))-AVERAGE(OFFSET($H$3,0,0,'Données projet'!$E$12+1,1))</f>
        <v>279.86432710889352</v>
      </c>
      <c r="CE35" s="59">
        <f t="shared" si="40"/>
        <v>297.01680128882509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21.630361366534164</v>
      </c>
      <c r="CM35" s="21">
        <f>EXP(-LN(2)/2)*CM34+(1-EXP(-LN(2)/2))/(LN(2)/2)*CG35*CJ35*VLOOKUP('Données projet'!$B$12,Paramètres!$A$1:$I$89,3,0)*0.475*44/12</f>
        <v>8.2601025917618394</v>
      </c>
      <c r="CN35" s="22">
        <f t="shared" si="12"/>
        <v>29.890463958296003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15.2</v>
      </c>
      <c r="CT35" s="12">
        <f>IF('Données projet'!$A$140&gt;35,CT34+CS35-DB34,IF(A35&lt;'Données projet'!$A$140,$CQ$205^A35,IF(A35='Données projet'!$A$140,'Données projet'!$B$140,CT34+CS35-DB34)))</f>
        <v>181.4</v>
      </c>
      <c r="CU35" s="17">
        <f>CT35*VLOOKUP('Données projet'!$B$13,Paramètres!$A$1:$I$89,3,0)*VLOOKUP('Données projet'!$B$13,Paramètres!$A$1:$I$89,5,0)</f>
        <v>144.32184000000001</v>
      </c>
      <c r="CV35" s="13">
        <f t="shared" si="41"/>
        <v>37.285319642019559</v>
      </c>
      <c r="CW35" s="20">
        <f t="shared" si="13"/>
        <v>316.29913637651737</v>
      </c>
      <c r="CX35" s="59">
        <f t="shared" si="14"/>
        <v>609.63246970985074</v>
      </c>
      <c r="CY35" s="59">
        <f ca="1">AVERAGE(OFFSET($CX$3,0,0,'Données projet'!$E$13+1,1))-AVERAGE(OFFSET($H$3,0,0,'Données projet'!$E$13+1,1))</f>
        <v>314.6300257056194</v>
      </c>
      <c r="CZ35" s="59">
        <f t="shared" si="42"/>
        <v>298.00555477466668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15.2</v>
      </c>
      <c r="DO35" s="12">
        <f>IF('Données projet'!$A$166&gt;35,DO34+DN35-DW34,IF(A35&lt;'Données projet'!$A$166,$DL$205^A35,IF(A35='Données projet'!$A$166,'Données projet'!$B$166,DO34+DN35-DW34)))</f>
        <v>181.4</v>
      </c>
      <c r="DP35" s="17">
        <f>DO35*VLOOKUP('Données projet'!$B$14,Paramètres!$A$1:$I$89,3,0)*VLOOKUP('Données projet'!$B$14,Paramètres!$A$1:$I$89,5,0)</f>
        <v>144.32184000000001</v>
      </c>
      <c r="DQ35" s="13">
        <f t="shared" si="43"/>
        <v>37.285319642019559</v>
      </c>
      <c r="DR35" s="20">
        <f t="shared" si="16"/>
        <v>316.29913637651737</v>
      </c>
      <c r="DS35" s="59">
        <f t="shared" si="17"/>
        <v>609.63246970985074</v>
      </c>
      <c r="DT35" s="59">
        <f ca="1">AVERAGE(OFFSET($DS$3,0,0,'Données projet'!$E$14+1,1))-AVERAGE(OFFSET($H$3,0,0,'Données projet'!$E$14+1,1))</f>
        <v>314.6300257056194</v>
      </c>
      <c r="DU35" s="59">
        <f t="shared" si="44"/>
        <v>298.00555477466668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13.410256410256407</v>
      </c>
      <c r="EJ35" s="12">
        <f>IF('Données projet'!$A$192&gt;35,EJ34+EI35-ER34,IF(A35&lt;'Données projet'!$A$192,$EG$205^A35,IF(A35='Données projet'!$A$192,'Données projet'!$B$192,EJ34+EI35-ER34)))</f>
        <v>169.18974358974359</v>
      </c>
      <c r="EK35" s="17">
        <f>EJ35*VLOOKUP('Données projet'!$B$15,Paramètres!$A$1:$I$89,3,0)*VLOOKUP('Données projet'!$B$15,Paramètres!$A$1:$I$89,5,0)</f>
        <v>81.380266666666671</v>
      </c>
      <c r="EL35" s="13">
        <f t="shared" si="45"/>
        <v>22.474329779499911</v>
      </c>
      <c r="EM35" s="20">
        <f t="shared" si="19"/>
        <v>180.88008881040676</v>
      </c>
      <c r="EN35" s="59">
        <f t="shared" si="20"/>
        <v>474.2134221437401</v>
      </c>
      <c r="EO35" s="59">
        <f ca="1">AVERAGE(OFFSET($EN$3,0,0,'Données projet'!$E$15+1,1))-AVERAGE(OFFSET($H$3,0,0,'Données projet'!$E$15+1,1))</f>
        <v>238.83604534181978</v>
      </c>
      <c r="EP35" s="59">
        <f t="shared" si="46"/>
        <v>114.85152559837792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10.8</v>
      </c>
      <c r="FE35" s="12">
        <f>IF('Données projet'!$A$218&gt;35,FE34+FD35-FM34,IF(A35&lt;'Données projet'!$A$218,$FB$205^A35,IF(A35='Données projet'!$A$218,'Données projet'!$B$218,FE34+FD35-FM34)))</f>
        <v>111.59999999999998</v>
      </c>
      <c r="FF35" s="17">
        <f>FE35*VLOOKUP('Données projet'!$B$16,Paramètres!$A$1:$I$89,3,0)*VLOOKUP('Données projet'!$B$16,Paramètres!$A$1:$I$89,5,0)</f>
        <v>90.52991999999999</v>
      </c>
      <c r="FG35" s="13">
        <f t="shared" si="47"/>
        <v>24.69298523706777</v>
      </c>
      <c r="FH35" s="20">
        <f t="shared" si="22"/>
        <v>200.67989328789301</v>
      </c>
      <c r="FI35" s="59">
        <f t="shared" si="23"/>
        <v>494.01322662122629</v>
      </c>
      <c r="FJ35" s="59">
        <f ca="1">AVERAGE(OFFSET($FI$3,0,0,'Données projet'!$E$16+1,1))-AVERAGE(OFFSET($H$3,0,0,'Données projet'!$E$16+1,1))</f>
        <v>196.95467273423861</v>
      </c>
      <c r="FK35" s="59">
        <f t="shared" si="48"/>
        <v>173.8709326829258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10.8</v>
      </c>
      <c r="FZ35" s="12">
        <f>IF('Données projet'!$A$244&gt;35,FZ34+FY35-GH34,IF(A35&lt;'Données projet'!$A$244,$FW$205^A35,IF(A35='Données projet'!$A$244,'Données projet'!$B$244,FZ34+FY35-GH34)))</f>
        <v>111.59999999999998</v>
      </c>
      <c r="GA35" s="17">
        <f>FZ35*VLOOKUP('Données projet'!$B$17,Paramètres!$A$1:$I$89,3,0)*VLOOKUP('Données projet'!$B$17,Paramètres!$A$1:$I$89,5,0)</f>
        <v>120.12623999999997</v>
      </c>
      <c r="GB35" s="13">
        <f t="shared" si="49"/>
        <v>31.704440899018444</v>
      </c>
      <c r="GC35" s="20">
        <f t="shared" si="25"/>
        <v>264.4384358991237</v>
      </c>
      <c r="GD35" s="59">
        <f t="shared" si="26"/>
        <v>557.77176923245702</v>
      </c>
      <c r="GE35" s="59">
        <f ca="1">AVERAGE(OFFSET($GD$3,0,0,'Données projet'!$E$17+1,1))-AVERAGE(OFFSET($H$3,0,0,'Données projet'!$E$17+1,1))</f>
        <v>275.5229427552884</v>
      </c>
      <c r="GF35" s="59">
        <f t="shared" si="50"/>
        <v>241.20234081716143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22.884615384615376</v>
      </c>
      <c r="N36" s="13">
        <f>IF('Données projet'!$A$36&gt;35,N35+M36-V35,IF(A36&lt;'Données projet'!$A$36,$K$205^A36,IF(A36='Données projet'!$A$36,'Données projet'!$B$36,N35+M36-V35)))</f>
        <v>334.85384615384595</v>
      </c>
      <c r="O36" s="13">
        <f>N36*VLOOKUP('Données projet'!$B$9,Paramètres!$A$1:$I$89,3,0)*VLOOKUP('Données projet'!$B$9,Paramètres!$A$1:$I$89,5,0)</f>
        <v>187.18329999999989</v>
      </c>
      <c r="P36" s="13">
        <f t="shared" si="33"/>
        <v>46.91668019244311</v>
      </c>
      <c r="Q36" s="20">
        <f t="shared" si="53"/>
        <v>407.72413216850492</v>
      </c>
      <c r="R36" s="59">
        <f t="shared" si="0"/>
        <v>701.05746550183824</v>
      </c>
      <c r="S36" s="59">
        <f ca="1">AVERAGE(OFFSET($R$3,0,0,'Données projet'!$E$9+1,1))-AVERAGE(OFFSET($H$3,0,0,'Données projet'!$E$9+1,1))</f>
        <v>274.57619581652199</v>
      </c>
      <c r="T36" s="59">
        <f t="shared" si="34"/>
        <v>366.15117322598775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5.0476845645971284</v>
      </c>
      <c r="AA36" s="21">
        <f>EXP(-LN(2)/25)*AA35+(1-EXP(-LN(2)/25))/(LN(2)/25)*Calculateur!V36*Calculateur!X36*VLOOKUP('Données projet'!$B$9,Paramètres!$A$1:$I$89,3,0)*0.475*44/12</f>
        <v>18.93494424528463</v>
      </c>
      <c r="AB36" s="21">
        <f>EXP(-LN(2)/2)*AB35+(1-EXP(-LN(2)/2))/(LN(2)/2)*V36*Y36*VLOOKUP('Données projet'!$B$9,Paramètres!$A$1:$I$89,3,0)*0.475*44/12</f>
        <v>3.3938524287020568</v>
      </c>
      <c r="AC36" s="22">
        <f t="shared" si="3"/>
        <v>27.376481238583818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12.833333333333334</v>
      </c>
      <c r="AI36" s="13">
        <f>IF('Données projet'!$A$62&gt;35,AI35+AH36-AQ35,IF(A36&lt;'Données projet'!$A$62,$AF$205^A36,IF(A36='Données projet'!$A$62,'Données projet'!$B$62,AI35+AH36-AQ35)))</f>
        <v>209.49999999999997</v>
      </c>
      <c r="AJ36" s="13">
        <f>AI36*VLOOKUP('Données projet'!$B$10,Paramètres!$A$1:$I$89,3,0)*VLOOKUP('Données projet'!$B$10,Paramètres!$A$1:$I$89,5,0)</f>
        <v>130.72799999999998</v>
      </c>
      <c r="AK36" s="13">
        <f t="shared" si="35"/>
        <v>34.164524045585857</v>
      </c>
      <c r="AL36" s="20">
        <f t="shared" si="4"/>
        <v>287.18781271272866</v>
      </c>
      <c r="AM36" s="59">
        <f t="shared" si="5"/>
        <v>580.52114604606197</v>
      </c>
      <c r="AN36" s="59">
        <f ca="1">AVERAGE(OFFSET($AM$3,0,0,'Données projet'!$E$10+1,1))-AVERAGE(OFFSET($H$3,0,0,'Données projet'!$E$10+1,1))</f>
        <v>175.05987582828078</v>
      </c>
      <c r="AO36" s="59">
        <f t="shared" si="36"/>
        <v>268.54782308462387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25.799740411929708</v>
      </c>
      <c r="AV36" s="21">
        <f>EXP(-LN(2)/25)*AV35+(1-EXP(-LN(2)/25))/(LN(2)/25)*Calculateur!AQ36*Calculateur!AS36*VLOOKUP('Données projet'!$B$10,Paramètres!$A$1:$I$89,3,0)*0.475*44/12</f>
        <v>14.751208074321582</v>
      </c>
      <c r="AW36" s="21">
        <f>EXP(-LN(2)/2)*AW35+(1-EXP(-LN(2)/2))/(LN(2)/2)*AQ36*AT36*VLOOKUP('Données projet'!$B$10,Paramètres!$A$1:$I$89,3,0)*0.475*44/12</f>
        <v>2.0276910530705652</v>
      </c>
      <c r="AX36" s="21">
        <f t="shared" si="6"/>
        <v>42.578639539321848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10.000000000000004</v>
      </c>
      <c r="BD36" s="12">
        <f>IF('Données projet'!$A$88&gt;35,BD35+BC36-BL35,IF(A36&lt;'Données projet'!$A$88,$BA$205^A36,IF(A36='Données projet'!$A$88,'Données projet'!$B$88,BD35+BC36-BL35)))</f>
        <v>204.71999999999989</v>
      </c>
      <c r="BE36" s="13">
        <f>BD36*VLOOKUP('Données projet'!$B$11,Paramètres!$A$1:$I$89,3,0)*VLOOKUP('Données projet'!$B$11,Paramètres!$A$1:$I$89,5,0)</f>
        <v>95.808959999999956</v>
      </c>
      <c r="BF36" s="13">
        <f t="shared" si="37"/>
        <v>25.961065790164401</v>
      </c>
      <c r="BG36" s="20">
        <f t="shared" si="7"/>
        <v>212.08279491786956</v>
      </c>
      <c r="BH36" s="59">
        <f t="shared" si="8"/>
        <v>505.41612825120285</v>
      </c>
      <c r="BI36" s="59">
        <f ca="1">AVERAGE(OFFSET($BH$3,0,0,'Données projet'!$E$11+1,1))-AVERAGE(OFFSET($H$3,0,0,'Données projet'!$E$11+1,1))</f>
        <v>252.70779718608964</v>
      </c>
      <c r="BJ36" s="59">
        <f t="shared" si="38"/>
        <v>187.86969111712705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9.8381852891589556</v>
      </c>
      <c r="BQ36" s="21">
        <f>EXP(-LN(2)/25)*BQ35+(1-EXP(-LN(2)/25))/(LN(2)/25)*Calculateur!BL36*Calculateur!BN36*VLOOKUP('Données projet'!$B$11,Paramètres!$A$1:$I$89,3,0)*0.475*44/12</f>
        <v>6.4938670808571102</v>
      </c>
      <c r="BR36" s="21">
        <f>EXP(-LN(2)/2)*BR35+(1-EXP(-LN(2)/2))/(LN(2)/2)*BL36*BO36*VLOOKUP('Données projet'!$B$11,Paramètres!$A$1:$I$89,3,0)*0.475*44/12</f>
        <v>1.1615724427842828</v>
      </c>
      <c r="BS36" s="22">
        <f t="shared" si="9"/>
        <v>17.493624812800348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19.399999999999999</v>
      </c>
      <c r="BY36" s="12">
        <f>IF('Données projet'!$A$114&gt;35,BY35+BX36-CG35,IF(A36&lt;'Données projet'!$A$114,$BV$205^A36,IF(A36='Données projet'!$A$114,'Données projet'!$B$114,BY35+BX36-CG35)))</f>
        <v>260.2</v>
      </c>
      <c r="BZ36" s="13">
        <f>BY36*VLOOKUP('Données projet'!$B$12,Paramètres!$A$1:$I$89,3,0)*VLOOKUP('Données projet'!$B$12,Paramètres!$A$1:$I$89,5,0)</f>
        <v>155.59960000000001</v>
      </c>
      <c r="CA36" s="13">
        <f t="shared" si="39"/>
        <v>39.848387726833757</v>
      </c>
      <c r="CB36" s="20">
        <f t="shared" si="10"/>
        <v>340.40524529090209</v>
      </c>
      <c r="CC36" s="59">
        <f t="shared" si="11"/>
        <v>633.7385786242354</v>
      </c>
      <c r="CD36" s="59">
        <f ca="1">AVERAGE(OFFSET($CC$3,0,0,'Données projet'!$E$12+1,1))-AVERAGE(OFFSET($H$3,0,0,'Données projet'!$E$12+1,1))</f>
        <v>279.86432710889352</v>
      </c>
      <c r="CE36" s="59">
        <f t="shared" si="40"/>
        <v>297.01680128882509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21.038877997475019</v>
      </c>
      <c r="CM36" s="21">
        <f>EXP(-LN(2)/2)*CM35+(1-EXP(-LN(2)/2))/(LN(2)/2)*CG36*CJ36*VLOOKUP('Données projet'!$B$12,Paramètres!$A$1:$I$89,3,0)*0.475*44/12</f>
        <v>5.8407745559313735</v>
      </c>
      <c r="CN36" s="22">
        <f t="shared" si="12"/>
        <v>26.879652553406395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15.2</v>
      </c>
      <c r="CT36" s="12">
        <f>IF('Données projet'!$A$140&gt;35,CT35+CS36-DB35,IF(A36&lt;'Données projet'!$A$140,$CQ$205^A36,IF(A36='Données projet'!$A$140,'Données projet'!$B$140,CT35+CS36-DB35)))</f>
        <v>196.6</v>
      </c>
      <c r="CU36" s="17">
        <f>CT36*VLOOKUP('Données projet'!$B$13,Paramètres!$A$1:$I$89,3,0)*VLOOKUP('Données projet'!$B$13,Paramètres!$A$1:$I$89,5,0)</f>
        <v>156.41496000000001</v>
      </c>
      <c r="CV36" s="13">
        <f t="shared" si="41"/>
        <v>40.032836247330962</v>
      </c>
      <c r="CW36" s="20">
        <f t="shared" si="13"/>
        <v>342.14657846410142</v>
      </c>
      <c r="CX36" s="59">
        <f t="shared" si="14"/>
        <v>635.47991179743474</v>
      </c>
      <c r="CY36" s="59">
        <f ca="1">AVERAGE(OFFSET($CX$3,0,0,'Données projet'!$E$13+1,1))-AVERAGE(OFFSET($H$3,0,0,'Données projet'!$E$13+1,1))</f>
        <v>314.6300257056194</v>
      </c>
      <c r="CZ36" s="59">
        <f t="shared" si="42"/>
        <v>298.00555477466668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15.2</v>
      </c>
      <c r="DO36" s="12">
        <f>IF('Données projet'!$A$166&gt;35,DO35+DN36-DW35,IF(A36&lt;'Données projet'!$A$166,$DL$205^A36,IF(A36='Données projet'!$A$166,'Données projet'!$B$166,DO35+DN36-DW35)))</f>
        <v>196.6</v>
      </c>
      <c r="DP36" s="17">
        <f>DO36*VLOOKUP('Données projet'!$B$14,Paramètres!$A$1:$I$89,3,0)*VLOOKUP('Données projet'!$B$14,Paramètres!$A$1:$I$89,5,0)</f>
        <v>156.41496000000001</v>
      </c>
      <c r="DQ36" s="13">
        <f t="shared" si="43"/>
        <v>40.032836247330962</v>
      </c>
      <c r="DR36" s="20">
        <f t="shared" si="16"/>
        <v>342.14657846410142</v>
      </c>
      <c r="DS36" s="59">
        <f t="shared" si="17"/>
        <v>635.47991179743474</v>
      </c>
      <c r="DT36" s="59">
        <f ca="1">AVERAGE(OFFSET($DS$3,0,0,'Données projet'!$E$14+1,1))-AVERAGE(OFFSET($H$3,0,0,'Données projet'!$E$14+1,1))</f>
        <v>314.6300257056194</v>
      </c>
      <c r="DU36" s="59">
        <f t="shared" si="44"/>
        <v>298.00555477466668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13.410256410256407</v>
      </c>
      <c r="EJ36" s="12">
        <f>IF('Données projet'!$A$192&gt;35,EJ35+EI36-ER35,IF(A36&lt;'Données projet'!$A$192,$EG$205^A36,IF(A36='Données projet'!$A$192,'Données projet'!$B$192,EJ35+EI36-ER35)))</f>
        <v>182.6</v>
      </c>
      <c r="EK36" s="17">
        <f>EJ36*VLOOKUP('Données projet'!$B$15,Paramètres!$A$1:$I$89,3,0)*VLOOKUP('Données projet'!$B$15,Paramètres!$A$1:$I$89,5,0)</f>
        <v>87.830600000000004</v>
      </c>
      <c r="EL36" s="13">
        <f t="shared" si="45"/>
        <v>24.041277287707853</v>
      </c>
      <c r="EM36" s="20">
        <f t="shared" si="19"/>
        <v>194.84351960942453</v>
      </c>
      <c r="EN36" s="59">
        <f t="shared" si="20"/>
        <v>488.17685294275782</v>
      </c>
      <c r="EO36" s="59">
        <f ca="1">AVERAGE(OFFSET($EN$3,0,0,'Données projet'!$E$15+1,1))-AVERAGE(OFFSET($H$3,0,0,'Données projet'!$E$15+1,1))</f>
        <v>238.83604534181978</v>
      </c>
      <c r="EP36" s="59">
        <f t="shared" si="46"/>
        <v>114.85152559837792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10.8</v>
      </c>
      <c r="FE36" s="12">
        <f>IF('Données projet'!$A$218&gt;35,FE35+FD36-FM35,IF(A36&lt;'Données projet'!$A$218,$FB$205^A36,IF(A36='Données projet'!$A$218,'Données projet'!$B$218,FE35+FD36-FM35)))</f>
        <v>122.39999999999998</v>
      </c>
      <c r="FF36" s="17">
        <f>FE36*VLOOKUP('Données projet'!$B$16,Paramètres!$A$1:$I$89,3,0)*VLOOKUP('Données projet'!$B$16,Paramètres!$A$1:$I$89,5,0)</f>
        <v>99.290879999999987</v>
      </c>
      <c r="FG36" s="13">
        <f t="shared" si="47"/>
        <v>26.792989580133234</v>
      </c>
      <c r="FH36" s="20">
        <f t="shared" si="22"/>
        <v>219.59607285206536</v>
      </c>
      <c r="FI36" s="59">
        <f t="shared" si="23"/>
        <v>512.92940618539865</v>
      </c>
      <c r="FJ36" s="59">
        <f ca="1">AVERAGE(OFFSET($FI$3,0,0,'Données projet'!$E$16+1,1))-AVERAGE(OFFSET($H$3,0,0,'Données projet'!$E$16+1,1))</f>
        <v>196.95467273423861</v>
      </c>
      <c r="FK36" s="59">
        <f t="shared" si="48"/>
        <v>173.8709326829258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10.8</v>
      </c>
      <c r="FZ36" s="12">
        <f>IF('Données projet'!$A$244&gt;35,FZ35+FY36-GH35,IF(A36&lt;'Données projet'!$A$244,$FW$205^A36,IF(A36='Données projet'!$A$244,'Données projet'!$B$244,FZ35+FY36-GH35)))</f>
        <v>122.39999999999998</v>
      </c>
      <c r="GA36" s="17">
        <f>FZ36*VLOOKUP('Données projet'!$B$17,Paramètres!$A$1:$I$89,3,0)*VLOOKUP('Données projet'!$B$17,Paramètres!$A$1:$I$89,5,0)</f>
        <v>131.75135999999998</v>
      </c>
      <c r="GB36" s="13">
        <f t="shared" si="49"/>
        <v>34.400731482890627</v>
      </c>
      <c r="GC36" s="20">
        <f t="shared" si="25"/>
        <v>289.3815593327011</v>
      </c>
      <c r="GD36" s="59">
        <f t="shared" si="26"/>
        <v>582.71489266603442</v>
      </c>
      <c r="GE36" s="59">
        <f ca="1">AVERAGE(OFFSET($GD$3,0,0,'Données projet'!$E$17+1,1))-AVERAGE(OFFSET($H$3,0,0,'Données projet'!$E$17+1,1))</f>
        <v>275.5229427552884</v>
      </c>
      <c r="GF36" s="59">
        <f t="shared" si="50"/>
        <v>241.20234081716143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22.884615384615376</v>
      </c>
      <c r="N37" s="13">
        <f>IF('Données projet'!$A$36&gt;35,N36+M37-V36,IF(A37&lt;'Données projet'!$A$36,$K$205^A37,IF(A37='Données projet'!$A$36,'Données projet'!$B$36,N36+M37-V36)))</f>
        <v>357.73846153846131</v>
      </c>
      <c r="O37" s="13">
        <f>N37*VLOOKUP('Données projet'!$B$9,Paramètres!$A$1:$I$89,3,0)*VLOOKUP('Données projet'!$B$9,Paramètres!$A$1:$I$89,5,0)</f>
        <v>199.97579999999988</v>
      </c>
      <c r="P37" s="13">
        <f t="shared" si="33"/>
        <v>49.738849260389202</v>
      </c>
      <c r="Q37" s="20">
        <f t="shared" si="53"/>
        <v>434.91968079517761</v>
      </c>
      <c r="R37" s="59">
        <f t="shared" si="0"/>
        <v>728.25301412851093</v>
      </c>
      <c r="S37" s="59">
        <f ca="1">AVERAGE(OFFSET($R$3,0,0,'Données projet'!$E$9+1,1))-AVERAGE(OFFSET($H$3,0,0,'Données projet'!$E$9+1,1))</f>
        <v>274.57619581652199</v>
      </c>
      <c r="T37" s="59">
        <f t="shared" si="34"/>
        <v>366.15117322598775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4.9487025490689582</v>
      </c>
      <c r="AA37" s="21">
        <f>EXP(-LN(2)/25)*AA36+(1-EXP(-LN(2)/25))/(LN(2)/25)*Calculateur!V37*Calculateur!X37*VLOOKUP('Données projet'!$B$9,Paramètres!$A$1:$I$89,3,0)*0.475*44/12</f>
        <v>18.41716719915188</v>
      </c>
      <c r="AB37" s="21">
        <f>EXP(-LN(2)/2)*AB36+(1-EXP(-LN(2)/2))/(LN(2)/2)*V37*Y37*VLOOKUP('Données projet'!$B$9,Paramètres!$A$1:$I$89,3,0)*0.475*44/12</f>
        <v>2.3998160666816584</v>
      </c>
      <c r="AC37" s="22">
        <f t="shared" si="3"/>
        <v>25.765685814902497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12.833333333333334</v>
      </c>
      <c r="AI37" s="13">
        <f>IF('Données projet'!$A$62&gt;35,AI36+AH37-AQ36,IF(A37&lt;'Données projet'!$A$62,$AF$205^A37,IF(A37='Données projet'!$A$62,'Données projet'!$B$62,AI36+AH37-AQ36)))</f>
        <v>222.33333333333331</v>
      </c>
      <c r="AJ37" s="13">
        <f>AI37*VLOOKUP('Données projet'!$B$10,Paramètres!$A$1:$I$89,3,0)*VLOOKUP('Données projet'!$B$10,Paramètres!$A$1:$I$89,5,0)</f>
        <v>138.73599999999999</v>
      </c>
      <c r="AK37" s="13">
        <f t="shared" si="35"/>
        <v>36.007288175538044</v>
      </c>
      <c r="AL37" s="20">
        <f t="shared" si="4"/>
        <v>304.34456023906205</v>
      </c>
      <c r="AM37" s="59">
        <f t="shared" si="5"/>
        <v>597.67789357239531</v>
      </c>
      <c r="AN37" s="59">
        <f ca="1">AVERAGE(OFFSET($AM$3,0,0,'Données projet'!$E$10+1,1))-AVERAGE(OFFSET($H$3,0,0,'Données projet'!$E$10+1,1))</f>
        <v>175.05987582828078</v>
      </c>
      <c r="AO37" s="59">
        <f t="shared" si="36"/>
        <v>268.54782308462387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25.293823238739588</v>
      </c>
      <c r="AV37" s="21">
        <f>EXP(-LN(2)/25)*AV36+(1-EXP(-LN(2)/25))/(LN(2)/25)*Calculateur!AQ37*Calculateur!AS37*VLOOKUP('Données projet'!$B$10,Paramètres!$A$1:$I$89,3,0)*0.475*44/12</f>
        <v>14.347835513796939</v>
      </c>
      <c r="AW37" s="21">
        <f>EXP(-LN(2)/2)*AW36+(1-EXP(-LN(2)/2))/(LN(2)/2)*AQ37*AT37*VLOOKUP('Données projet'!$B$10,Paramètres!$A$1:$I$89,3,0)*0.475*44/12</f>
        <v>1.4337940937774885</v>
      </c>
      <c r="AX37" s="21">
        <f t="shared" si="6"/>
        <v>41.075452846314015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10.000000000000004</v>
      </c>
      <c r="BD37" s="12">
        <f>IF('Données projet'!$A$88&gt;35,BD36+BC37-BL36,IF(A37&lt;'Données projet'!$A$88,$BA$205^A37,IF(A37='Données projet'!$A$88,'Données projet'!$B$88,BD36+BC37-BL36)))</f>
        <v>214.71999999999989</v>
      </c>
      <c r="BE37" s="13">
        <f>BD37*VLOOKUP('Données projet'!$B$11,Paramètres!$A$1:$I$89,3,0)*VLOOKUP('Données projet'!$B$11,Paramètres!$A$1:$I$89,5,0)</f>
        <v>100.48895999999995</v>
      </c>
      <c r="BF37" s="13">
        <f t="shared" si="37"/>
        <v>27.078452436386655</v>
      </c>
      <c r="BG37" s="20">
        <f t="shared" si="7"/>
        <v>222.17990999337334</v>
      </c>
      <c r="BH37" s="59">
        <f t="shared" si="8"/>
        <v>515.51324332670663</v>
      </c>
      <c r="BI37" s="59">
        <f ca="1">AVERAGE(OFFSET($BH$3,0,0,'Données projet'!$E$11+1,1))-AVERAGE(OFFSET($H$3,0,0,'Données projet'!$E$11+1,1))</f>
        <v>252.70779718608964</v>
      </c>
      <c r="BJ37" s="59">
        <f t="shared" si="38"/>
        <v>187.86969111712705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9.6452644763390545</v>
      </c>
      <c r="BQ37" s="21">
        <f>EXP(-LN(2)/25)*BQ36+(1-EXP(-LN(2)/25))/(LN(2)/25)*Calculateur!BL37*Calculateur!BN37*VLOOKUP('Données projet'!$B$11,Paramètres!$A$1:$I$89,3,0)*0.475*44/12</f>
        <v>6.3162919440334448</v>
      </c>
      <c r="BR37" s="21">
        <f>EXP(-LN(2)/2)*BR36+(1-EXP(-LN(2)/2))/(LN(2)/2)*BL37*BO37*VLOOKUP('Données projet'!$B$11,Paramètres!$A$1:$I$89,3,0)*0.475*44/12</f>
        <v>0.82135575113218939</v>
      </c>
      <c r="BS37" s="22">
        <f t="shared" si="9"/>
        <v>16.782912171504687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19.399999999999999</v>
      </c>
      <c r="BY37" s="12">
        <f>IF('Données projet'!$A$114&gt;35,BY36+BX37-CG36,IF(A37&lt;'Données projet'!$A$114,$BV$205^A37,IF(A37='Données projet'!$A$114,'Données projet'!$B$114,BY36+BX37-CG36)))</f>
        <v>279.59999999999997</v>
      </c>
      <c r="BZ37" s="13">
        <f>BY37*VLOOKUP('Données projet'!$B$12,Paramètres!$A$1:$I$89,3,0)*VLOOKUP('Données projet'!$B$12,Paramètres!$A$1:$I$89,5,0)</f>
        <v>167.20079999999999</v>
      </c>
      <c r="CA37" s="13">
        <f t="shared" si="39"/>
        <v>42.46249139494342</v>
      </c>
      <c r="CB37" s="20">
        <f t="shared" si="10"/>
        <v>365.16356584619308</v>
      </c>
      <c r="CC37" s="59">
        <f t="shared" si="11"/>
        <v>658.49689917952639</v>
      </c>
      <c r="CD37" s="59">
        <f ca="1">AVERAGE(OFFSET($CC$3,0,0,'Données projet'!$E$12+1,1))-AVERAGE(OFFSET($H$3,0,0,'Données projet'!$E$12+1,1))</f>
        <v>279.86432710889352</v>
      </c>
      <c r="CE37" s="59">
        <f t="shared" si="40"/>
        <v>297.01680128882509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20.463568772247555</v>
      </c>
      <c r="CM37" s="21">
        <f>EXP(-LN(2)/2)*CM36+(1-EXP(-LN(2)/2))/(LN(2)/2)*CG37*CJ37*VLOOKUP('Données projet'!$B$12,Paramètres!$A$1:$I$89,3,0)*0.475*44/12</f>
        <v>4.1300512958809206</v>
      </c>
      <c r="CN37" s="22">
        <f t="shared" si="12"/>
        <v>24.593620068128477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15.2</v>
      </c>
      <c r="CT37" s="12">
        <f>IF('Données projet'!$A$140&gt;35,CT36+CS37-DB36,IF(A37&lt;'Données projet'!$A$140,$CQ$205^A37,IF(A37='Données projet'!$A$140,'Données projet'!$B$140,CT36+CS37-DB36)))</f>
        <v>211.79999999999998</v>
      </c>
      <c r="CU37" s="17">
        <f>CT37*VLOOKUP('Données projet'!$B$13,Paramètres!$A$1:$I$89,3,0)*VLOOKUP('Données projet'!$B$13,Paramètres!$A$1:$I$89,5,0)</f>
        <v>168.50807999999998</v>
      </c>
      <c r="CV37" s="13">
        <f t="shared" si="41"/>
        <v>42.755711908378117</v>
      </c>
      <c r="CW37" s="20">
        <f t="shared" si="13"/>
        <v>367.95110424042514</v>
      </c>
      <c r="CX37" s="59">
        <f t="shared" si="14"/>
        <v>661.2844375737584</v>
      </c>
      <c r="CY37" s="59">
        <f ca="1">AVERAGE(OFFSET($CX$3,0,0,'Données projet'!$E$13+1,1))-AVERAGE(OFFSET($H$3,0,0,'Données projet'!$E$13+1,1))</f>
        <v>314.6300257056194</v>
      </c>
      <c r="CZ37" s="59">
        <f t="shared" si="42"/>
        <v>298.00555477466668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15.2</v>
      </c>
      <c r="DO37" s="12">
        <f>IF('Données projet'!$A$166&gt;35,DO36+DN37-DW36,IF(A37&lt;'Données projet'!$A$166,$DL$205^A37,IF(A37='Données projet'!$A$166,'Données projet'!$B$166,DO36+DN37-DW36)))</f>
        <v>211.79999999999998</v>
      </c>
      <c r="DP37" s="17">
        <f>DO37*VLOOKUP('Données projet'!$B$14,Paramètres!$A$1:$I$89,3,0)*VLOOKUP('Données projet'!$B$14,Paramètres!$A$1:$I$89,5,0)</f>
        <v>168.50807999999998</v>
      </c>
      <c r="DQ37" s="13">
        <f t="shared" si="43"/>
        <v>42.755711908378117</v>
      </c>
      <c r="DR37" s="20">
        <f t="shared" si="16"/>
        <v>367.95110424042514</v>
      </c>
      <c r="DS37" s="59">
        <f t="shared" si="17"/>
        <v>661.2844375737584</v>
      </c>
      <c r="DT37" s="59">
        <f ca="1">AVERAGE(OFFSET($DS$3,0,0,'Données projet'!$E$14+1,1))-AVERAGE(OFFSET($H$3,0,0,'Données projet'!$E$14+1,1))</f>
        <v>314.6300257056194</v>
      </c>
      <c r="DU37" s="59">
        <f t="shared" si="44"/>
        <v>298.00555477466668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13.410256410256407</v>
      </c>
      <c r="EJ37" s="12">
        <f>IF('Données projet'!$A$192&gt;35,EJ36+EI37-ER36,IF(A37&lt;'Données projet'!$A$192,$EG$205^A37,IF(A37='Données projet'!$A$192,'Données projet'!$B$192,EJ36+EI37-ER36)))</f>
        <v>196.0102564102564</v>
      </c>
      <c r="EK37" s="17">
        <f>EJ37*VLOOKUP('Données projet'!$B$15,Paramètres!$A$1:$I$89,3,0)*VLOOKUP('Données projet'!$B$15,Paramètres!$A$1:$I$89,5,0)</f>
        <v>94.280933333333323</v>
      </c>
      <c r="EL37" s="13">
        <f t="shared" si="45"/>
        <v>25.594874193348836</v>
      </c>
      <c r="EM37" s="20">
        <f t="shared" si="19"/>
        <v>208.78369810897141</v>
      </c>
      <c r="EN37" s="59">
        <f t="shared" si="20"/>
        <v>502.11703144230472</v>
      </c>
      <c r="EO37" s="59">
        <f ca="1">AVERAGE(OFFSET($EN$3,0,0,'Données projet'!$E$15+1,1))-AVERAGE(OFFSET($H$3,0,0,'Données projet'!$E$15+1,1))</f>
        <v>238.83604534181978</v>
      </c>
      <c r="EP37" s="59">
        <f t="shared" si="46"/>
        <v>114.85152559837792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10.8</v>
      </c>
      <c r="FE37" s="12">
        <f>IF('Données projet'!$A$218&gt;35,FE36+FD37-FM36,IF(A37&lt;'Données projet'!$A$218,$FB$205^A37,IF(A37='Données projet'!$A$218,'Données projet'!$B$218,FE36+FD37-FM36)))</f>
        <v>133.19999999999999</v>
      </c>
      <c r="FF37" s="17">
        <f>FE37*VLOOKUP('Données projet'!$B$16,Paramètres!$A$1:$I$89,3,0)*VLOOKUP('Données projet'!$B$16,Paramètres!$A$1:$I$89,5,0)</f>
        <v>108.05184</v>
      </c>
      <c r="FG37" s="13">
        <f t="shared" si="47"/>
        <v>28.871506616044705</v>
      </c>
      <c r="FH37" s="20">
        <f t="shared" si="22"/>
        <v>238.47482868961117</v>
      </c>
      <c r="FI37" s="59">
        <f t="shared" si="23"/>
        <v>531.80816202294454</v>
      </c>
      <c r="FJ37" s="59">
        <f ca="1">AVERAGE(OFFSET($FI$3,0,0,'Données projet'!$E$16+1,1))-AVERAGE(OFFSET($H$3,0,0,'Données projet'!$E$16+1,1))</f>
        <v>196.95467273423861</v>
      </c>
      <c r="FK37" s="59">
        <f t="shared" si="48"/>
        <v>173.8709326829258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10.8</v>
      </c>
      <c r="FZ37" s="12">
        <f>IF('Données projet'!$A$244&gt;35,FZ36+FY37-GH36,IF(A37&lt;'Données projet'!$A$244,$FW$205^A37,IF(A37='Données projet'!$A$244,'Données projet'!$B$244,FZ36+FY37-GH36)))</f>
        <v>133.19999999999999</v>
      </c>
      <c r="GA37" s="17">
        <f>FZ37*VLOOKUP('Données projet'!$B$17,Paramètres!$A$1:$I$89,3,0)*VLOOKUP('Données projet'!$B$17,Paramètres!$A$1:$I$89,5,0)</f>
        <v>143.37647999999999</v>
      </c>
      <c r="GB37" s="13">
        <f t="shared" si="49"/>
        <v>37.069433540985031</v>
      </c>
      <c r="GC37" s="20">
        <f t="shared" si="25"/>
        <v>314.27663275054891</v>
      </c>
      <c r="GD37" s="59">
        <f t="shared" si="26"/>
        <v>607.60996608388223</v>
      </c>
      <c r="GE37" s="59">
        <f ca="1">AVERAGE(OFFSET($GD$3,0,0,'Données projet'!$E$17+1,1))-AVERAGE(OFFSET($H$3,0,0,'Données projet'!$E$17+1,1))</f>
        <v>275.5229427552884</v>
      </c>
      <c r="GF37" s="59">
        <f t="shared" si="50"/>
        <v>241.20234081716143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22.884615384615376</v>
      </c>
      <c r="N38" s="13">
        <f>IF('Données projet'!$A$36&gt;35,N37+M38-V37,IF(A38&lt;'Données projet'!$A$36,$K$205^A38,IF(A38='Données projet'!$A$36,'Données projet'!$B$36,N37+M38-V37)))</f>
        <v>380.62307692307667</v>
      </c>
      <c r="O38" s="13">
        <f>N38*VLOOKUP('Données projet'!$B$9,Paramètres!$A$1:$I$89,3,0)*VLOOKUP('Données projet'!$B$9,Paramètres!$A$1:$I$89,5,0)</f>
        <v>212.76829999999987</v>
      </c>
      <c r="P38" s="13">
        <f t="shared" si="33"/>
        <v>52.540067037520458</v>
      </c>
      <c r="Q38" s="20">
        <f t="shared" si="53"/>
        <v>462.07873925701455</v>
      </c>
      <c r="R38" s="59">
        <f t="shared" si="0"/>
        <v>755.41207259034786</v>
      </c>
      <c r="S38" s="59">
        <f ca="1">AVERAGE(OFFSET($R$3,0,0,'Données projet'!$E$9+1,1))-AVERAGE(OFFSET($H$3,0,0,'Données projet'!$E$9+1,1))</f>
        <v>274.57619581652199</v>
      </c>
      <c r="T38" s="59">
        <f t="shared" si="34"/>
        <v>366.15117322598775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4.851661510492228</v>
      </c>
      <c r="AA38" s="21">
        <f>EXP(-LN(2)/25)*AA37+(1-EXP(-LN(2)/25))/(LN(2)/25)*Calculateur!V38*Calculateur!X38*VLOOKUP('Données projet'!$B$9,Paramètres!$A$1:$I$89,3,0)*0.475*44/12</f>
        <v>17.913548793574343</v>
      </c>
      <c r="AB38" s="21">
        <f>EXP(-LN(2)/2)*AB37+(1-EXP(-LN(2)/2))/(LN(2)/2)*V38*Y38*VLOOKUP('Données projet'!$B$9,Paramètres!$A$1:$I$89,3,0)*0.475*44/12</f>
        <v>1.6969262143510286</v>
      </c>
      <c r="AC38" s="22">
        <f t="shared" si="3"/>
        <v>24.462136518417598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235.16666666666666</v>
      </c>
      <c r="AJ38" s="13">
        <f>AI38*VLOOKUP('Données projet'!$B$10,Paramètres!$A$1:$I$89,3,0)*VLOOKUP('Données projet'!$B$10,Paramètres!$A$1:$I$89,5,0)</f>
        <v>146.744</v>
      </c>
      <c r="AK38" s="13">
        <f t="shared" si="35"/>
        <v>37.837705514258651</v>
      </c>
      <c r="AL38" s="20">
        <f t="shared" si="4"/>
        <v>321.47980377066716</v>
      </c>
      <c r="AM38" s="59">
        <f t="shared" si="5"/>
        <v>614.81313710400048</v>
      </c>
      <c r="AN38" s="59">
        <f ca="1">AVERAGE(OFFSET($AM$3,0,0,'Données projet'!$E$10+1,1))-AVERAGE(OFFSET($H$3,0,0,'Données projet'!$E$10+1,1))</f>
        <v>175.05987582828078</v>
      </c>
      <c r="AO38" s="59">
        <f t="shared" si="36"/>
        <v>268.54782308462387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24.797826792736721</v>
      </c>
      <c r="AV38" s="21">
        <f>EXP(-LN(2)/25)*AV37+(1-EXP(-LN(2)/25))/(LN(2)/25)*Calculateur!AQ38*Calculateur!AS38*VLOOKUP('Données projet'!$B$10,Paramètres!$A$1:$I$89,3,0)*0.475*44/12</f>
        <v>13.955493197152284</v>
      </c>
      <c r="AW38" s="21">
        <f>EXP(-LN(2)/2)*AW37+(1-EXP(-LN(2)/2))/(LN(2)/2)*AQ38*AT38*VLOOKUP('Données projet'!$B$10,Paramètres!$A$1:$I$89,3,0)*0.475*44/12</f>
        <v>1.0138455265352828</v>
      </c>
      <c r="AX38" s="21">
        <f t="shared" si="6"/>
        <v>39.767165516424292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10.000000000000004</v>
      </c>
      <c r="BD38" s="12">
        <f>IF('Données projet'!$A$88&gt;35,BD37+BC38-BL37,IF(A38&lt;'Données projet'!$A$88,$BA$205^A38,IF(A38='Données projet'!$A$88,'Données projet'!$B$88,BD37+BC38-BL37)))</f>
        <v>224.71999999999989</v>
      </c>
      <c r="BE38" s="13">
        <f>BD38*VLOOKUP('Données projet'!$B$11,Paramètres!$A$1:$I$89,3,0)*VLOOKUP('Données projet'!$B$11,Paramètres!$A$1:$I$89,5,0)</f>
        <v>105.16895999999994</v>
      </c>
      <c r="BF38" s="13">
        <f t="shared" si="37"/>
        <v>28.189795796797835</v>
      </c>
      <c r="BG38" s="20">
        <f t="shared" si="7"/>
        <v>232.26649967942276</v>
      </c>
      <c r="BH38" s="59">
        <f t="shared" si="8"/>
        <v>525.59983301275611</v>
      </c>
      <c r="BI38" s="59">
        <f ca="1">AVERAGE(OFFSET($BH$3,0,0,'Données projet'!$E$11+1,1))-AVERAGE(OFFSET($H$3,0,0,'Données projet'!$E$11+1,1))</f>
        <v>252.70779718608964</v>
      </c>
      <c r="BJ38" s="59">
        <f t="shared" si="38"/>
        <v>187.86969111712705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9.4561267229884756</v>
      </c>
      <c r="BQ38" s="21">
        <f>EXP(-LN(2)/25)*BQ37+(1-EXP(-LN(2)/25))/(LN(2)/25)*Calculateur!BL38*Calculateur!BN38*VLOOKUP('Données projet'!$B$11,Paramètres!$A$1:$I$89,3,0)*0.475*44/12</f>
        <v>6.1435726086644928</v>
      </c>
      <c r="BR38" s="21">
        <f>EXP(-LN(2)/2)*BR37+(1-EXP(-LN(2)/2))/(LN(2)/2)*BL38*BO38*VLOOKUP('Données projet'!$B$11,Paramètres!$A$1:$I$89,3,0)*0.475*44/12</f>
        <v>0.58078622139214142</v>
      </c>
      <c r="BS38" s="22">
        <f t="shared" si="9"/>
        <v>16.180485553045109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299</v>
      </c>
      <c r="BW38" s="12">
        <f>VLOOKUP(A38,'Données projet'!$A$113:$I$133,9,0)</f>
        <v>19.399999999999999</v>
      </c>
      <c r="BX38" s="12">
        <f t="array" ref="BX38">INDEX(BW:BW,MIN(IF(ISNUMBER(BW38:BW234),ROW(BW38:BW234),"")))</f>
        <v>19.399999999999999</v>
      </c>
      <c r="BY38" s="12">
        <f>IF('Données projet'!$A$114&gt;35,BY37+BX38-CG37,IF(A38&lt;'Données projet'!$A$114,$BV$205^A38,IF(A38='Données projet'!$A$114,'Données projet'!$B$114,BY37+BX38-CG37)))</f>
        <v>298.99999999999994</v>
      </c>
      <c r="BZ38" s="13">
        <f>BY38*VLOOKUP('Données projet'!$B$12,Paramètres!$A$1:$I$89,3,0)*VLOOKUP('Données projet'!$B$12,Paramètres!$A$1:$I$89,5,0)</f>
        <v>178.80199999999999</v>
      </c>
      <c r="CA38" s="13">
        <f t="shared" si="39"/>
        <v>45.055549739375941</v>
      </c>
      <c r="CB38" s="20">
        <f t="shared" si="10"/>
        <v>389.88523246274644</v>
      </c>
      <c r="CC38" s="59">
        <f t="shared" si="11"/>
        <v>683.2185657960797</v>
      </c>
      <c r="CD38" s="59">
        <f ca="1">AVERAGE(OFFSET($CC$3,0,0,'Données projet'!$E$12+1,1))-AVERAGE(OFFSET($H$3,0,0,'Données projet'!$E$12+1,1))</f>
        <v>279.86432710889352</v>
      </c>
      <c r="CE38" s="59">
        <f t="shared" si="40"/>
        <v>297.01680128882509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55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0.27</v>
      </c>
      <c r="CJ38" s="16">
        <f>IF(ISNA(VLOOKUP(A38,'Données projet'!$A$113:$I$133,7,0)),0%,VLOOKUP(A38,'Données projet'!$A$113:$I$133,7,0))</f>
        <v>0.4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31.637898249991821</v>
      </c>
      <c r="CM38" s="21">
        <f>EXP(-LN(2)/2)*CM37+(1-EXP(-LN(2)/2))/(LN(2)/2)*CG38*CJ38*VLOOKUP('Données projet'!$B$12,Paramètres!$A$1:$I$89,3,0)*0.475*44/12</f>
        <v>17.816035384223873</v>
      </c>
      <c r="CN38" s="22">
        <f t="shared" si="12"/>
        <v>49.453933634215694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239</v>
      </c>
      <c r="CR38" s="12">
        <f>VLOOKUP(A38,'Données projet'!$A$139:$I$159,9,0)</f>
        <v>15.2</v>
      </c>
      <c r="CS38" s="12">
        <f t="array" ref="CS38">INDEX(CR:CR,MIN(IF(ISNUMBER(CR38:CR234),ROW(CR38:CR234),"")))</f>
        <v>15.2</v>
      </c>
      <c r="CT38" s="12">
        <f>IF('Données projet'!$A$140&gt;35,CT37+CS38-DB37,IF(A38&lt;'Données projet'!$A$140,$CQ$205^A38,IF(A38='Données projet'!$A$140,'Données projet'!$B$140,CT37+CS38-DB37)))</f>
        <v>226.99999999999997</v>
      </c>
      <c r="CU38" s="17">
        <f>CT38*VLOOKUP('Données projet'!$B$13,Paramètres!$A$1:$I$89,3,0)*VLOOKUP('Données projet'!$B$13,Paramètres!$A$1:$I$89,5,0)</f>
        <v>180.60119999999998</v>
      </c>
      <c r="CV38" s="13">
        <f t="shared" si="41"/>
        <v>45.455916121824536</v>
      </c>
      <c r="CW38" s="20">
        <f t="shared" si="13"/>
        <v>393.71614391217764</v>
      </c>
      <c r="CX38" s="59">
        <f t="shared" si="14"/>
        <v>687.04947724551096</v>
      </c>
      <c r="CY38" s="59">
        <f ca="1">AVERAGE(OFFSET($CX$3,0,0,'Données projet'!$E$13+1,1))-AVERAGE(OFFSET($H$3,0,0,'Données projet'!$E$13+1,1))</f>
        <v>314.6300257056194</v>
      </c>
      <c r="CZ38" s="59">
        <f t="shared" si="42"/>
        <v>298.00555477466668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42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239</v>
      </c>
      <c r="DM38" s="12">
        <f>VLOOKUP(A38,'Données projet'!$A$165:$I$185,9,0)</f>
        <v>15.2</v>
      </c>
      <c r="DN38" s="12">
        <f t="array" ref="DN38">INDEX(DM:DM,MIN(IF(ISNUMBER(DM38:DM234),ROW(DM38:DM234),"")))</f>
        <v>15.2</v>
      </c>
      <c r="DO38" s="12">
        <f>IF('Données projet'!$A$166&gt;35,DO37+DN38-DW37,IF(A38&lt;'Données projet'!$A$166,$DL$205^A38,IF(A38='Données projet'!$A$166,'Données projet'!$B$166,DO37+DN38-DW37)))</f>
        <v>226.99999999999997</v>
      </c>
      <c r="DP38" s="17">
        <f>DO38*VLOOKUP('Données projet'!$B$14,Paramètres!$A$1:$I$89,3,0)*VLOOKUP('Données projet'!$B$14,Paramètres!$A$1:$I$89,5,0)</f>
        <v>180.60119999999998</v>
      </c>
      <c r="DQ38" s="13">
        <f t="shared" si="43"/>
        <v>45.455916121824536</v>
      </c>
      <c r="DR38" s="20">
        <f t="shared" si="16"/>
        <v>393.71614391217764</v>
      </c>
      <c r="DS38" s="59">
        <f t="shared" si="17"/>
        <v>687.04947724551096</v>
      </c>
      <c r="DT38" s="59">
        <f ca="1">AVERAGE(OFFSET($DS$3,0,0,'Données projet'!$E$14+1,1))-AVERAGE(OFFSET($H$3,0,0,'Données projet'!$E$14+1,1))</f>
        <v>314.6300257056194</v>
      </c>
      <c r="DU38" s="59">
        <f t="shared" si="44"/>
        <v>298.00555477466668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42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13.410256410256407</v>
      </c>
      <c r="EJ38" s="12">
        <f>IF('Données projet'!$A$192&gt;35,EJ37+EI38-ER37,IF(A38&lt;'Données projet'!$A$192,$EG$205^A38,IF(A38='Données projet'!$A$192,'Données projet'!$B$192,EJ37+EI38-ER37)))</f>
        <v>209.42051282051281</v>
      </c>
      <c r="EK38" s="17">
        <f>EJ38*VLOOKUP('Données projet'!$B$15,Paramètres!$A$1:$I$89,3,0)*VLOOKUP('Données projet'!$B$15,Paramètres!$A$1:$I$89,5,0)</f>
        <v>100.73126666666667</v>
      </c>
      <c r="EL38" s="13">
        <f t="shared" si="45"/>
        <v>27.136137803681017</v>
      </c>
      <c r="EM38" s="20">
        <f t="shared" si="19"/>
        <v>222.70239611918885</v>
      </c>
      <c r="EN38" s="59">
        <f t="shared" si="20"/>
        <v>516.03572945252222</v>
      </c>
      <c r="EO38" s="59">
        <f ca="1">AVERAGE(OFFSET($EN$3,0,0,'Données projet'!$E$15+1,1))-AVERAGE(OFFSET($H$3,0,0,'Données projet'!$E$15+1,1))</f>
        <v>238.83604534181978</v>
      </c>
      <c r="EP38" s="59">
        <f t="shared" si="46"/>
        <v>114.85152559837792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144</v>
      </c>
      <c r="FC38" s="12">
        <f>VLOOKUP(A38,'Données projet'!$A$217:$I$237,9,0)</f>
        <v>10.8</v>
      </c>
      <c r="FD38" s="12">
        <f t="array" ref="FD38">INDEX(FC:FC,MIN(IF(ISNUMBER(FC38:FC234),ROW(FC38:FC234),"")))</f>
        <v>10.8</v>
      </c>
      <c r="FE38" s="12">
        <f>IF('Données projet'!$A$218&gt;35,FE37+FD38-FM37,IF(A38&lt;'Données projet'!$A$218,$FB$205^A38,IF(A38='Données projet'!$A$218,'Données projet'!$B$218,FE37+FD38-FM37)))</f>
        <v>144</v>
      </c>
      <c r="FF38" s="17">
        <f>FE38*VLOOKUP('Données projet'!$B$16,Paramètres!$A$1:$I$89,3,0)*VLOOKUP('Données projet'!$B$16,Paramètres!$A$1:$I$89,5,0)</f>
        <v>116.8128</v>
      </c>
      <c r="FG38" s="13">
        <f t="shared" si="47"/>
        <v>30.930476631089483</v>
      </c>
      <c r="FH38" s="20">
        <f t="shared" si="22"/>
        <v>257.31954013248082</v>
      </c>
      <c r="FI38" s="59">
        <f t="shared" si="23"/>
        <v>550.65287346581408</v>
      </c>
      <c r="FJ38" s="59">
        <f ca="1">AVERAGE(OFFSET($FI$3,0,0,'Données projet'!$E$16+1,1))-AVERAGE(OFFSET($H$3,0,0,'Données projet'!$E$16+1,1))</f>
        <v>196.95467273423861</v>
      </c>
      <c r="FK38" s="59">
        <f t="shared" si="48"/>
        <v>173.8709326829258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28</v>
      </c>
      <c r="FN38" s="16">
        <f>IF(ISNA(VLOOKUP(A38,'Données projet'!$A$217:$I$237,5,0)),0%,VLOOKUP(A38,'Données projet'!$A$217:$I$237,5,0)*VLOOKUP('Données projet'!$B$16,Paramètres!$A$1:$I$89,7,0))</f>
        <v>0.129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0.4</v>
      </c>
      <c r="FQ38" s="21">
        <f>EXP(-LN(2)/35)*FQ37+(1-EXP(-LN(2)/35))/(LN(2)/35)*FM38*FN38*VLOOKUP('Données projet'!$B$16,Paramètres!$A$1:$I$89,3,0)*0.475*44/12</f>
        <v>3.2390883496201908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8.5723571710323778</v>
      </c>
      <c r="FT38" s="22">
        <f t="shared" si="24"/>
        <v>11.811445520652569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144</v>
      </c>
      <c r="FX38" s="12">
        <f>VLOOKUP(A38,'Données projet'!$A$243:$I$263,9,0)</f>
        <v>10.8</v>
      </c>
      <c r="FY38" s="12">
        <f t="array" ref="FY38">INDEX(FX:FX,MIN(IF(ISNUMBER(FX38:FX234),ROW(FX38:FX234),"")))</f>
        <v>10.8</v>
      </c>
      <c r="FZ38" s="12">
        <f>IF('Données projet'!$A$244&gt;35,FZ37+FY38-GH37,IF(A38&lt;'Données projet'!$A$244,$FW$205^A38,IF(A38='Données projet'!$A$244,'Données projet'!$B$244,FZ37+FY38-GH37)))</f>
        <v>144</v>
      </c>
      <c r="GA38" s="17">
        <f>FZ38*VLOOKUP('Données projet'!$B$17,Paramètres!$A$1:$I$89,3,0)*VLOOKUP('Données projet'!$B$17,Paramètres!$A$1:$I$89,5,0)</f>
        <v>155.0016</v>
      </c>
      <c r="GB38" s="13">
        <f t="shared" si="49"/>
        <v>39.713038294647887</v>
      </c>
      <c r="GC38" s="20">
        <f t="shared" si="25"/>
        <v>339.12799502984507</v>
      </c>
      <c r="GD38" s="59">
        <f t="shared" si="26"/>
        <v>632.46132836317838</v>
      </c>
      <c r="GE38" s="59">
        <f ca="1">AVERAGE(OFFSET($GD$3,0,0,'Données projet'!$E$17+1,1))-AVERAGE(OFFSET($H$3,0,0,'Données projet'!$E$17+1,1))</f>
        <v>275.5229427552884</v>
      </c>
      <c r="GF38" s="59">
        <f t="shared" si="50"/>
        <v>241.20234081716143</v>
      </c>
      <c r="GG38" s="15">
        <f>IF(ISNA(VLOOKUP(A38,'Données projet'!$A$243:$I$263,3,0)),0,VLOOKUP(A38,'Données projet'!$A$243:$I$263,3,0))</f>
        <v>4</v>
      </c>
      <c r="GH38" s="15">
        <f>IF(ISNA(VLOOKUP(A38,'Données projet'!$A$243:$I$263,4,0)),0,VLOOKUP(A38,'Données projet'!$A$243:$I$263,4,0))</f>
        <v>28</v>
      </c>
      <c r="GI38" s="16">
        <f>IF(ISNA(VLOOKUP(A38,'Données projet'!$A$243:$I$263,5,0)),0%,VLOOKUP(A38,'Données projet'!$A$243:$I$263,5,0)*VLOOKUP('Données projet'!$B$17,Paramètres!$A$1:$I$89,7,0))</f>
        <v>0.129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0.4</v>
      </c>
      <c r="GL38" s="21">
        <f>EXP(-LN(2)/35)*GL37+(1-EXP(-LN(2)/35))/(LN(2)/35)*GH38*GI38*VLOOKUP('Données projet'!$B$17,Paramètres!$A$1:$I$89,3,0)*0.475*44/12</f>
        <v>4.2980210793037132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11.374858553869885</v>
      </c>
      <c r="GO38" s="21">
        <f t="shared" si="27"/>
        <v>15.672879633173597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403.50769230769225</v>
      </c>
      <c r="L39" s="12">
        <f>VLOOKUP(A39,'Données projet'!$A$35:$I$55,9,0)</f>
        <v>22.884615384615376</v>
      </c>
      <c r="M39" s="12">
        <f t="array" ref="M39">INDEX(L:L,MIN(IF(ISNUMBER(L39:L235),ROW(L39:L235),"")))</f>
        <v>22.884615384615376</v>
      </c>
      <c r="N39" s="13">
        <f>IF('Données projet'!$A$36&gt;35,N38+M39-V38,IF(A39&lt;'Données projet'!$A$36,$K$205^A39,IF(A39='Données projet'!$A$36,'Données projet'!$B$36,N38+M39-V38)))</f>
        <v>403.50769230769203</v>
      </c>
      <c r="O39" s="13">
        <f>N39*VLOOKUP('Données projet'!$B$9,Paramètres!$A$1:$I$89,3,0)*VLOOKUP('Données projet'!$B$9,Paramètres!$A$1:$I$89,5,0)</f>
        <v>225.56079999999986</v>
      </c>
      <c r="P39" s="13">
        <f t="shared" si="33"/>
        <v>55.321736658663617</v>
      </c>
      <c r="Q39" s="20">
        <f t="shared" si="53"/>
        <v>489.20375134717227</v>
      </c>
      <c r="R39" s="59">
        <f t="shared" si="0"/>
        <v>782.53708468050559</v>
      </c>
      <c r="S39" s="59">
        <f ca="1">AVERAGE(OFFSET($R$3,0,0,'Données projet'!$E$9+1,1))-AVERAGE(OFFSET($H$3,0,0,'Données projet'!$E$9+1,1))</f>
        <v>274.57619581652199</v>
      </c>
      <c r="T39" s="59">
        <f t="shared" si="34"/>
        <v>366.15117322598775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 t="e">
        <f>IF(ISNA(VLOOKUP(A39,'Données projet'!$A$35:$I$55,5,0)),0%,VLOOKUP(A39,'Données projet'!$A$35:$I$55,5,0)*VLOOKUP('Données projet'!$B$9,Paramètres!$A$1:$I$89,7,0))</f>
        <v>#VALUE!</v>
      </c>
      <c r="X39" s="16" t="e">
        <f>IF(ISNA(VLOOKUP(A39,'Données projet'!$A$35:$I$55,6,0)),0%,VLOOKUP(A39,'Données projet'!$A$35:$I$55,6,0)*VLOOKUP('Données projet'!$B$9,Paramètres!$A$1:$I$89,7,0))</f>
        <v>#VALUE!</v>
      </c>
      <c r="Y39" s="16" t="str">
        <f>IF(ISNA(VLOOKUP(A39,'Données projet'!$A$35:$I$55,7,0)),0%,VLOOKUP(A39,'Données projet'!$A$35:$I$55,7,0))</f>
        <v/>
      </c>
      <c r="Z39" s="21" t="e">
        <f>EXP(-LN(2)/35)*Z38+(1-EXP(-LN(2)/35))/(LN(2)/35)*V39*W39*VLOOKUP('Données projet'!$B$9,Paramètres!$A$1:$I$89,3,0)*0.475*44/12</f>
        <v>#VALUE!</v>
      </c>
      <c r="AA39" s="21" t="e">
        <f>EXP(-LN(2)/25)*AA38+(1-EXP(-LN(2)/25))/(LN(2)/25)*Calculateur!V39*Calculateur!X39*VLOOKUP('Données projet'!$B$9,Paramètres!$A$1:$I$89,3,0)*0.475*44/12</f>
        <v>#VALUE!</v>
      </c>
      <c r="AB39" s="21" t="e">
        <f>EXP(-LN(2)/2)*AB38+(1-EXP(-LN(2)/2))/(LN(2)/2)*V39*Y39*VLOOKUP('Données projet'!$B$9,Paramètres!$A$1:$I$89,3,0)*0.475*44/12</f>
        <v>#VALUE!</v>
      </c>
      <c r="AC39" s="22" t="e">
        <f t="shared" si="3"/>
        <v>#VALUE!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248</v>
      </c>
      <c r="AG39" s="12">
        <f>VLOOKUP(A39,'Données projet'!$A$61:$I$81,9,0)</f>
        <v>12.833333333333334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248</v>
      </c>
      <c r="AJ39" s="13">
        <f>AI39*VLOOKUP('Données projet'!$B$10,Paramètres!$A$1:$I$89,3,0)*VLOOKUP('Données projet'!$B$10,Paramètres!$A$1:$I$89,5,0)</f>
        <v>154.75199999999998</v>
      </c>
      <c r="AK39" s="13">
        <f t="shared" si="35"/>
        <v>39.656526650076415</v>
      </c>
      <c r="AL39" s="20">
        <f t="shared" si="4"/>
        <v>338.5948505822164</v>
      </c>
      <c r="AM39" s="59">
        <f t="shared" si="5"/>
        <v>631.92818391554965</v>
      </c>
      <c r="AN39" s="59">
        <f ca="1">AVERAGE(OFFSET($AM$3,0,0,'Données projet'!$E$10+1,1))-AVERAGE(OFFSET($H$3,0,0,'Données projet'!$E$10+1,1))</f>
        <v>175.05987582828078</v>
      </c>
      <c r="AO39" s="59">
        <f t="shared" si="36"/>
        <v>268.54782308462387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62</v>
      </c>
      <c r="AR39" s="16">
        <f>IF(ISNA(VLOOKUP(A39,'Données projet'!$A$61:$I$81,5,0)),0%,VLOOKUP(A39,'Données projet'!$A$61:$I$81,5,0)*VLOOKUP('Données projet'!$B$10,Paramètres!$A$1:$I$89,7,0))</f>
        <v>0.42</v>
      </c>
      <c r="AS39" s="16">
        <f>IF(ISNA(VLOOKUP(A39,'Données projet'!$A$61:$I$81,6,0)),0%,VLOOKUP(A39,'Données projet'!$A$61:$I$81,6,0)*VLOOKUP('Données projet'!$B$10,Paramètres!$A$1:$I$89,7,0))</f>
        <v>0.1008</v>
      </c>
      <c r="AT39" s="16">
        <f>IF(ISNA(VLOOKUP(A39,'Données projet'!$A$61:$I$81,7,0)),0%,VLOOKUP(A39,'Données projet'!$A$61:$I$81,7,0))</f>
        <v>0.13200000000000001</v>
      </c>
      <c r="AU39" s="21">
        <f>EXP(-LN(2)/35)*AU38+(1-EXP(-LN(2)/35))/(LN(2)/35)*AQ39*AR39*VLOOKUP('Données projet'!$B$10,Paramètres!$A$1:$I$89,3,0)*0.475*44/12</f>
        <v>45.866849308370881</v>
      </c>
      <c r="AV39" s="21">
        <f>EXP(-LN(2)/25)*AV38+(1-EXP(-LN(2)/25))/(LN(2)/25)*Calculateur!AQ39*Calculateur!AS39*VLOOKUP('Données projet'!$B$10,Paramètres!$A$1:$I$89,3,0)*0.475*44/12</f>
        <v>18.72678063130812</v>
      </c>
      <c r="AW39" s="21">
        <f>EXP(-LN(2)/2)*AW38+(1-EXP(-LN(2)/2))/(LN(2)/2)*AQ39*AT39*VLOOKUP('Données projet'!$B$10,Paramètres!$A$1:$I$89,3,0)*0.475*44/12</f>
        <v>6.4989990596136593</v>
      </c>
      <c r="AX39" s="21">
        <f t="shared" si="6"/>
        <v>71.092628999292657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10.000000000000004</v>
      </c>
      <c r="BD39" s="12">
        <f>IF('Données projet'!$A$88&gt;35,BD38+BC39-BL38,IF(A39&lt;'Données projet'!$A$88,$BA$205^A39,IF(A39='Données projet'!$A$88,'Données projet'!$B$88,BD38+BC39-BL38)))</f>
        <v>234.71999999999989</v>
      </c>
      <c r="BE39" s="13">
        <f>BD39*VLOOKUP('Données projet'!$B$11,Paramètres!$A$1:$I$89,3,0)*VLOOKUP('Données projet'!$B$11,Paramètres!$A$1:$I$89,5,0)</f>
        <v>109.84895999999995</v>
      </c>
      <c r="BF39" s="13">
        <f t="shared" si="37"/>
        <v>29.295395525204487</v>
      </c>
      <c r="BG39" s="20">
        <f t="shared" si="7"/>
        <v>242.34308587306441</v>
      </c>
      <c r="BH39" s="59">
        <f t="shared" si="8"/>
        <v>535.67641920639767</v>
      </c>
      <c r="BI39" s="59">
        <f ca="1">AVERAGE(OFFSET($BH$3,0,0,'Données projet'!$E$11+1,1))-AVERAGE(OFFSET($H$3,0,0,'Données projet'!$E$11+1,1))</f>
        <v>252.70779718608964</v>
      </c>
      <c r="BJ39" s="59">
        <f t="shared" si="38"/>
        <v>187.86969111712705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9.2706978456184626</v>
      </c>
      <c r="BQ39" s="21">
        <f>EXP(-LN(2)/25)*BQ38+(1-EXP(-LN(2)/25))/(LN(2)/25)*Calculateur!BL39*Calculateur!BN39*VLOOKUP('Données projet'!$B$11,Paramètres!$A$1:$I$89,3,0)*0.475*44/12</f>
        <v>5.9755762926041198</v>
      </c>
      <c r="BR39" s="21">
        <f>EXP(-LN(2)/2)*BR38+(1-EXP(-LN(2)/2))/(LN(2)/2)*BL39*BO39*VLOOKUP('Données projet'!$B$11,Paramètres!$A$1:$I$89,3,0)*0.475*44/12</f>
        <v>0.4106778755660947</v>
      </c>
      <c r="BS39" s="22">
        <f t="shared" si="9"/>
        <v>15.656952013788676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17.600000000000001</v>
      </c>
      <c r="BY39" s="12">
        <f>IF('Données projet'!$A$114&gt;35,BY38+BX39-CG38,IF(A39&lt;'Données projet'!$A$114,$BV$205^A39,IF(A39='Données projet'!$A$114,'Données projet'!$B$114,BY38+BX39-CG38)))</f>
        <v>261.59999999999997</v>
      </c>
      <c r="BZ39" s="13">
        <f>BY39*VLOOKUP('Données projet'!$B$12,Paramètres!$A$1:$I$89,3,0)*VLOOKUP('Données projet'!$B$12,Paramètres!$A$1:$I$89,5,0)</f>
        <v>156.43679999999998</v>
      </c>
      <c r="CA39" s="13">
        <f t="shared" si="39"/>
        <v>40.037775291207829</v>
      </c>
      <c r="CB39" s="20">
        <f t="shared" si="10"/>
        <v>342.19321863218693</v>
      </c>
      <c r="CC39" s="59">
        <f t="shared" si="11"/>
        <v>635.52655196552018</v>
      </c>
      <c r="CD39" s="59">
        <f ca="1">AVERAGE(OFFSET($CC$3,0,0,'Données projet'!$E$12+1,1))-AVERAGE(OFFSET($H$3,0,0,'Données projet'!$E$12+1,1))</f>
        <v>279.86432710889352</v>
      </c>
      <c r="CE39" s="59">
        <f t="shared" si="40"/>
        <v>297.01680128882509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30.772758258581035</v>
      </c>
      <c r="CM39" s="21">
        <f>EXP(-LN(2)/2)*CM38+(1-EXP(-LN(2)/2))/(LN(2)/2)*CG39*CJ39*VLOOKUP('Données projet'!$B$12,Paramètres!$A$1:$I$89,3,0)*0.475*44/12</f>
        <v>12.597839434044179</v>
      </c>
      <c r="CN39" s="22">
        <f t="shared" si="12"/>
        <v>43.370597692625211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13.2</v>
      </c>
      <c r="CT39" s="12">
        <f>IF('Données projet'!$A$140&gt;35,CT38+CS39-DB38,IF(A39&lt;'Données projet'!$A$140,$CQ$205^A39,IF(A39='Données projet'!$A$140,'Données projet'!$B$140,CT38+CS39-DB38)))</f>
        <v>198.19999999999996</v>
      </c>
      <c r="CU39" s="17">
        <f>CT39*VLOOKUP('Données projet'!$B$13,Paramètres!$A$1:$I$89,3,0)*VLOOKUP('Données projet'!$B$13,Paramètres!$A$1:$I$89,5,0)</f>
        <v>157.68791999999996</v>
      </c>
      <c r="CV39" s="13">
        <f t="shared" si="41"/>
        <v>40.320578344020497</v>
      </c>
      <c r="CW39" s="20">
        <f t="shared" si="13"/>
        <v>344.86480128250224</v>
      </c>
      <c r="CX39" s="59">
        <f t="shared" si="14"/>
        <v>638.19813461583556</v>
      </c>
      <c r="CY39" s="59">
        <f ca="1">AVERAGE(OFFSET($CX$3,0,0,'Données projet'!$E$13+1,1))-AVERAGE(OFFSET($H$3,0,0,'Données projet'!$E$13+1,1))</f>
        <v>314.6300257056194</v>
      </c>
      <c r="CZ39" s="59">
        <f t="shared" si="42"/>
        <v>298.00555477466668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13.2</v>
      </c>
      <c r="DO39" s="12">
        <f>IF('Données projet'!$A$166&gt;35,DO38+DN39-DW38,IF(A39&lt;'Données projet'!$A$166,$DL$205^A39,IF(A39='Données projet'!$A$166,'Données projet'!$B$166,DO38+DN39-DW38)))</f>
        <v>198.19999999999996</v>
      </c>
      <c r="DP39" s="17">
        <f>DO39*VLOOKUP('Données projet'!$B$14,Paramètres!$A$1:$I$89,3,0)*VLOOKUP('Données projet'!$B$14,Paramètres!$A$1:$I$89,5,0)</f>
        <v>157.68791999999996</v>
      </c>
      <c r="DQ39" s="13">
        <f t="shared" si="43"/>
        <v>40.320578344020497</v>
      </c>
      <c r="DR39" s="20">
        <f t="shared" si="16"/>
        <v>344.86480128250224</v>
      </c>
      <c r="DS39" s="59">
        <f t="shared" si="17"/>
        <v>638.19813461583556</v>
      </c>
      <c r="DT39" s="59">
        <f ca="1">AVERAGE(OFFSET($DS$3,0,0,'Données projet'!$E$14+1,1))-AVERAGE(OFFSET($H$3,0,0,'Données projet'!$E$14+1,1))</f>
        <v>314.6300257056194</v>
      </c>
      <c r="DU39" s="59">
        <f t="shared" si="44"/>
        <v>298.00555477466668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13.410256410256407</v>
      </c>
      <c r="EJ39" s="12">
        <f>IF('Données projet'!$A$192&gt;35,EJ38+EI39-ER38,IF(A39&lt;'Données projet'!$A$192,$EG$205^A39,IF(A39='Données projet'!$A$192,'Données projet'!$B$192,EJ38+EI39-ER38)))</f>
        <v>222.83076923076922</v>
      </c>
      <c r="EK39" s="17">
        <f>EJ39*VLOOKUP('Données projet'!$B$15,Paramètres!$A$1:$I$89,3,0)*VLOOKUP('Données projet'!$B$15,Paramètres!$A$1:$I$89,5,0)</f>
        <v>107.18159999999999</v>
      </c>
      <c r="EL39" s="13">
        <f t="shared" si="45"/>
        <v>28.665947773189313</v>
      </c>
      <c r="EM39" s="20">
        <f t="shared" si="19"/>
        <v>236.60114570497134</v>
      </c>
      <c r="EN39" s="59">
        <f t="shared" si="20"/>
        <v>529.93447903830463</v>
      </c>
      <c r="EO39" s="59">
        <f ca="1">AVERAGE(OFFSET($EN$3,0,0,'Données projet'!$E$15+1,1))-AVERAGE(OFFSET($H$3,0,0,'Données projet'!$E$15+1,1))</f>
        <v>238.83604534181978</v>
      </c>
      <c r="EP39" s="59">
        <f t="shared" si="46"/>
        <v>114.85152559837792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9.6</v>
      </c>
      <c r="FE39" s="12">
        <f>IF('Données projet'!$A$218&gt;35,FE38+FD39-FM38,IF(A39&lt;'Données projet'!$A$218,$FB$205^A39,IF(A39='Données projet'!$A$218,'Données projet'!$B$218,FE38+FD39-FM38)))</f>
        <v>125.6</v>
      </c>
      <c r="FF39" s="17">
        <f>FE39*VLOOKUP('Données projet'!$B$16,Paramètres!$A$1:$I$89,3,0)*VLOOKUP('Données projet'!$B$16,Paramètres!$A$1:$I$89,5,0)</f>
        <v>101.88672</v>
      </c>
      <c r="FG39" s="13">
        <f t="shared" si="47"/>
        <v>27.410992435826536</v>
      </c>
      <c r="FH39" s="20">
        <f t="shared" si="22"/>
        <v>225.19351582573117</v>
      </c>
      <c r="FI39" s="59">
        <f t="shared" si="23"/>
        <v>518.52684915906445</v>
      </c>
      <c r="FJ39" s="59">
        <f ca="1">AVERAGE(OFFSET($FI$3,0,0,'Données projet'!$E$16+1,1))-AVERAGE(OFFSET($H$3,0,0,'Données projet'!$E$16+1,1))</f>
        <v>196.95467273423861</v>
      </c>
      <c r="FK39" s="59">
        <f t="shared" si="48"/>
        <v>173.8709326829258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3.1755718027329531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6.0615718863901238</v>
      </c>
      <c r="FT39" s="22">
        <f t="shared" si="24"/>
        <v>9.2371436891230765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9.6</v>
      </c>
      <c r="FZ39" s="12">
        <f>IF('Données projet'!$A$244&gt;35,FZ38+FY39-GH38,IF(A39&lt;'Données projet'!$A$244,$FW$205^A39,IF(A39='Données projet'!$A$244,'Données projet'!$B$244,FZ38+FY39-GH38)))</f>
        <v>125.6</v>
      </c>
      <c r="GA39" s="17">
        <f>FZ39*VLOOKUP('Données projet'!$B$17,Paramètres!$A$1:$I$89,3,0)*VLOOKUP('Données projet'!$B$17,Paramètres!$A$1:$I$89,5,0)</f>
        <v>135.19583999999998</v>
      </c>
      <c r="GB39" s="13">
        <f t="shared" si="49"/>
        <v>35.19421330882799</v>
      </c>
      <c r="GC39" s="20">
        <f t="shared" si="25"/>
        <v>296.76267617954204</v>
      </c>
      <c r="GD39" s="59">
        <f t="shared" si="26"/>
        <v>590.0960095128753</v>
      </c>
      <c r="GE39" s="59">
        <f ca="1">AVERAGE(OFFSET($GD$3,0,0,'Données projet'!$E$17+1,1))-AVERAGE(OFFSET($H$3,0,0,'Données projet'!$E$17+1,1))</f>
        <v>275.5229427552884</v>
      </c>
      <c r="GF39" s="59">
        <f t="shared" si="50"/>
        <v>241.20234081716143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4.213739507472571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8.0432396184792019</v>
      </c>
      <c r="GO39" s="21">
        <f t="shared" si="27"/>
        <v>12.256979125951773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22.419230769230779</v>
      </c>
      <c r="N40" s="13">
        <f>IF('Données projet'!$A$36&gt;35,N39+M40-V39,IF(A40&lt;'Données projet'!$A$36,$K$205^A40,IF(A40='Données projet'!$A$36,'Données projet'!$B$36,N39+M40-V39)))</f>
        <v>356.62692307692276</v>
      </c>
      <c r="O40" s="13">
        <f>N40*VLOOKUP('Données projet'!$B$9,Paramètres!$A$1:$I$89,3,0)*VLOOKUP('Données projet'!$B$9,Paramètres!$A$1:$I$89,5,0)</f>
        <v>199.35444999999984</v>
      </c>
      <c r="P40" s="13">
        <f t="shared" si="33"/>
        <v>49.602268690733197</v>
      </c>
      <c r="Q40" s="20">
        <f t="shared" si="53"/>
        <v>433.59961838636008</v>
      </c>
      <c r="R40" s="59">
        <f t="shared" si="0"/>
        <v>726.93295171969339</v>
      </c>
      <c r="S40" s="59">
        <f ca="1">AVERAGE(OFFSET($R$3,0,0,'Données projet'!$E$9+1,1))-AVERAGE(OFFSET($H$3,0,0,'Données projet'!$E$9+1,1))</f>
        <v>274.57619581652199</v>
      </c>
      <c r="T40" s="59">
        <f t="shared" si="34"/>
        <v>366.15117322598775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 t="e">
        <f>EXP(-LN(2)/35)*Z39+(1-EXP(-LN(2)/35))/(LN(2)/35)*V40*W40*VLOOKUP('Données projet'!$B$9,Paramètres!$A$1:$I$89,3,0)*0.475*44/12</f>
        <v>#VALUE!</v>
      </c>
      <c r="AA40" s="21" t="e">
        <f>EXP(-LN(2)/25)*AA39+(1-EXP(-LN(2)/25))/(LN(2)/25)*Calculateur!V40*Calculateur!X40*VLOOKUP('Données projet'!$B$9,Paramètres!$A$1:$I$89,3,0)*0.475*44/12</f>
        <v>#VALUE!</v>
      </c>
      <c r="AB40" s="21" t="e">
        <f>EXP(-LN(2)/2)*AB39+(1-EXP(-LN(2)/2))/(LN(2)/2)*V40*Y40*VLOOKUP('Données projet'!$B$9,Paramètres!$A$1:$I$89,3,0)*0.475*44/12</f>
        <v>#VALUE!</v>
      </c>
      <c r="AC40" s="22" t="e">
        <f t="shared" si="3"/>
        <v>#VALUE!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11.5</v>
      </c>
      <c r="AI40" s="13">
        <f>IF('Données projet'!$A$62&gt;35,AI39+AH40-AQ39,IF(A40&lt;'Données projet'!$A$62,$AF$205^A40,IF(A40='Données projet'!$A$62,'Données projet'!$B$62,AI39+AH40-AQ39)))</f>
        <v>197.5</v>
      </c>
      <c r="AJ40" s="13">
        <f>AI40*VLOOKUP('Données projet'!$B$10,Paramètres!$A$1:$I$89,3,0)*VLOOKUP('Données projet'!$B$10,Paramètres!$A$1:$I$89,5,0)</f>
        <v>123.24</v>
      </c>
      <c r="AK40" s="13">
        <f t="shared" si="35"/>
        <v>32.429500380369056</v>
      </c>
      <c r="AL40" s="20">
        <f t="shared" si="4"/>
        <v>271.12437982914275</v>
      </c>
      <c r="AM40" s="59">
        <f t="shared" si="5"/>
        <v>564.45771316247601</v>
      </c>
      <c r="AN40" s="59">
        <f ca="1">AVERAGE(OFFSET($AM$3,0,0,'Données projet'!$E$10+1,1))-AVERAGE(OFFSET($H$3,0,0,'Données projet'!$E$10+1,1))</f>
        <v>175.05987582828078</v>
      </c>
      <c r="AO40" s="59">
        <f t="shared" si="36"/>
        <v>268.54782308462387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44.967428369449401</v>
      </c>
      <c r="AV40" s="21">
        <f>EXP(-LN(2)/25)*AV39+(1-EXP(-LN(2)/25))/(LN(2)/25)*Calculateur!AQ40*Calculateur!AS40*VLOOKUP('Données projet'!$B$10,Paramètres!$A$1:$I$89,3,0)*0.475*44/12</f>
        <v>18.214695830146407</v>
      </c>
      <c r="AW40" s="21">
        <f>EXP(-LN(2)/2)*AW39+(1-EXP(-LN(2)/2))/(LN(2)/2)*AQ40*AT40*VLOOKUP('Données projet'!$B$10,Paramètres!$A$1:$I$89,3,0)*0.475*44/12</f>
        <v>4.5954863059778139</v>
      </c>
      <c r="AX40" s="21">
        <f t="shared" si="6"/>
        <v>67.77761050557362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10.000000000000004</v>
      </c>
      <c r="BD40" s="12">
        <f>IF('Données projet'!$A$88&gt;35,BD39+BC40-BL39,IF(A40&lt;'Données projet'!$A$88,$BA$205^A40,IF(A40='Données projet'!$A$88,'Données projet'!$B$88,BD39+BC40-BL39)))</f>
        <v>244.71999999999989</v>
      </c>
      <c r="BE40" s="13">
        <f>BD40*VLOOKUP('Données projet'!$B$11,Paramètres!$A$1:$I$89,3,0)*VLOOKUP('Données projet'!$B$11,Paramètres!$A$1:$I$89,5,0)</f>
        <v>114.52895999999994</v>
      </c>
      <c r="BF40" s="13">
        <f t="shared" si="37"/>
        <v>30.395524298347773</v>
      </c>
      <c r="BG40" s="20">
        <f t="shared" si="7"/>
        <v>252.41014348628894</v>
      </c>
      <c r="BH40" s="59">
        <f t="shared" si="8"/>
        <v>545.74347681962229</v>
      </c>
      <c r="BI40" s="59">
        <f ca="1">AVERAGE(OFFSET($BH$3,0,0,'Données projet'!$E$11+1,1))-AVERAGE(OFFSET($H$3,0,0,'Données projet'!$E$11+1,1))</f>
        <v>252.70779718608964</v>
      </c>
      <c r="BJ40" s="59">
        <f t="shared" si="38"/>
        <v>187.86969111712705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9.0889051154332279</v>
      </c>
      <c r="BQ40" s="21">
        <f>EXP(-LN(2)/25)*BQ39+(1-EXP(-LN(2)/25))/(LN(2)/25)*Calculateur!BL40*Calculateur!BN40*VLOOKUP('Données projet'!$B$11,Paramètres!$A$1:$I$89,3,0)*0.475*44/12</f>
        <v>5.8121738446409603</v>
      </c>
      <c r="BR40" s="21">
        <f>EXP(-LN(2)/2)*BR39+(1-EXP(-LN(2)/2))/(LN(2)/2)*BL40*BO40*VLOOKUP('Données projet'!$B$11,Paramètres!$A$1:$I$89,3,0)*0.475*44/12</f>
        <v>0.29039311069607071</v>
      </c>
      <c r="BS40" s="22">
        <f t="shared" si="9"/>
        <v>15.191472070770258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17.600000000000001</v>
      </c>
      <c r="BY40" s="12">
        <f>IF('Données projet'!$A$114&gt;35,BY39+BX40-CG39,IF(A40&lt;'Données projet'!$A$114,$BV$205^A40,IF(A40='Données projet'!$A$114,'Données projet'!$B$114,BY39+BX40-CG39)))</f>
        <v>279.2</v>
      </c>
      <c r="BZ40" s="13">
        <f>BY40*VLOOKUP('Données projet'!$B$12,Paramètres!$A$1:$I$89,3,0)*VLOOKUP('Données projet'!$B$12,Paramètres!$A$1:$I$89,5,0)</f>
        <v>166.9616</v>
      </c>
      <c r="CA40" s="13">
        <f t="shared" si="39"/>
        <v>42.40881044639989</v>
      </c>
      <c r="CB40" s="20">
        <f t="shared" si="10"/>
        <v>364.65346486081313</v>
      </c>
      <c r="CC40" s="59">
        <f t="shared" si="11"/>
        <v>657.98679819414644</v>
      </c>
      <c r="CD40" s="59">
        <f ca="1">AVERAGE(OFFSET($CC$3,0,0,'Données projet'!$E$12+1,1))-AVERAGE(OFFSET($H$3,0,0,'Données projet'!$E$12+1,1))</f>
        <v>279.86432710889352</v>
      </c>
      <c r="CE40" s="59">
        <f t="shared" si="40"/>
        <v>297.01680128882509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29.931275565731113</v>
      </c>
      <c r="CM40" s="21">
        <f>EXP(-LN(2)/2)*CM39+(1-EXP(-LN(2)/2))/(LN(2)/2)*CG40*CJ40*VLOOKUP('Données projet'!$B$12,Paramètres!$A$1:$I$89,3,0)*0.475*44/12</f>
        <v>8.9080176921119367</v>
      </c>
      <c r="CN40" s="22">
        <f t="shared" si="12"/>
        <v>38.839293257843053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13.2</v>
      </c>
      <c r="CT40" s="12">
        <f>IF('Données projet'!$A$140&gt;35,CT39+CS40-DB39,IF(A40&lt;'Données projet'!$A$140,$CQ$205^A40,IF(A40='Données projet'!$A$140,'Données projet'!$B$140,CT39+CS40-DB39)))</f>
        <v>211.39999999999995</v>
      </c>
      <c r="CU40" s="17">
        <f>CT40*VLOOKUP('Données projet'!$B$13,Paramètres!$A$1:$I$89,3,0)*VLOOKUP('Données projet'!$B$13,Paramètres!$A$1:$I$89,5,0)</f>
        <v>168.18983999999998</v>
      </c>
      <c r="CV40" s="13">
        <f t="shared" si="41"/>
        <v>42.684355718695357</v>
      </c>
      <c r="CW40" s="20">
        <f t="shared" si="13"/>
        <v>367.27255754339438</v>
      </c>
      <c r="CX40" s="59">
        <f t="shared" si="14"/>
        <v>660.6058908767277</v>
      </c>
      <c r="CY40" s="59">
        <f ca="1">AVERAGE(OFFSET($CX$3,0,0,'Données projet'!$E$13+1,1))-AVERAGE(OFFSET($H$3,0,0,'Données projet'!$E$13+1,1))</f>
        <v>314.6300257056194</v>
      </c>
      <c r="CZ40" s="59">
        <f t="shared" si="42"/>
        <v>298.00555477466668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13.2</v>
      </c>
      <c r="DO40" s="12">
        <f>IF('Données projet'!$A$166&gt;35,DO39+DN40-DW39,IF(A40&lt;'Données projet'!$A$166,$DL$205^A40,IF(A40='Données projet'!$A$166,'Données projet'!$B$166,DO39+DN40-DW39)))</f>
        <v>211.39999999999995</v>
      </c>
      <c r="DP40" s="17">
        <f>DO40*VLOOKUP('Données projet'!$B$14,Paramètres!$A$1:$I$89,3,0)*VLOOKUP('Données projet'!$B$14,Paramètres!$A$1:$I$89,5,0)</f>
        <v>168.18983999999998</v>
      </c>
      <c r="DQ40" s="13">
        <f t="shared" si="43"/>
        <v>42.684355718695357</v>
      </c>
      <c r="DR40" s="20">
        <f t="shared" si="16"/>
        <v>367.27255754339438</v>
      </c>
      <c r="DS40" s="59">
        <f t="shared" si="17"/>
        <v>660.6058908767277</v>
      </c>
      <c r="DT40" s="59">
        <f ca="1">AVERAGE(OFFSET($DS$3,0,0,'Données projet'!$E$14+1,1))-AVERAGE(OFFSET($H$3,0,0,'Données projet'!$E$14+1,1))</f>
        <v>314.6300257056194</v>
      </c>
      <c r="DU40" s="59">
        <f t="shared" si="44"/>
        <v>298.00555477466668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13.410256410256407</v>
      </c>
      <c r="EJ40" s="12">
        <f>IF('Données projet'!$A$192&gt;35,EJ39+EI40-ER39,IF(A40&lt;'Données projet'!$A$192,$EG$205^A40,IF(A40='Données projet'!$A$192,'Données projet'!$B$192,EJ39+EI40-ER39)))</f>
        <v>236.24102564102563</v>
      </c>
      <c r="EK40" s="17">
        <f>EJ40*VLOOKUP('Données projet'!$B$15,Paramètres!$A$1:$I$89,3,0)*VLOOKUP('Données projet'!$B$15,Paramètres!$A$1:$I$89,5,0)</f>
        <v>113.63193333333334</v>
      </c>
      <c r="EL40" s="13">
        <f t="shared" si="45"/>
        <v>30.185071896729561</v>
      </c>
      <c r="EM40" s="20">
        <f t="shared" si="19"/>
        <v>250.48128410902621</v>
      </c>
      <c r="EN40" s="59">
        <f t="shared" si="20"/>
        <v>543.81461744235958</v>
      </c>
      <c r="EO40" s="59">
        <f ca="1">AVERAGE(OFFSET($EN$3,0,0,'Données projet'!$E$15+1,1))-AVERAGE(OFFSET($H$3,0,0,'Données projet'!$E$15+1,1))</f>
        <v>238.83604534181978</v>
      </c>
      <c r="EP40" s="59">
        <f t="shared" si="46"/>
        <v>114.85152559837792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9.6</v>
      </c>
      <c r="FE40" s="12">
        <f>IF('Données projet'!$A$218&gt;35,FE39+FD40-FM39,IF(A40&lt;'Données projet'!$A$218,$FB$205^A40,IF(A40='Données projet'!$A$218,'Données projet'!$B$218,FE39+FD40-FM39)))</f>
        <v>135.19999999999999</v>
      </c>
      <c r="FF40" s="17">
        <f>FE40*VLOOKUP('Données projet'!$B$16,Paramètres!$A$1:$I$89,3,0)*VLOOKUP('Données projet'!$B$16,Paramètres!$A$1:$I$89,5,0)</f>
        <v>109.67424000000001</v>
      </c>
      <c r="FG40" s="13">
        <f t="shared" si="47"/>
        <v>29.254219732474805</v>
      </c>
      <c r="FH40" s="20">
        <f t="shared" si="22"/>
        <v>241.96706736739358</v>
      </c>
      <c r="FI40" s="59">
        <f t="shared" si="23"/>
        <v>535.30040070072687</v>
      </c>
      <c r="FJ40" s="59">
        <f ca="1">AVERAGE(OFFSET($FI$3,0,0,'Données projet'!$E$16+1,1))-AVERAGE(OFFSET($H$3,0,0,'Données projet'!$E$16+1,1))</f>
        <v>196.95467273423861</v>
      </c>
      <c r="FK40" s="59">
        <f t="shared" si="48"/>
        <v>173.8709326829258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3.1133007765889058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4.2861785855161898</v>
      </c>
      <c r="FT40" s="22">
        <f t="shared" si="24"/>
        <v>7.3994793621050956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9.6</v>
      </c>
      <c r="FZ40" s="12">
        <f>IF('Données projet'!$A$244&gt;35,FZ39+FY40-GH39,IF(A40&lt;'Données projet'!$A$244,$FW$205^A40,IF(A40='Données projet'!$A$244,'Données projet'!$B$244,FZ39+FY40-GH39)))</f>
        <v>135.19999999999999</v>
      </c>
      <c r="GA40" s="17">
        <f>FZ40*VLOOKUP('Données projet'!$B$17,Paramètres!$A$1:$I$89,3,0)*VLOOKUP('Données projet'!$B$17,Paramètres!$A$1:$I$89,5,0)</f>
        <v>145.52927999999997</v>
      </c>
      <c r="GB40" s="13">
        <f t="shared" si="49"/>
        <v>37.560816225769678</v>
      </c>
      <c r="GC40" s="20">
        <f t="shared" si="25"/>
        <v>318.88191759321546</v>
      </c>
      <c r="GD40" s="59">
        <f t="shared" si="26"/>
        <v>612.21525092654883</v>
      </c>
      <c r="GE40" s="59">
        <f ca="1">AVERAGE(OFFSET($GD$3,0,0,'Données projet'!$E$17+1,1))-AVERAGE(OFFSET($H$3,0,0,'Données projet'!$E$17+1,1))</f>
        <v>275.5229427552884</v>
      </c>
      <c r="GF40" s="59">
        <f t="shared" si="50"/>
        <v>241.20234081716143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4.1311106458583549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5.6874292769349433</v>
      </c>
      <c r="GO40" s="21">
        <f t="shared" si="27"/>
        <v>9.818539922793299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22.419230769230779</v>
      </c>
      <c r="N41" s="13">
        <f>IF('Données projet'!$A$36&gt;35,N40+M41-V40,IF(A41&lt;'Données projet'!$A$36,$K$205^A41,IF(A41='Données projet'!$A$36,'Données projet'!$B$36,N40+M41-V40)))</f>
        <v>379.04615384615352</v>
      </c>
      <c r="O41" s="13">
        <f>N41*VLOOKUP('Données projet'!$B$9,Paramètres!$A$1:$I$89,3,0)*VLOOKUP('Données projet'!$B$9,Paramètres!$A$1:$I$89,5,0)</f>
        <v>211.88679999999982</v>
      </c>
      <c r="P41" s="13">
        <f t="shared" si="33"/>
        <v>52.347684082939267</v>
      </c>
      <c r="Q41" s="20">
        <f t="shared" si="53"/>
        <v>460.20839311111894</v>
      </c>
      <c r="R41" s="59">
        <f t="shared" si="0"/>
        <v>753.54172644445225</v>
      </c>
      <c r="S41" s="59">
        <f ca="1">AVERAGE(OFFSET($R$3,0,0,'Données projet'!$E$9+1,1))-AVERAGE(OFFSET($H$3,0,0,'Données projet'!$E$9+1,1))</f>
        <v>274.57619581652199</v>
      </c>
      <c r="T41" s="59">
        <f t="shared" si="34"/>
        <v>366.15117322598775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 t="e">
        <f>EXP(-LN(2)/35)*Z40+(1-EXP(-LN(2)/35))/(LN(2)/35)*V41*W41*VLOOKUP('Données projet'!$B$9,Paramètres!$A$1:$I$89,3,0)*0.475*44/12</f>
        <v>#VALUE!</v>
      </c>
      <c r="AA41" s="21" t="e">
        <f>EXP(-LN(2)/25)*AA40+(1-EXP(-LN(2)/25))/(LN(2)/25)*Calculateur!V41*Calculateur!X41*VLOOKUP('Données projet'!$B$9,Paramètres!$A$1:$I$89,3,0)*0.475*44/12</f>
        <v>#VALUE!</v>
      </c>
      <c r="AB41" s="21" t="e">
        <f>EXP(-LN(2)/2)*AB40+(1-EXP(-LN(2)/2))/(LN(2)/2)*V41*Y41*VLOOKUP('Données projet'!$B$9,Paramètres!$A$1:$I$89,3,0)*0.475*44/12</f>
        <v>#VALUE!</v>
      </c>
      <c r="AC41" s="22" t="e">
        <f t="shared" si="3"/>
        <v>#VALUE!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11.5</v>
      </c>
      <c r="AI41" s="13">
        <f>IF('Données projet'!$A$62&gt;35,AI40+AH41-AQ40,IF(A41&lt;'Données projet'!$A$62,$AF$205^A41,IF(A41='Données projet'!$A$62,'Données projet'!$B$62,AI40+AH41-AQ40)))</f>
        <v>209</v>
      </c>
      <c r="AJ41" s="13">
        <f>AI41*VLOOKUP('Données projet'!$B$10,Paramètres!$A$1:$I$89,3,0)*VLOOKUP('Données projet'!$B$10,Paramètres!$A$1:$I$89,5,0)</f>
        <v>130.416</v>
      </c>
      <c r="AK41" s="13">
        <f t="shared" si="35"/>
        <v>34.092466837179941</v>
      </c>
      <c r="AL41" s="20">
        <f t="shared" si="4"/>
        <v>286.51891307475506</v>
      </c>
      <c r="AM41" s="59">
        <f t="shared" si="5"/>
        <v>579.85224640808838</v>
      </c>
      <c r="AN41" s="59">
        <f ca="1">AVERAGE(OFFSET($AM$3,0,0,'Données projet'!$E$10+1,1))-AVERAGE(OFFSET($H$3,0,0,'Données projet'!$E$10+1,1))</f>
        <v>175.05987582828078</v>
      </c>
      <c r="AO41" s="59">
        <f t="shared" si="36"/>
        <v>268.54782308462387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44.085644526547568</v>
      </c>
      <c r="AV41" s="21">
        <f>EXP(-LN(2)/25)*AV40+(1-EXP(-LN(2)/25))/(LN(2)/25)*Calculateur!AQ41*Calculateur!AS41*VLOOKUP('Données projet'!$B$10,Paramètres!$A$1:$I$89,3,0)*0.475*44/12</f>
        <v>17.716614014801831</v>
      </c>
      <c r="AW41" s="21">
        <f>EXP(-LN(2)/2)*AW40+(1-EXP(-LN(2)/2))/(LN(2)/2)*AQ41*AT41*VLOOKUP('Données projet'!$B$10,Paramètres!$A$1:$I$89,3,0)*0.475*44/12</f>
        <v>3.2494995298068301</v>
      </c>
      <c r="AX41" s="21">
        <f t="shared" si="6"/>
        <v>65.051758071156229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10.000000000000004</v>
      </c>
      <c r="BD41" s="12">
        <f>IF('Données projet'!$A$88&gt;35,BD40+BC41-BL40,IF(A41&lt;'Données projet'!$A$88,$BA$205^A41,IF(A41='Données projet'!$A$88,'Données projet'!$B$88,BD40+BC41-BL40)))</f>
        <v>254.71999999999989</v>
      </c>
      <c r="BE41" s="13">
        <f>BD41*VLOOKUP('Données projet'!$B$11,Paramètres!$A$1:$I$89,3,0)*VLOOKUP('Données projet'!$B$11,Paramètres!$A$1:$I$89,5,0)</f>
        <v>119.20895999999995</v>
      </c>
      <c r="BF41" s="13">
        <f t="shared" si="37"/>
        <v>31.490431247107932</v>
      </c>
      <c r="BG41" s="20">
        <f t="shared" si="7"/>
        <v>262.46810642204622</v>
      </c>
      <c r="BH41" s="59">
        <f t="shared" si="8"/>
        <v>555.80143975537953</v>
      </c>
      <c r="BI41" s="59">
        <f ca="1">AVERAGE(OFFSET($BH$3,0,0,'Données projet'!$E$11+1,1))-AVERAGE(OFFSET($H$3,0,0,'Données projet'!$E$11+1,1))</f>
        <v>252.70779718608964</v>
      </c>
      <c r="BJ41" s="59">
        <f t="shared" si="38"/>
        <v>187.86969111712705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8.9106772298043087</v>
      </c>
      <c r="BQ41" s="21">
        <f>EXP(-LN(2)/25)*BQ40+(1-EXP(-LN(2)/25))/(LN(2)/25)*Calculateur!BL41*Calculateur!BN41*VLOOKUP('Données projet'!$B$11,Paramètres!$A$1:$I$89,3,0)*0.475*44/12</f>
        <v>5.6532396452103146</v>
      </c>
      <c r="BR41" s="21">
        <f>EXP(-LN(2)/2)*BR40+(1-EXP(-LN(2)/2))/(LN(2)/2)*BL41*BO41*VLOOKUP('Données projet'!$B$11,Paramètres!$A$1:$I$89,3,0)*0.475*44/12</f>
        <v>0.20533893778304735</v>
      </c>
      <c r="BS41" s="22">
        <f t="shared" si="9"/>
        <v>14.76925581279767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17.600000000000001</v>
      </c>
      <c r="BY41" s="12">
        <f>IF('Données projet'!$A$114&gt;35,BY40+BX41-CG40,IF(A41&lt;'Données projet'!$A$114,$BV$205^A41,IF(A41='Données projet'!$A$114,'Données projet'!$B$114,BY40+BX41-CG40)))</f>
        <v>296.8</v>
      </c>
      <c r="BZ41" s="13">
        <f>BY41*VLOOKUP('Données projet'!$B$12,Paramètres!$A$1:$I$89,3,0)*VLOOKUP('Données projet'!$B$12,Paramètres!$A$1:$I$89,5,0)</f>
        <v>177.48640000000003</v>
      </c>
      <c r="CA41" s="13">
        <f t="shared" si="39"/>
        <v>44.762499594286325</v>
      </c>
      <c r="CB41" s="20">
        <f t="shared" si="10"/>
        <v>387.08350012671536</v>
      </c>
      <c r="CC41" s="59">
        <f t="shared" si="11"/>
        <v>680.41683346004868</v>
      </c>
      <c r="CD41" s="59">
        <f ca="1">AVERAGE(OFFSET($CC$3,0,0,'Données projet'!$E$12+1,1))-AVERAGE(OFFSET($H$3,0,0,'Données projet'!$E$12+1,1))</f>
        <v>279.86432710889352</v>
      </c>
      <c r="CE41" s="59">
        <f t="shared" si="40"/>
        <v>297.01680128882509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29.112803261368821</v>
      </c>
      <c r="CM41" s="21">
        <f>EXP(-LN(2)/2)*CM40+(1-EXP(-LN(2)/2))/(LN(2)/2)*CG41*CJ41*VLOOKUP('Données projet'!$B$12,Paramètres!$A$1:$I$89,3,0)*0.475*44/12</f>
        <v>6.2989197170220894</v>
      </c>
      <c r="CN41" s="22">
        <f t="shared" si="12"/>
        <v>35.411722978390912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13.2</v>
      </c>
      <c r="CT41" s="12">
        <f>IF('Données projet'!$A$140&gt;35,CT40+CS41-DB40,IF(A41&lt;'Données projet'!$A$140,$CQ$205^A41,IF(A41='Données projet'!$A$140,'Données projet'!$B$140,CT40+CS41-DB40)))</f>
        <v>224.59999999999994</v>
      </c>
      <c r="CU41" s="17">
        <f>CT41*VLOOKUP('Données projet'!$B$13,Paramètres!$A$1:$I$89,3,0)*VLOOKUP('Données projet'!$B$13,Paramètres!$A$1:$I$89,5,0)</f>
        <v>178.69175999999996</v>
      </c>
      <c r="CV41" s="13">
        <f t="shared" si="41"/>
        <v>45.031003417794096</v>
      </c>
      <c r="CW41" s="20">
        <f t="shared" si="13"/>
        <v>389.65047961932464</v>
      </c>
      <c r="CX41" s="59">
        <f t="shared" si="14"/>
        <v>682.9838129526579</v>
      </c>
      <c r="CY41" s="59">
        <f ca="1">AVERAGE(OFFSET($CX$3,0,0,'Données projet'!$E$13+1,1))-AVERAGE(OFFSET($H$3,0,0,'Données projet'!$E$13+1,1))</f>
        <v>314.6300257056194</v>
      </c>
      <c r="CZ41" s="59">
        <f t="shared" si="42"/>
        <v>298.00555477466668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13.2</v>
      </c>
      <c r="DO41" s="12">
        <f>IF('Données projet'!$A$166&gt;35,DO40+DN41-DW40,IF(A41&lt;'Données projet'!$A$166,$DL$205^A41,IF(A41='Données projet'!$A$166,'Données projet'!$B$166,DO40+DN41-DW40)))</f>
        <v>224.59999999999994</v>
      </c>
      <c r="DP41" s="17">
        <f>DO41*VLOOKUP('Données projet'!$B$14,Paramètres!$A$1:$I$89,3,0)*VLOOKUP('Données projet'!$B$14,Paramètres!$A$1:$I$89,5,0)</f>
        <v>178.69175999999996</v>
      </c>
      <c r="DQ41" s="13">
        <f t="shared" si="43"/>
        <v>45.031003417794096</v>
      </c>
      <c r="DR41" s="20">
        <f t="shared" si="16"/>
        <v>389.65047961932464</v>
      </c>
      <c r="DS41" s="59">
        <f t="shared" si="17"/>
        <v>682.9838129526579</v>
      </c>
      <c r="DT41" s="59">
        <f ca="1">AVERAGE(OFFSET($DS$3,0,0,'Données projet'!$E$14+1,1))-AVERAGE(OFFSET($H$3,0,0,'Données projet'!$E$14+1,1))</f>
        <v>314.6300257056194</v>
      </c>
      <c r="DU41" s="59">
        <f t="shared" si="44"/>
        <v>298.00555477466668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13.410256410256407</v>
      </c>
      <c r="EJ41" s="12">
        <f>IF('Données projet'!$A$192&gt;35,EJ40+EI41-ER40,IF(A41&lt;'Données projet'!$A$192,$EG$205^A41,IF(A41='Données projet'!$A$192,'Données projet'!$B$192,EJ40+EI41-ER40)))</f>
        <v>249.65128205128204</v>
      </c>
      <c r="EK41" s="17">
        <f>EJ41*VLOOKUP('Données projet'!$B$15,Paramètres!$A$1:$I$89,3,0)*VLOOKUP('Données projet'!$B$15,Paramètres!$A$1:$I$89,5,0)</f>
        <v>120.08226666666665</v>
      </c>
      <c r="EL41" s="13">
        <f t="shared" si="45"/>
        <v>31.694185877783827</v>
      </c>
      <c r="EM41" s="20">
        <f t="shared" si="19"/>
        <v>264.34398818158456</v>
      </c>
      <c r="EN41" s="59">
        <f t="shared" si="20"/>
        <v>557.67732151491782</v>
      </c>
      <c r="EO41" s="59">
        <f ca="1">AVERAGE(OFFSET($EN$3,0,0,'Données projet'!$E$15+1,1))-AVERAGE(OFFSET($H$3,0,0,'Données projet'!$E$15+1,1))</f>
        <v>238.83604534181978</v>
      </c>
      <c r="EP41" s="59">
        <f t="shared" si="46"/>
        <v>114.85152559837792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9.6</v>
      </c>
      <c r="FE41" s="12">
        <f>IF('Données projet'!$A$218&gt;35,FE40+FD41-FM40,IF(A41&lt;'Données projet'!$A$218,$FB$205^A41,IF(A41='Données projet'!$A$218,'Données projet'!$B$218,FE40+FD41-FM40)))</f>
        <v>144.79999999999998</v>
      </c>
      <c r="FF41" s="17">
        <f>FE41*VLOOKUP('Données projet'!$B$16,Paramètres!$A$1:$I$89,3,0)*VLOOKUP('Données projet'!$B$16,Paramètres!$A$1:$I$89,5,0)</f>
        <v>117.46176</v>
      </c>
      <c r="FG41" s="13">
        <f t="shared" si="47"/>
        <v>31.082261912268351</v>
      </c>
      <c r="FH41" s="20">
        <f t="shared" si="22"/>
        <v>258.71417149720077</v>
      </c>
      <c r="FI41" s="59">
        <f t="shared" si="23"/>
        <v>552.04750483053408</v>
      </c>
      <c r="FJ41" s="59">
        <f ca="1">AVERAGE(OFFSET($FI$3,0,0,'Données projet'!$E$16+1,1))-AVERAGE(OFFSET($H$3,0,0,'Données projet'!$E$16+1,1))</f>
        <v>196.95467273423861</v>
      </c>
      <c r="FK41" s="59">
        <f t="shared" si="48"/>
        <v>173.8709326829258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3.0522508472859675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3.0307859431950623</v>
      </c>
      <c r="FT41" s="22">
        <f t="shared" si="24"/>
        <v>6.0830367904810299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9.6</v>
      </c>
      <c r="FZ41" s="12">
        <f>IF('Données projet'!$A$244&gt;35,FZ40+FY41-GH40,IF(A41&lt;'Données projet'!$A$244,$FW$205^A41,IF(A41='Données projet'!$A$244,'Données projet'!$B$244,FZ40+FY41-GH40)))</f>
        <v>144.79999999999998</v>
      </c>
      <c r="GA41" s="17">
        <f>FZ41*VLOOKUP('Données projet'!$B$17,Paramètres!$A$1:$I$89,3,0)*VLOOKUP('Données projet'!$B$17,Paramètres!$A$1:$I$89,5,0)</f>
        <v>155.86271999999997</v>
      </c>
      <c r="GB41" s="13">
        <f t="shared" si="49"/>
        <v>39.907922284180763</v>
      </c>
      <c r="GC41" s="20">
        <f t="shared" si="25"/>
        <v>340.96720197828142</v>
      </c>
      <c r="GD41" s="59">
        <f t="shared" si="26"/>
        <v>634.30053531161479</v>
      </c>
      <c r="GE41" s="59">
        <f ca="1">AVERAGE(OFFSET($GD$3,0,0,'Données projet'!$E$17+1,1))-AVERAGE(OFFSET($H$3,0,0,'Données projet'!$E$17+1,1))</f>
        <v>275.5229427552884</v>
      </c>
      <c r="GF41" s="59">
        <f t="shared" si="50"/>
        <v>241.20234081716143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4.0501020858217638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4.0216198092396018</v>
      </c>
      <c r="GO41" s="21">
        <f t="shared" si="27"/>
        <v>8.0717218950613656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22.419230769230779</v>
      </c>
      <c r="N42" s="13">
        <f>IF('Données projet'!$A$36&gt;35,N41+M42-V41,IF(A42&lt;'Données projet'!$A$36,$K$205^A42,IF(A42='Données projet'!$A$36,'Données projet'!$B$36,N41+M42-V41)))</f>
        <v>401.46538461538432</v>
      </c>
      <c r="O42" s="13">
        <f>N42*VLOOKUP('Données projet'!$B$9,Paramètres!$A$1:$I$89,3,0)*VLOOKUP('Données projet'!$B$9,Paramètres!$A$1:$I$89,5,0)</f>
        <v>224.41914999999986</v>
      </c>
      <c r="P42" s="13">
        <f t="shared" si="33"/>
        <v>55.074251579267411</v>
      </c>
      <c r="Q42" s="20">
        <f t="shared" si="53"/>
        <v>486.78434108389047</v>
      </c>
      <c r="R42" s="59">
        <f t="shared" si="0"/>
        <v>780.11767441722372</v>
      </c>
      <c r="S42" s="59">
        <f ca="1">AVERAGE(OFFSET($R$3,0,0,'Données projet'!$E$9+1,1))-AVERAGE(OFFSET($H$3,0,0,'Données projet'!$E$9+1,1))</f>
        <v>274.57619581652199</v>
      </c>
      <c r="T42" s="59">
        <f t="shared" si="34"/>
        <v>366.15117322598775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 t="e">
        <f>EXP(-LN(2)/35)*Z41+(1-EXP(-LN(2)/35))/(LN(2)/35)*V42*W42*VLOOKUP('Données projet'!$B$9,Paramètres!$A$1:$I$89,3,0)*0.475*44/12</f>
        <v>#VALUE!</v>
      </c>
      <c r="AA42" s="21" t="e">
        <f>EXP(-LN(2)/25)*AA41+(1-EXP(-LN(2)/25))/(LN(2)/25)*Calculateur!V42*Calculateur!X42*VLOOKUP('Données projet'!$B$9,Paramètres!$A$1:$I$89,3,0)*0.475*44/12</f>
        <v>#VALUE!</v>
      </c>
      <c r="AB42" s="21" t="e">
        <f>EXP(-LN(2)/2)*AB41+(1-EXP(-LN(2)/2))/(LN(2)/2)*V42*Y42*VLOOKUP('Données projet'!$B$9,Paramètres!$A$1:$I$89,3,0)*0.475*44/12</f>
        <v>#VALUE!</v>
      </c>
      <c r="AC42" s="22" t="e">
        <f t="shared" si="3"/>
        <v>#VALUE!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11.5</v>
      </c>
      <c r="AI42" s="13">
        <f>IF('Données projet'!$A$62&gt;35,AI41+AH42-AQ41,IF(A42&lt;'Données projet'!$A$62,$AF$205^A42,IF(A42='Données projet'!$A$62,'Données projet'!$B$62,AI41+AH42-AQ41)))</f>
        <v>220.5</v>
      </c>
      <c r="AJ42" s="13">
        <f>AI42*VLOOKUP('Données projet'!$B$10,Paramètres!$A$1:$I$89,3,0)*VLOOKUP('Données projet'!$B$10,Paramètres!$A$1:$I$89,5,0)</f>
        <v>137.59199999999998</v>
      </c>
      <c r="AK42" s="13">
        <f t="shared" si="35"/>
        <v>35.744810729505772</v>
      </c>
      <c r="AL42" s="20">
        <f t="shared" si="4"/>
        <v>301.89494535388923</v>
      </c>
      <c r="AM42" s="59">
        <f t="shared" si="5"/>
        <v>595.22827868722254</v>
      </c>
      <c r="AN42" s="59">
        <f ca="1">AVERAGE(OFFSET($AM$3,0,0,'Données projet'!$E$10+1,1))-AVERAGE(OFFSET($H$3,0,0,'Données projet'!$E$10+1,1))</f>
        <v>175.05987582828078</v>
      </c>
      <c r="AO42" s="59">
        <f t="shared" si="36"/>
        <v>268.54782308462387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43.221151926970009</v>
      </c>
      <c r="AV42" s="21">
        <f>EXP(-LN(2)/25)*AV41+(1-EXP(-LN(2)/25))/(LN(2)/25)*Calculateur!AQ42*Calculateur!AS42*VLOOKUP('Données projet'!$B$10,Paramètres!$A$1:$I$89,3,0)*0.475*44/12</f>
        <v>17.232152272890836</v>
      </c>
      <c r="AW42" s="21">
        <f>EXP(-LN(2)/2)*AW41+(1-EXP(-LN(2)/2))/(LN(2)/2)*AQ42*AT42*VLOOKUP('Données projet'!$B$10,Paramètres!$A$1:$I$89,3,0)*0.475*44/12</f>
        <v>2.2977431529889074</v>
      </c>
      <c r="AX42" s="21">
        <f t="shared" si="6"/>
        <v>62.751047352849753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10.000000000000004</v>
      </c>
      <c r="BD42" s="12">
        <f>IF('Données projet'!$A$88&gt;35,BD41+BC42-BL41,IF(A42&lt;'Données projet'!$A$88,$BA$205^A42,IF(A42='Données projet'!$A$88,'Données projet'!$B$88,BD41+BC42-BL41)))</f>
        <v>264.71999999999991</v>
      </c>
      <c r="BE42" s="13">
        <f>BD42*VLOOKUP('Données projet'!$B$11,Paramètres!$A$1:$I$89,3,0)*VLOOKUP('Données projet'!$B$11,Paramètres!$A$1:$I$89,5,0)</f>
        <v>123.88895999999997</v>
      </c>
      <c r="BF42" s="13">
        <f t="shared" si="37"/>
        <v>32.580344833727665</v>
      </c>
      <c r="BG42" s="20">
        <f t="shared" si="7"/>
        <v>272.51737258540891</v>
      </c>
      <c r="BH42" s="59">
        <f t="shared" si="8"/>
        <v>565.85070591874228</v>
      </c>
      <c r="BI42" s="59">
        <f ca="1">AVERAGE(OFFSET($BH$3,0,0,'Données projet'!$E$11+1,1))-AVERAGE(OFFSET($H$3,0,0,'Données projet'!$E$11+1,1))</f>
        <v>252.70779718608964</v>
      </c>
      <c r="BJ42" s="59">
        <f t="shared" si="38"/>
        <v>187.86969111712705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8.7359442843042974</v>
      </c>
      <c r="BQ42" s="21">
        <f>EXP(-LN(2)/25)*BQ41+(1-EXP(-LN(2)/25))/(LN(2)/25)*Calculateur!BL42*Calculateur!BN42*VLOOKUP('Données projet'!$B$11,Paramètres!$A$1:$I$89,3,0)*0.475*44/12</f>
        <v>5.4986515098210864</v>
      </c>
      <c r="BR42" s="21">
        <f>EXP(-LN(2)/2)*BR41+(1-EXP(-LN(2)/2))/(LN(2)/2)*BL42*BO42*VLOOKUP('Données projet'!$B$11,Paramètres!$A$1:$I$89,3,0)*0.475*44/12</f>
        <v>0.14519655534803536</v>
      </c>
      <c r="BS42" s="22">
        <f t="shared" si="9"/>
        <v>14.379792349473417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17.600000000000001</v>
      </c>
      <c r="BY42" s="12">
        <f>IF('Données projet'!$A$114&gt;35,BY41+BX42-CG41,IF(A42&lt;'Données projet'!$A$114,$BV$205^A42,IF(A42='Données projet'!$A$114,'Données projet'!$B$114,BY41+BX42-CG41)))</f>
        <v>314.40000000000003</v>
      </c>
      <c r="BZ42" s="13">
        <f>BY42*VLOOKUP('Données projet'!$B$12,Paramètres!$A$1:$I$89,3,0)*VLOOKUP('Données projet'!$B$12,Paramètres!$A$1:$I$89,5,0)</f>
        <v>188.01120000000003</v>
      </c>
      <c r="CA42" s="13">
        <f t="shared" si="39"/>
        <v>47.099988496590989</v>
      </c>
      <c r="CB42" s="20">
        <f t="shared" si="10"/>
        <v>409.48531996489601</v>
      </c>
      <c r="CC42" s="59">
        <f t="shared" si="11"/>
        <v>702.81865329822926</v>
      </c>
      <c r="CD42" s="59">
        <f ca="1">AVERAGE(OFFSET($CC$3,0,0,'Données projet'!$E$12+1,1))-AVERAGE(OFFSET($H$3,0,0,'Données projet'!$E$12+1,1))</f>
        <v>279.86432710889352</v>
      </c>
      <c r="CE42" s="59">
        <f t="shared" si="40"/>
        <v>297.01680128882509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28.316712125210906</v>
      </c>
      <c r="CM42" s="21">
        <f>EXP(-LN(2)/2)*CM41+(1-EXP(-LN(2)/2))/(LN(2)/2)*CG42*CJ42*VLOOKUP('Données projet'!$B$12,Paramètres!$A$1:$I$89,3,0)*0.475*44/12</f>
        <v>4.4540088460559684</v>
      </c>
      <c r="CN42" s="22">
        <f t="shared" si="12"/>
        <v>32.770720971266876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13.2</v>
      </c>
      <c r="CT42" s="12">
        <f>IF('Données projet'!$A$140&gt;35,CT41+CS42-DB41,IF(A42&lt;'Données projet'!$A$140,$CQ$205^A42,IF(A42='Données projet'!$A$140,'Données projet'!$B$140,CT41+CS42-DB41)))</f>
        <v>237.79999999999993</v>
      </c>
      <c r="CU42" s="17">
        <f>CT42*VLOOKUP('Données projet'!$B$13,Paramètres!$A$1:$I$89,3,0)*VLOOKUP('Données projet'!$B$13,Paramètres!$A$1:$I$89,5,0)</f>
        <v>189.19367999999994</v>
      </c>
      <c r="CV42" s="13">
        <f t="shared" si="41"/>
        <v>47.361642848204703</v>
      </c>
      <c r="CW42" s="20">
        <f t="shared" si="13"/>
        <v>412.00052062728975</v>
      </c>
      <c r="CX42" s="59">
        <f t="shared" si="14"/>
        <v>705.33385396062306</v>
      </c>
      <c r="CY42" s="59">
        <f ca="1">AVERAGE(OFFSET($CX$3,0,0,'Données projet'!$E$13+1,1))-AVERAGE(OFFSET($H$3,0,0,'Données projet'!$E$13+1,1))</f>
        <v>314.6300257056194</v>
      </c>
      <c r="CZ42" s="59">
        <f t="shared" si="42"/>
        <v>298.00555477466668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13.2</v>
      </c>
      <c r="DO42" s="12">
        <f>IF('Données projet'!$A$166&gt;35,DO41+DN42-DW41,IF(A42&lt;'Données projet'!$A$166,$DL$205^A42,IF(A42='Données projet'!$A$166,'Données projet'!$B$166,DO41+DN42-DW41)))</f>
        <v>237.79999999999993</v>
      </c>
      <c r="DP42" s="17">
        <f>DO42*VLOOKUP('Données projet'!$B$14,Paramètres!$A$1:$I$89,3,0)*VLOOKUP('Données projet'!$B$14,Paramètres!$A$1:$I$89,5,0)</f>
        <v>189.19367999999994</v>
      </c>
      <c r="DQ42" s="13">
        <f t="shared" si="43"/>
        <v>47.361642848204703</v>
      </c>
      <c r="DR42" s="20">
        <f t="shared" si="16"/>
        <v>412.00052062728975</v>
      </c>
      <c r="DS42" s="59">
        <f t="shared" si="17"/>
        <v>705.33385396062306</v>
      </c>
      <c r="DT42" s="59">
        <f ca="1">AVERAGE(OFFSET($DS$3,0,0,'Données projet'!$E$14+1,1))-AVERAGE(OFFSET($H$3,0,0,'Données projet'!$E$14+1,1))</f>
        <v>314.6300257056194</v>
      </c>
      <c r="DU42" s="59">
        <f t="shared" si="44"/>
        <v>298.00555477466668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13.410256410256407</v>
      </c>
      <c r="EJ42" s="12">
        <f>IF('Données projet'!$A$192&gt;35,EJ41+EI42-ER41,IF(A42&lt;'Données projet'!$A$192,$EG$205^A42,IF(A42='Données projet'!$A$192,'Données projet'!$B$192,EJ41+EI42-ER41)))</f>
        <v>263.06153846153842</v>
      </c>
      <c r="EK42" s="17">
        <f>EJ42*VLOOKUP('Données projet'!$B$15,Paramètres!$A$1:$I$89,3,0)*VLOOKUP('Données projet'!$B$15,Paramètres!$A$1:$I$89,5,0)</f>
        <v>126.53259999999999</v>
      </c>
      <c r="EL42" s="13">
        <f t="shared" si="45"/>
        <v>33.193888727849838</v>
      </c>
      <c r="EM42" s="20">
        <f t="shared" si="19"/>
        <v>278.19030120100507</v>
      </c>
      <c r="EN42" s="59">
        <f t="shared" si="20"/>
        <v>571.52363453433838</v>
      </c>
      <c r="EO42" s="59">
        <f ca="1">AVERAGE(OFFSET($EN$3,0,0,'Données projet'!$E$15+1,1))-AVERAGE(OFFSET($H$3,0,0,'Données projet'!$E$15+1,1))</f>
        <v>238.83604534181978</v>
      </c>
      <c r="EP42" s="59">
        <f t="shared" si="46"/>
        <v>114.85152559837792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9.6</v>
      </c>
      <c r="FE42" s="12">
        <f>IF('Données projet'!$A$218&gt;35,FE41+FD42-FM41,IF(A42&lt;'Données projet'!$A$218,$FB$205^A42,IF(A42='Données projet'!$A$218,'Données projet'!$B$218,FE41+FD42-FM41)))</f>
        <v>154.39999999999998</v>
      </c>
      <c r="FF42" s="17">
        <f>FE42*VLOOKUP('Données projet'!$B$16,Paramètres!$A$1:$I$89,3,0)*VLOOKUP('Données projet'!$B$16,Paramètres!$A$1:$I$89,5,0)</f>
        <v>125.24928</v>
      </c>
      <c r="FG42" s="13">
        <f t="shared" si="47"/>
        <v>32.896240280120566</v>
      </c>
      <c r="FH42" s="20">
        <f t="shared" si="22"/>
        <v>275.43678115454327</v>
      </c>
      <c r="FI42" s="59">
        <f t="shared" si="23"/>
        <v>568.77011448787653</v>
      </c>
      <c r="FJ42" s="59">
        <f ca="1">AVERAGE(OFFSET($FI$3,0,0,'Données projet'!$E$16+1,1))-AVERAGE(OFFSET($H$3,0,0,'Données projet'!$E$16+1,1))</f>
        <v>196.95467273423861</v>
      </c>
      <c r="FK42" s="59">
        <f t="shared" si="48"/>
        <v>173.8709326829258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2.9923980698598802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2.1430892927580953</v>
      </c>
      <c r="FT42" s="22">
        <f t="shared" si="24"/>
        <v>5.135487362617976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9.6</v>
      </c>
      <c r="FZ42" s="12">
        <f>IF('Données projet'!$A$244&gt;35,FZ41+FY42-GH41,IF(A42&lt;'Données projet'!$A$244,$FW$205^A42,IF(A42='Données projet'!$A$244,'Données projet'!$B$244,FZ41+FY42-GH41)))</f>
        <v>154.39999999999998</v>
      </c>
      <c r="GA42" s="17">
        <f>FZ42*VLOOKUP('Données projet'!$B$17,Paramètres!$A$1:$I$89,3,0)*VLOOKUP('Données projet'!$B$17,Paramètres!$A$1:$I$89,5,0)</f>
        <v>166.19615999999996</v>
      </c>
      <c r="GB42" s="13">
        <f t="shared" si="49"/>
        <v>42.236971178169284</v>
      </c>
      <c r="GC42" s="20">
        <f t="shared" si="25"/>
        <v>363.02103680197814</v>
      </c>
      <c r="GD42" s="59">
        <f t="shared" si="26"/>
        <v>656.35437013531146</v>
      </c>
      <c r="GE42" s="59">
        <f ca="1">AVERAGE(OFFSET($GD$3,0,0,'Données projet'!$E$17+1,1))-AVERAGE(OFFSET($H$3,0,0,'Données projet'!$E$17+1,1))</f>
        <v>275.5229427552884</v>
      </c>
      <c r="GF42" s="59">
        <f t="shared" si="50"/>
        <v>241.20234081716143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3.9706820542371477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2.8437146384674725</v>
      </c>
      <c r="GO42" s="21">
        <f t="shared" si="27"/>
        <v>6.8143966927046202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22.419230769230779</v>
      </c>
      <c r="N43" s="13">
        <f>IF('Données projet'!$A$36&gt;35,N42+M43-V42,IF(A43&lt;'Données projet'!$A$36,$K$205^A43,IF(A43='Données projet'!$A$36,'Données projet'!$B$36,N42+M43-V42)))</f>
        <v>423.88461538461513</v>
      </c>
      <c r="O43" s="13">
        <f>N43*VLOOKUP('Données projet'!$B$9,Paramètres!$A$1:$I$89,3,0)*VLOOKUP('Données projet'!$B$9,Paramètres!$A$1:$I$89,5,0)</f>
        <v>236.95149999999987</v>
      </c>
      <c r="P43" s="13">
        <f t="shared" si="33"/>
        <v>57.783143668102703</v>
      </c>
      <c r="Q43" s="20">
        <f t="shared" si="53"/>
        <v>513.32950438861201</v>
      </c>
      <c r="R43" s="59">
        <f t="shared" si="0"/>
        <v>806.66283772194538</v>
      </c>
      <c r="S43" s="59">
        <f ca="1">AVERAGE(OFFSET($R$3,0,0,'Données projet'!$E$9+1,1))-AVERAGE(OFFSET($H$3,0,0,'Données projet'!$E$9+1,1))</f>
        <v>274.57619581652199</v>
      </c>
      <c r="T43" s="59">
        <f t="shared" si="34"/>
        <v>366.15117322598775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 t="e">
        <f>EXP(-LN(2)/35)*Z42+(1-EXP(-LN(2)/35))/(LN(2)/35)*V43*W43*VLOOKUP('Données projet'!$B$9,Paramètres!$A$1:$I$89,3,0)*0.475*44/12</f>
        <v>#VALUE!</v>
      </c>
      <c r="AA43" s="21" t="e">
        <f>EXP(-LN(2)/25)*AA42+(1-EXP(-LN(2)/25))/(LN(2)/25)*Calculateur!V43*Calculateur!X43*VLOOKUP('Données projet'!$B$9,Paramètres!$A$1:$I$89,3,0)*0.475*44/12</f>
        <v>#VALUE!</v>
      </c>
      <c r="AB43" s="21" t="e">
        <f>EXP(-LN(2)/2)*AB42+(1-EXP(-LN(2)/2))/(LN(2)/2)*V43*Y43*VLOOKUP('Données projet'!$B$9,Paramètres!$A$1:$I$89,3,0)*0.475*44/12</f>
        <v>#VALUE!</v>
      </c>
      <c r="AC43" s="22" t="e">
        <f t="shared" si="3"/>
        <v>#VALUE!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11.5</v>
      </c>
      <c r="AI43" s="13">
        <f>IF('Données projet'!$A$62&gt;35,AI42+AH43-AQ42,IF(A43&lt;'Données projet'!$A$62,$AF$205^A43,IF(A43='Données projet'!$A$62,'Données projet'!$B$62,AI42+AH43-AQ42)))</f>
        <v>232</v>
      </c>
      <c r="AJ43" s="13">
        <f>AI43*VLOOKUP('Données projet'!$B$10,Paramètres!$A$1:$I$89,3,0)*VLOOKUP('Données projet'!$B$10,Paramètres!$A$1:$I$89,5,0)</f>
        <v>144.768</v>
      </c>
      <c r="AK43" s="13">
        <f t="shared" si="35"/>
        <v>37.387149255707826</v>
      </c>
      <c r="AL43" s="20">
        <f t="shared" si="4"/>
        <v>317.25355162035777</v>
      </c>
      <c r="AM43" s="59">
        <f t="shared" si="5"/>
        <v>610.58688495369108</v>
      </c>
      <c r="AN43" s="59">
        <f ca="1">AVERAGE(OFFSET($AM$3,0,0,'Données projet'!$E$10+1,1))-AVERAGE(OFFSET($H$3,0,0,'Données projet'!$E$10+1,1))</f>
        <v>175.05987582828078</v>
      </c>
      <c r="AO43" s="59">
        <f t="shared" si="36"/>
        <v>268.54782308462387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42.373611499981742</v>
      </c>
      <c r="AV43" s="21">
        <f>EXP(-LN(2)/25)*AV42+(1-EXP(-LN(2)/25))/(LN(2)/25)*Calculateur!AQ43*Calculateur!AS43*VLOOKUP('Données projet'!$B$10,Paramètres!$A$1:$I$89,3,0)*0.475*44/12</f>
        <v>16.760938162789135</v>
      </c>
      <c r="AW43" s="21">
        <f>EXP(-LN(2)/2)*AW42+(1-EXP(-LN(2)/2))/(LN(2)/2)*AQ43*AT43*VLOOKUP('Données projet'!$B$10,Paramètres!$A$1:$I$89,3,0)*0.475*44/12</f>
        <v>1.6247497649034153</v>
      </c>
      <c r="AX43" s="21">
        <f t="shared" si="6"/>
        <v>60.759299427674293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274.72000000000003</v>
      </c>
      <c r="BB43" s="12">
        <f>VLOOKUP(A43,'Données projet'!$A$87:$I$107,9,0)</f>
        <v>10.000000000000004</v>
      </c>
      <c r="BC43" s="12">
        <f t="array" ref="BC43">INDEX(BB:BB,MIN(IF(ISNUMBER(BB43:BB239),ROW(BB43:BB239),"")))</f>
        <v>10.000000000000004</v>
      </c>
      <c r="BD43" s="12">
        <f>IF('Données projet'!$A$88&gt;35,BD42+BC43-BL42,IF(A43&lt;'Données projet'!$A$88,$BA$205^A43,IF(A43='Données projet'!$A$88,'Données projet'!$B$88,BD42+BC43-BL42)))</f>
        <v>274.71999999999991</v>
      </c>
      <c r="BE43" s="13">
        <f>BD43*VLOOKUP('Données projet'!$B$11,Paramètres!$A$1:$I$89,3,0)*VLOOKUP('Données projet'!$B$11,Paramètres!$A$1:$I$89,5,0)</f>
        <v>128.56895999999995</v>
      </c>
      <c r="BF43" s="13">
        <f t="shared" si="37"/>
        <v>33.665475282053634</v>
      </c>
      <c r="BG43" s="20">
        <f t="shared" si="7"/>
        <v>282.55830811624332</v>
      </c>
      <c r="BH43" s="59">
        <f t="shared" si="8"/>
        <v>575.89164144957658</v>
      </c>
      <c r="BI43" s="59">
        <f ca="1">AVERAGE(OFFSET($BH$3,0,0,'Données projet'!$E$11+1,1))-AVERAGE(OFFSET($H$3,0,0,'Données projet'!$E$11+1,1))</f>
        <v>252.70779718608964</v>
      </c>
      <c r="BJ43" s="59">
        <f t="shared" si="38"/>
        <v>187.86969111712705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54.94400000000001</v>
      </c>
      <c r="BM43" s="16">
        <f>IF(ISNA(VLOOKUP(A43,'Données projet'!$A$87:$I$107,5,0)),0%,VLOOKUP(A43,'Données projet'!$A$87:$I$107,5,0)*VLOOKUP('Données projet'!$B$11,Paramètres!$A$1:$I$89,7,0))</f>
        <v>0.38500000000000001</v>
      </c>
      <c r="BN43" s="16">
        <f>IF(ISNA(VLOOKUP(A43,'Données projet'!$A$87:$I$107,6,0)),0%,VLOOKUP(A43,'Données projet'!$A$87:$I$107,6,0)*VLOOKUP('Données projet'!$B$11,Paramètres!$A$1:$I$89,7,0))</f>
        <v>9.240000000000001E-2</v>
      </c>
      <c r="BO43" s="16">
        <f>IF(ISNA(VLOOKUP(A43,'Données projet'!$A$87:$I$107,7,0)),0%,VLOOKUP(A43,'Données projet'!$A$87:$I$107,7,0))</f>
        <v>0.13200000000000001</v>
      </c>
      <c r="BP43" s="21">
        <f>EXP(-LN(2)/35)*BP42+(1-EXP(-LN(2)/35))/(LN(2)/35)*BL43*BM43*VLOOKUP('Données projet'!$B$11,Paramètres!$A$1:$I$89,3,0)*0.475*44/12</f>
        <v>21.697373700768729</v>
      </c>
      <c r="BQ43" s="21">
        <f>EXP(-LN(2)/25)*BQ42+(1-EXP(-LN(2)/25))/(LN(2)/25)*Calculateur!BL43*Calculateur!BN43*VLOOKUP('Données projet'!$B$11,Paramètres!$A$1:$I$89,3,0)*0.475*44/12</f>
        <v>8.4877371639375134</v>
      </c>
      <c r="BR43" s="21">
        <f>EXP(-LN(2)/2)*BR42+(1-EXP(-LN(2)/2))/(LN(2)/2)*BL43*BO43*VLOOKUP('Données projet'!$B$11,Paramètres!$A$1:$I$89,3,0)*0.475*44/12</f>
        <v>3.9457155937361748</v>
      </c>
      <c r="BS43" s="22">
        <f t="shared" si="9"/>
        <v>34.130826458442414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332</v>
      </c>
      <c r="BW43" s="12">
        <f>VLOOKUP(A43,'Données projet'!$A$113:$I$133,9,0)</f>
        <v>17.600000000000001</v>
      </c>
      <c r="BX43" s="12">
        <f t="array" ref="BX43">INDEX(BW:BW,MIN(IF(ISNUMBER(BW43:BW239),ROW(BW43:BW239),"")))</f>
        <v>17.600000000000001</v>
      </c>
      <c r="BY43" s="12">
        <f>IF('Données projet'!$A$114&gt;35,BY42+BX43-CG42,IF(A43&lt;'Données projet'!$A$114,$BV$205^A43,IF(A43='Données projet'!$A$114,'Données projet'!$B$114,BY42+BX43-CG42)))</f>
        <v>332.00000000000006</v>
      </c>
      <c r="BZ43" s="13">
        <f>BY43*VLOOKUP('Données projet'!$B$12,Paramètres!$A$1:$I$89,3,0)*VLOOKUP('Données projet'!$B$12,Paramètres!$A$1:$I$89,5,0)</f>
        <v>198.53600000000003</v>
      </c>
      <c r="CA43" s="13">
        <f t="shared" si="39"/>
        <v>49.42228739122875</v>
      </c>
      <c r="CB43" s="20">
        <f t="shared" si="10"/>
        <v>431.86068387305681</v>
      </c>
      <c r="CC43" s="59">
        <f t="shared" si="11"/>
        <v>725.19401720639007</v>
      </c>
      <c r="CD43" s="59">
        <f ca="1">AVERAGE(OFFSET($CC$3,0,0,'Données projet'!$E$12+1,1))-AVERAGE(OFFSET($H$3,0,0,'Données projet'!$E$12+1,1))</f>
        <v>279.86432710889352</v>
      </c>
      <c r="CE43" s="59">
        <f t="shared" si="40"/>
        <v>297.01680128882509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48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0.27</v>
      </c>
      <c r="CJ43" s="16">
        <f>IF(ISNA(VLOOKUP(A43,'Données projet'!$A$113:$I$133,7,0)),0%,VLOOKUP(A43,'Données projet'!$A$113:$I$133,7,0))</f>
        <v>0.4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37.782890659649972</v>
      </c>
      <c r="CM43" s="21">
        <f>EXP(-LN(2)/2)*CM42+(1-EXP(-LN(2)/2))/(LN(2)/2)*CG43*CJ43*VLOOKUP('Données projet'!$B$12,Paramètres!$A$1:$I$89,3,0)*0.475*44/12</f>
        <v>16.149298205790917</v>
      </c>
      <c r="CN43" s="22">
        <f t="shared" si="12"/>
        <v>53.932188865440892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13.2</v>
      </c>
      <c r="CS43" s="12">
        <f t="array" ref="CS43">INDEX(CR:CR,MIN(IF(ISNUMBER(CR43:CR239),ROW(CR43:CR239),"")))</f>
        <v>13.2</v>
      </c>
      <c r="CT43" s="12">
        <f>IF('Données projet'!$A$140&gt;35,CT42+CS43-DB42,IF(A43&lt;'Données projet'!$A$140,$CQ$205^A43,IF(A43='Données projet'!$A$140,'Données projet'!$B$140,CT42+CS43-DB42)))</f>
        <v>250.99999999999991</v>
      </c>
      <c r="CU43" s="17">
        <f>CT43*VLOOKUP('Données projet'!$B$13,Paramètres!$A$1:$I$89,3,0)*VLOOKUP('Données projet'!$B$13,Paramètres!$A$1:$I$89,5,0)</f>
        <v>199.69559999999996</v>
      </c>
      <c r="CV43" s="13">
        <f t="shared" si="41"/>
        <v>49.677263889452327</v>
      </c>
      <c r="CW43" s="20">
        <f t="shared" si="13"/>
        <v>434.32440460746267</v>
      </c>
      <c r="CX43" s="59">
        <f t="shared" si="14"/>
        <v>727.65773794079598</v>
      </c>
      <c r="CY43" s="59">
        <f ca="1">AVERAGE(OFFSET($CX$3,0,0,'Données projet'!$E$13+1,1))-AVERAGE(OFFSET($H$3,0,0,'Données projet'!$E$13+1,1))</f>
        <v>314.6300257056194</v>
      </c>
      <c r="CZ43" s="59">
        <f t="shared" si="42"/>
        <v>298.00555477466668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40</v>
      </c>
      <c r="DC43" s="16">
        <f>IF(ISNA(VLOOKUP(A43,'Données projet'!$A$139:$I$159,5,0)),0%,VLOOKUP(A43,'Données projet'!$A$139:$I$159,5,0)*VLOOKUP('Données projet'!$B$13,Paramètres!$A$1:$I$89,7,0))</f>
        <v>0.13250000000000001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4.6614148399690007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4.6614148399690007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13.2</v>
      </c>
      <c r="DN43" s="12">
        <f t="array" ref="DN43">INDEX(DM:DM,MIN(IF(ISNUMBER(DM43:DM239),ROW(DM43:DM239),"")))</f>
        <v>13.2</v>
      </c>
      <c r="DO43" s="12">
        <f>IF('Données projet'!$A$166&gt;35,DO42+DN43-DW42,IF(A43&lt;'Données projet'!$A$166,$DL$205^A43,IF(A43='Données projet'!$A$166,'Données projet'!$B$166,DO42+DN43-DW42)))</f>
        <v>250.99999999999991</v>
      </c>
      <c r="DP43" s="17">
        <f>DO43*VLOOKUP('Données projet'!$B$14,Paramètres!$A$1:$I$89,3,0)*VLOOKUP('Données projet'!$B$14,Paramètres!$A$1:$I$89,5,0)</f>
        <v>199.69559999999996</v>
      </c>
      <c r="DQ43" s="13">
        <f t="shared" si="43"/>
        <v>49.677263889452327</v>
      </c>
      <c r="DR43" s="20">
        <f t="shared" si="16"/>
        <v>434.32440460746267</v>
      </c>
      <c r="DS43" s="59">
        <f t="shared" si="17"/>
        <v>727.65773794079598</v>
      </c>
      <c r="DT43" s="59">
        <f ca="1">AVERAGE(OFFSET($DS$3,0,0,'Données projet'!$E$14+1,1))-AVERAGE(OFFSET($H$3,0,0,'Données projet'!$E$14+1,1))</f>
        <v>314.6300257056194</v>
      </c>
      <c r="DU43" s="59">
        <f t="shared" si="44"/>
        <v>298.00555477466668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40</v>
      </c>
      <c r="DX43" s="16">
        <f>IF(ISNA(VLOOKUP(A43,'Données projet'!$A$165:$I$185,5,0)),0%,VLOOKUP(A43,'Données projet'!$A$165:$I$185,5,0)*VLOOKUP('Données projet'!$B$14,Paramètres!$A$1:$I$89,7,0))</f>
        <v>0.13250000000000001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4.6614148399690007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4.6614148399690007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13.410256410256407</v>
      </c>
      <c r="EJ43" s="12">
        <f>IF('Données projet'!$A$192&gt;35,EJ42+EI43-ER42,IF(A43&lt;'Données projet'!$A$192,$EG$205^A43,IF(A43='Données projet'!$A$192,'Données projet'!$B$192,EJ42+EI43-ER42)))</f>
        <v>276.47179487179483</v>
      </c>
      <c r="EK43" s="17">
        <f>EJ43*VLOOKUP('Données projet'!$B$15,Paramètres!$A$1:$I$89,3,0)*VLOOKUP('Données projet'!$B$15,Paramètres!$A$1:$I$89,5,0)</f>
        <v>132.98293333333331</v>
      </c>
      <c r="EL43" s="13">
        <f t="shared" si="45"/>
        <v>34.684714936374363</v>
      </c>
      <c r="EM43" s="20">
        <f t="shared" si="19"/>
        <v>292.02115406974093</v>
      </c>
      <c r="EN43" s="59">
        <f t="shared" si="20"/>
        <v>585.35448740307424</v>
      </c>
      <c r="EO43" s="59">
        <f ca="1">AVERAGE(OFFSET($EN$3,0,0,'Données projet'!$E$15+1,1))-AVERAGE(OFFSET($H$3,0,0,'Données projet'!$E$15+1,1))</f>
        <v>238.83604534181978</v>
      </c>
      <c r="EP43" s="59">
        <f t="shared" si="46"/>
        <v>114.85152559837792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164</v>
      </c>
      <c r="FC43" s="12">
        <f>VLOOKUP(A43,'Données projet'!$A$217:$I$237,9,0)</f>
        <v>9.6</v>
      </c>
      <c r="FD43" s="12">
        <f t="array" ref="FD43">INDEX(FC:FC,MIN(IF(ISNUMBER(FC43:FC239),ROW(FC43:FC239),"")))</f>
        <v>9.6</v>
      </c>
      <c r="FE43" s="12">
        <f>IF('Données projet'!$A$218&gt;35,FE42+FD43-FM42,IF(A43&lt;'Données projet'!$A$218,$FB$205^A43,IF(A43='Données projet'!$A$218,'Données projet'!$B$218,FE42+FD43-FM42)))</f>
        <v>163.99999999999997</v>
      </c>
      <c r="FF43" s="17">
        <f>FE43*VLOOKUP('Données projet'!$B$16,Paramètres!$A$1:$I$89,3,0)*VLOOKUP('Données projet'!$B$16,Paramètres!$A$1:$I$89,5,0)</f>
        <v>133.03679999999997</v>
      </c>
      <c r="FG43" s="13">
        <f t="shared" si="47"/>
        <v>34.697128823525262</v>
      </c>
      <c r="FH43" s="20">
        <f t="shared" si="22"/>
        <v>292.13659270097304</v>
      </c>
      <c r="FI43" s="59">
        <f t="shared" si="23"/>
        <v>585.46992603430635</v>
      </c>
      <c r="FJ43" s="59">
        <f ca="1">AVERAGE(OFFSET($FI$3,0,0,'Données projet'!$E$16+1,1))-AVERAGE(OFFSET($H$3,0,0,'Données projet'!$E$16+1,1))</f>
        <v>196.95467273423861</v>
      </c>
      <c r="FK43" s="59">
        <f t="shared" si="48"/>
        <v>173.8709326829258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28</v>
      </c>
      <c r="FN43" s="16">
        <f>IF(ISNA(VLOOKUP(A43,'Données projet'!$A$217:$I$237,5,0)),0%,VLOOKUP(A43,'Données projet'!$A$217:$I$237,5,0)*VLOOKUP('Données projet'!$B$16,Paramètres!$A$1:$I$89,7,0))</f>
        <v>0.129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0.4</v>
      </c>
      <c r="FQ43" s="21">
        <f>EXP(-LN(2)/35)*FQ42+(1-EXP(-LN(2)/35))/(LN(2)/35)*FM43*FN43*VLOOKUP('Données projet'!$B$16,Paramètres!$A$1:$I$89,3,0)*0.475*44/12</f>
        <v>6.172807318512719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10.087750142629909</v>
      </c>
      <c r="FT43" s="22">
        <f t="shared" si="24"/>
        <v>16.260557461142628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164</v>
      </c>
      <c r="FX43" s="12">
        <f>VLOOKUP(A43,'Données projet'!$A$243:$I$263,9,0)</f>
        <v>9.6</v>
      </c>
      <c r="FY43" s="12">
        <f t="array" ref="FY43">INDEX(FX:FX,MIN(IF(ISNUMBER(FX43:FX239),ROW(FX43:FX239),"")))</f>
        <v>9.6</v>
      </c>
      <c r="FZ43" s="12">
        <f>IF('Données projet'!$A$244&gt;35,FZ42+FY43-GH42,IF(A43&lt;'Données projet'!$A$244,$FW$205^A43,IF(A43='Données projet'!$A$244,'Données projet'!$B$244,FZ42+FY43-GH42)))</f>
        <v>163.99999999999997</v>
      </c>
      <c r="GA43" s="17">
        <f>FZ43*VLOOKUP('Données projet'!$B$17,Paramètres!$A$1:$I$89,3,0)*VLOOKUP('Données projet'!$B$17,Paramètres!$A$1:$I$89,5,0)</f>
        <v>176.52959999999996</v>
      </c>
      <c r="GB43" s="13">
        <f t="shared" si="49"/>
        <v>44.549213454343487</v>
      </c>
      <c r="GC43" s="20">
        <f t="shared" si="25"/>
        <v>385.0456000996482</v>
      </c>
      <c r="GD43" s="59">
        <f t="shared" si="26"/>
        <v>678.37893343298151</v>
      </c>
      <c r="GE43" s="59">
        <f ca="1">AVERAGE(OFFSET($GD$3,0,0,'Données projet'!$E$17+1,1))-AVERAGE(OFFSET($H$3,0,0,'Données projet'!$E$17+1,1))</f>
        <v>275.5229427552884</v>
      </c>
      <c r="GF43" s="59">
        <f t="shared" si="50"/>
        <v>241.20234081716143</v>
      </c>
      <c r="GG43" s="15">
        <f>IF(ISNA(VLOOKUP(A43,'Données projet'!$A$243:$I$263,3,0)),0,VLOOKUP(A43,'Données projet'!$A$243:$I$263,3,0))</f>
        <v>5</v>
      </c>
      <c r="GH43" s="15">
        <f>IF(ISNA(VLOOKUP(A43,'Données projet'!$A$243:$I$263,4,0)),0,VLOOKUP(A43,'Données projet'!$A$243:$I$263,4,0))</f>
        <v>28</v>
      </c>
      <c r="GI43" s="16">
        <f>IF(ISNA(VLOOKUP(A43,'Données projet'!$A$243:$I$263,5,0)),0%,VLOOKUP(A43,'Données projet'!$A$243:$I$263,5,0)*VLOOKUP('Données projet'!$B$17,Paramètres!$A$1:$I$89,7,0))</f>
        <v>0.129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0.4</v>
      </c>
      <c r="GL43" s="21">
        <f>EXP(-LN(2)/35)*GL42+(1-EXP(-LN(2)/35))/(LN(2)/35)*GH43*GI43*VLOOKUP('Données projet'!$B$17,Paramètres!$A$1:$I$89,3,0)*0.475*44/12</f>
        <v>8.1908404803341828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13.385668458489686</v>
      </c>
      <c r="GO43" s="21">
        <f t="shared" si="27"/>
        <v>21.576508938823871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22.419230769230779</v>
      </c>
      <c r="N44" s="13">
        <f>IF('Données projet'!$A$36&gt;35,N43+M44-V43,IF(A44&lt;'Données projet'!$A$36,$K$205^A44,IF(A44='Données projet'!$A$36,'Données projet'!$B$36,N43+M44-V43)))</f>
        <v>446.30384615384594</v>
      </c>
      <c r="O44" s="13">
        <f>N44*VLOOKUP('Données projet'!$B$9,Paramètres!$A$1:$I$89,3,0)*VLOOKUP('Données projet'!$B$9,Paramètres!$A$1:$I$89,5,0)</f>
        <v>249.4838499999999</v>
      </c>
      <c r="P44" s="13">
        <f t="shared" si="33"/>
        <v>60.475401807280001</v>
      </c>
      <c r="Q44" s="20">
        <f t="shared" si="53"/>
        <v>539.84569689767909</v>
      </c>
      <c r="R44" s="59">
        <f t="shared" si="0"/>
        <v>833.17903023101235</v>
      </c>
      <c r="S44" s="59">
        <f ca="1">AVERAGE(OFFSET($R$3,0,0,'Données projet'!$E$9+1,1))-AVERAGE(OFFSET($H$3,0,0,'Données projet'!$E$9+1,1))</f>
        <v>274.57619581652199</v>
      </c>
      <c r="T44" s="59">
        <f t="shared" si="34"/>
        <v>366.15117322598775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 t="e">
        <f>EXP(-LN(2)/35)*Z43+(1-EXP(-LN(2)/35))/(LN(2)/35)*V44*W44*VLOOKUP('Données projet'!$B$9,Paramètres!$A$1:$I$89,3,0)*0.475*44/12</f>
        <v>#VALUE!</v>
      </c>
      <c r="AA44" s="21" t="e">
        <f>EXP(-LN(2)/25)*AA43+(1-EXP(-LN(2)/25))/(LN(2)/25)*Calculateur!V44*Calculateur!X44*VLOOKUP('Données projet'!$B$9,Paramètres!$A$1:$I$89,3,0)*0.475*44/12</f>
        <v>#VALUE!</v>
      </c>
      <c r="AB44" s="21" t="e">
        <f>EXP(-LN(2)/2)*AB43+(1-EXP(-LN(2)/2))/(LN(2)/2)*V44*Y44*VLOOKUP('Données projet'!$B$9,Paramètres!$A$1:$I$89,3,0)*0.475*44/12</f>
        <v>#VALUE!</v>
      </c>
      <c r="AC44" s="22" t="e">
        <f t="shared" si="3"/>
        <v>#VALUE!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243.5</v>
      </c>
      <c r="AJ44" s="13">
        <f>AI44*VLOOKUP('Données projet'!$B$10,Paramètres!$A$1:$I$89,3,0)*VLOOKUP('Données projet'!$B$10,Paramètres!$A$1:$I$89,5,0)</f>
        <v>151.94399999999999</v>
      </c>
      <c r="AK44" s="13">
        <f t="shared" si="35"/>
        <v>39.02003496976517</v>
      </c>
      <c r="AL44" s="20">
        <f t="shared" si="4"/>
        <v>332.59569423900763</v>
      </c>
      <c r="AM44" s="59">
        <f t="shared" si="5"/>
        <v>625.92902757234094</v>
      </c>
      <c r="AN44" s="59">
        <f ca="1">AVERAGE(OFFSET($AM$3,0,0,'Données projet'!$E$10+1,1))-AVERAGE(OFFSET($H$3,0,0,'Données projet'!$E$10+1,1))</f>
        <v>175.05987582828078</v>
      </c>
      <c r="AO44" s="59">
        <f t="shared" si="36"/>
        <v>268.54782308462387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41.542690823818099</v>
      </c>
      <c r="AV44" s="21">
        <f>EXP(-LN(2)/25)*AV43+(1-EXP(-LN(2)/25))/(LN(2)/25)*Calculateur!AQ44*Calculateur!AS44*VLOOKUP('Données projet'!$B$10,Paramètres!$A$1:$I$89,3,0)*0.475*44/12</f>
        <v>16.302609427308234</v>
      </c>
      <c r="AW44" s="21">
        <f>EXP(-LN(2)/2)*AW43+(1-EXP(-LN(2)/2))/(LN(2)/2)*AQ44*AT44*VLOOKUP('Données projet'!$B$10,Paramètres!$A$1:$I$89,3,0)*0.475*44/12</f>
        <v>1.1488715764944539</v>
      </c>
      <c r="AX44" s="21">
        <f t="shared" si="6"/>
        <v>58.994171827620789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231.2759999999999</v>
      </c>
      <c r="BE44" s="13">
        <f>BD44*VLOOKUP('Données projet'!$B$11,Paramètres!$A$1:$I$89,3,0)*VLOOKUP('Données projet'!$B$11,Paramètres!$A$1:$I$89,5,0)</f>
        <v>108.23716799999995</v>
      </c>
      <c r="BF44" s="13">
        <f t="shared" si="37"/>
        <v>28.915257889621941</v>
      </c>
      <c r="BG44" s="20">
        <f t="shared" si="7"/>
        <v>238.87380842442477</v>
      </c>
      <c r="BH44" s="59">
        <f t="shared" si="8"/>
        <v>532.20714175775811</v>
      </c>
      <c r="BI44" s="59">
        <f ca="1">AVERAGE(OFFSET($BH$3,0,0,'Données projet'!$E$11+1,1))-AVERAGE(OFFSET($H$3,0,0,'Données projet'!$E$11+1,1))</f>
        <v>252.70779718608964</v>
      </c>
      <c r="BJ44" s="59">
        <f t="shared" si="38"/>
        <v>187.86969111712705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21.271901436587854</v>
      </c>
      <c r="BQ44" s="21">
        <f>EXP(-LN(2)/25)*BQ43+(1-EXP(-LN(2)/25))/(LN(2)/25)*Calculateur!BL44*Calculateur!BN44*VLOOKUP('Données projet'!$B$11,Paramètres!$A$1:$I$89,3,0)*0.475*44/12</f>
        <v>8.2556395448389441</v>
      </c>
      <c r="BR44" s="21">
        <f>EXP(-LN(2)/2)*BR43+(1-EXP(-LN(2)/2))/(LN(2)/2)*BL44*BO44*VLOOKUP('Données projet'!$B$11,Paramètres!$A$1:$I$89,3,0)*0.475*44/12</f>
        <v>2.790042252964354</v>
      </c>
      <c r="BS44" s="22">
        <f t="shared" si="9"/>
        <v>32.317583234391151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20</v>
      </c>
      <c r="BY44" s="12">
        <f>IF('Données projet'!$A$114&gt;35,BY43+BX44-CG43,IF(A44&lt;'Données projet'!$A$114,$BV$205^A44,IF(A44='Données projet'!$A$114,'Données projet'!$B$114,BY43+BX44-CG43)))</f>
        <v>304.00000000000006</v>
      </c>
      <c r="BZ44" s="13">
        <f>BY44*VLOOKUP('Données projet'!$B$12,Paramètres!$A$1:$I$89,3,0)*VLOOKUP('Données projet'!$B$12,Paramètres!$A$1:$I$89,5,0)</f>
        <v>181.79200000000006</v>
      </c>
      <c r="CA44" s="13">
        <f t="shared" si="39"/>
        <v>45.720642997712531</v>
      </c>
      <c r="CB44" s="20">
        <f t="shared" si="10"/>
        <v>396.25118655434943</v>
      </c>
      <c r="CC44" s="59">
        <f t="shared" si="11"/>
        <v>689.58451988768275</v>
      </c>
      <c r="CD44" s="59">
        <f ca="1">AVERAGE(OFFSET($CC$3,0,0,'Données projet'!$E$12+1,1))-AVERAGE(OFFSET($H$3,0,0,'Données projet'!$E$12+1,1))</f>
        <v>279.86432710889352</v>
      </c>
      <c r="CE44" s="59">
        <f t="shared" si="40"/>
        <v>297.01680128882509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36.749715527645975</v>
      </c>
      <c r="CM44" s="21">
        <f>EXP(-LN(2)/2)*CM43+(1-EXP(-LN(2)/2))/(LN(2)/2)*CG44*CJ44*VLOOKUP('Données projet'!$B$12,Paramètres!$A$1:$I$89,3,0)*0.475*44/12</f>
        <v>11.419278272718502</v>
      </c>
      <c r="CN44" s="22">
        <f t="shared" si="12"/>
        <v>48.168993800364476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222.39999999999992</v>
      </c>
      <c r="CU44" s="17">
        <f>CT44*VLOOKUP('Données projet'!$B$13,Paramètres!$A$1:$I$89,3,0)*VLOOKUP('Données projet'!$B$13,Paramètres!$A$1:$I$89,5,0)</f>
        <v>176.94143999999994</v>
      </c>
      <c r="CV44" s="13">
        <f t="shared" si="41"/>
        <v>44.641035679901449</v>
      </c>
      <c r="CW44" s="20">
        <f t="shared" si="13"/>
        <v>385.9228118091616</v>
      </c>
      <c r="CX44" s="59">
        <f t="shared" si="14"/>
        <v>679.25614514249492</v>
      </c>
      <c r="CY44" s="59">
        <f ca="1">AVERAGE(OFFSET($CX$3,0,0,'Données projet'!$E$13+1,1))-AVERAGE(OFFSET($H$3,0,0,'Données projet'!$E$13+1,1))</f>
        <v>314.6300257056194</v>
      </c>
      <c r="CZ44" s="59">
        <f t="shared" si="42"/>
        <v>298.00555477466668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4.5700073381395203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4.5700073381395203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11.4</v>
      </c>
      <c r="DO44" s="12">
        <f>IF('Données projet'!$A$166&gt;35,DO43+DN44-DW43,IF(A44&lt;'Données projet'!$A$166,$DL$205^A44,IF(A44='Données projet'!$A$166,'Données projet'!$B$166,DO43+DN44-DW43)))</f>
        <v>222.39999999999992</v>
      </c>
      <c r="DP44" s="17">
        <f>DO44*VLOOKUP('Données projet'!$B$14,Paramètres!$A$1:$I$89,3,0)*VLOOKUP('Données projet'!$B$14,Paramètres!$A$1:$I$89,5,0)</f>
        <v>176.94143999999994</v>
      </c>
      <c r="DQ44" s="13">
        <f t="shared" si="43"/>
        <v>44.641035679901449</v>
      </c>
      <c r="DR44" s="20">
        <f t="shared" si="16"/>
        <v>385.9228118091616</v>
      </c>
      <c r="DS44" s="59">
        <f t="shared" si="17"/>
        <v>679.25614514249492</v>
      </c>
      <c r="DT44" s="59">
        <f ca="1">AVERAGE(OFFSET($DS$3,0,0,'Données projet'!$E$14+1,1))-AVERAGE(OFFSET($H$3,0,0,'Données projet'!$E$14+1,1))</f>
        <v>314.6300257056194</v>
      </c>
      <c r="DU44" s="59">
        <f t="shared" si="44"/>
        <v>298.00555477466668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4.5700073381395203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4.5700073381395203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13.410256410256407</v>
      </c>
      <c r="EJ44" s="12">
        <f>IF('Données projet'!$A$192&gt;35,EJ43+EI44-ER43,IF(A44&lt;'Données projet'!$A$192,$EG$205^A44,IF(A44='Données projet'!$A$192,'Données projet'!$B$192,EJ43+EI44-ER43)))</f>
        <v>289.88205128205124</v>
      </c>
      <c r="EK44" s="17">
        <f>EJ44*VLOOKUP('Données projet'!$B$15,Paramètres!$A$1:$I$89,3,0)*VLOOKUP('Données projet'!$B$15,Paramètres!$A$1:$I$89,5,0)</f>
        <v>139.43326666666664</v>
      </c>
      <c r="EL44" s="13">
        <f t="shared" si="45"/>
        <v>36.167144212505235</v>
      </c>
      <c r="EM44" s="20">
        <f t="shared" si="19"/>
        <v>305.83738228122428</v>
      </c>
      <c r="EN44" s="59">
        <f t="shared" si="20"/>
        <v>599.17071561455759</v>
      </c>
      <c r="EO44" s="59">
        <f ca="1">AVERAGE(OFFSET($EN$3,0,0,'Données projet'!$E$15+1,1))-AVERAGE(OFFSET($H$3,0,0,'Données projet'!$E$15+1,1))</f>
        <v>238.83604534181978</v>
      </c>
      <c r="EP44" s="59">
        <f t="shared" si="46"/>
        <v>114.85152559837792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9.4</v>
      </c>
      <c r="FE44" s="12">
        <f>IF('Données projet'!$A$218&gt;35,FE43+FD44-FM43,IF(A44&lt;'Données projet'!$A$218,$FB$205^A44,IF(A44='Données projet'!$A$218,'Données projet'!$B$218,FE43+FD44-FM43)))</f>
        <v>145.39999999999998</v>
      </c>
      <c r="FF44" s="17">
        <f>FE44*VLOOKUP('Données projet'!$B$16,Paramètres!$A$1:$I$89,3,0)*VLOOKUP('Données projet'!$B$16,Paramètres!$A$1:$I$89,5,0)</f>
        <v>117.94847999999999</v>
      </c>
      <c r="FG44" s="13">
        <f t="shared" si="47"/>
        <v>31.19603680255684</v>
      </c>
      <c r="FH44" s="20">
        <f t="shared" si="22"/>
        <v>259.76003343111978</v>
      </c>
      <c r="FI44" s="59">
        <f t="shared" si="23"/>
        <v>553.09336676445309</v>
      </c>
      <c r="FJ44" s="59">
        <f ca="1">AVERAGE(OFFSET($FI$3,0,0,'Données projet'!$E$16+1,1))-AVERAGE(OFFSET($H$3,0,0,'Données projet'!$E$16+1,1))</f>
        <v>196.95467273423861</v>
      </c>
      <c r="FK44" s="59">
        <f t="shared" si="48"/>
        <v>173.8709326829258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6.0517623320373817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7.1331165327691712</v>
      </c>
      <c r="FT44" s="22">
        <f t="shared" si="24"/>
        <v>13.184878864806553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9.4</v>
      </c>
      <c r="FZ44" s="12">
        <f>IF('Données projet'!$A$244&gt;35,FZ43+FY44-GH43,IF(A44&lt;'Données projet'!$A$244,$FW$205^A44,IF(A44='Données projet'!$A$244,'Données projet'!$B$244,FZ43+FY44-GH43)))</f>
        <v>145.39999999999998</v>
      </c>
      <c r="GA44" s="17">
        <f>FZ44*VLOOKUP('Données projet'!$B$17,Paramètres!$A$1:$I$89,3,0)*VLOOKUP('Données projet'!$B$17,Paramètres!$A$1:$I$89,5,0)</f>
        <v>156.50855999999996</v>
      </c>
      <c r="GB44" s="13">
        <f t="shared" si="49"/>
        <v>40.054003013194027</v>
      </c>
      <c r="GC44" s="20">
        <f t="shared" si="25"/>
        <v>342.34646391464616</v>
      </c>
      <c r="GD44" s="59">
        <f t="shared" si="26"/>
        <v>635.67979724797942</v>
      </c>
      <c r="GE44" s="59">
        <f ca="1">AVERAGE(OFFSET($GD$3,0,0,'Données projet'!$E$17+1,1))-AVERAGE(OFFSET($H$3,0,0,'Données projet'!$E$17+1,1))</f>
        <v>275.5229427552884</v>
      </c>
      <c r="GF44" s="59">
        <f t="shared" si="50"/>
        <v>241.20234081716143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8.0302230944342163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9.4650969377129375</v>
      </c>
      <c r="GO44" s="21">
        <f t="shared" si="27"/>
        <v>17.495320032147156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468.72307692307692</v>
      </c>
      <c r="L45" s="12">
        <f>VLOOKUP(A45,'Données projet'!$A$35:$I$55,9,0)</f>
        <v>22.419230769230779</v>
      </c>
      <c r="M45" s="12">
        <f t="array" ref="M45">INDEX(L:L,MIN(IF(ISNUMBER(L45:L241),ROW(L45:L241),"")))</f>
        <v>22.419230769230779</v>
      </c>
      <c r="N45" s="13">
        <f>IF('Données projet'!$A$36&gt;35,N44+M45-V44,IF(A45&lt;'Données projet'!$A$36,$K$205^A45,IF(A45='Données projet'!$A$36,'Données projet'!$B$36,N44+M45-V44)))</f>
        <v>468.72307692307675</v>
      </c>
      <c r="O45" s="13">
        <f>N45*VLOOKUP('Données projet'!$B$9,Paramètres!$A$1:$I$89,3,0)*VLOOKUP('Données projet'!$B$9,Paramètres!$A$1:$I$89,5,0)</f>
        <v>262.01619999999991</v>
      </c>
      <c r="P45" s="13">
        <f t="shared" si="33"/>
        <v>63.151956912854573</v>
      </c>
      <c r="Q45" s="20">
        <f t="shared" si="53"/>
        <v>566.33453995655486</v>
      </c>
      <c r="R45" s="59">
        <f t="shared" si="0"/>
        <v>859.66787328988812</v>
      </c>
      <c r="S45" s="59">
        <f ca="1">AVERAGE(OFFSET($R$3,0,0,'Données projet'!$E$9+1,1))-AVERAGE(OFFSET($H$3,0,0,'Données projet'!$E$9+1,1))</f>
        <v>274.57619581652199</v>
      </c>
      <c r="T45" s="59">
        <f t="shared" si="34"/>
        <v>366.15117322598775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 t="e">
        <f>IF(ISNA(VLOOKUP(A45,'Données projet'!$A$35:$I$55,5,0)),0%,VLOOKUP(A45,'Données projet'!$A$35:$I$55,5,0)*VLOOKUP('Données projet'!$B$9,Paramètres!$A$1:$I$89,7,0))</f>
        <v>#VALUE!</v>
      </c>
      <c r="X45" s="16" t="e">
        <f>IF(ISNA(VLOOKUP(A45,'Données projet'!$A$35:$I$55,6,0)),0%,VLOOKUP(A45,'Données projet'!$A$35:$I$55,6,0)*VLOOKUP('Données projet'!$B$9,Paramètres!$A$1:$I$89,7,0))</f>
        <v>#VALUE!</v>
      </c>
      <c r="Y45" s="16" t="str">
        <f>IF(ISNA(VLOOKUP(A45,'Données projet'!$A$35:$I$55,7,0)),0%,VLOOKUP(A45,'Données projet'!$A$35:$I$55,7,0))</f>
        <v/>
      </c>
      <c r="Z45" s="21" t="e">
        <f>EXP(-LN(2)/35)*Z44+(1-EXP(-LN(2)/35))/(LN(2)/35)*V45*W45*VLOOKUP('Données projet'!$B$9,Paramètres!$A$1:$I$89,3,0)*0.475*44/12</f>
        <v>#VALUE!</v>
      </c>
      <c r="AA45" s="21" t="e">
        <f>EXP(-LN(2)/25)*AA44+(1-EXP(-LN(2)/25))/(LN(2)/25)*Calculateur!V45*Calculateur!X45*VLOOKUP('Données projet'!$B$9,Paramètres!$A$1:$I$89,3,0)*0.475*44/12</f>
        <v>#VALUE!</v>
      </c>
      <c r="AB45" s="21" t="e">
        <f>EXP(-LN(2)/2)*AB44+(1-EXP(-LN(2)/2))/(LN(2)/2)*V45*Y45*VLOOKUP('Données projet'!$B$9,Paramètres!$A$1:$I$89,3,0)*0.475*44/12</f>
        <v>#VALUE!</v>
      </c>
      <c r="AC45" s="22" t="e">
        <f t="shared" si="3"/>
        <v>#VALUE!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255</v>
      </c>
      <c r="AG45" s="12">
        <f>VLOOKUP(A45,'Données projet'!$A$61:$I$81,9,0)</f>
        <v>11.5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255</v>
      </c>
      <c r="AJ45" s="13">
        <f>AI45*VLOOKUP('Données projet'!$B$10,Paramètres!$A$1:$I$89,3,0)*VLOOKUP('Données projet'!$B$10,Paramètres!$A$1:$I$89,5,0)</f>
        <v>159.12</v>
      </c>
      <c r="AK45" s="13">
        <f t="shared" si="35"/>
        <v>40.643965284387697</v>
      </c>
      <c r="AL45" s="20">
        <f t="shared" si="4"/>
        <v>347.92223953697521</v>
      </c>
      <c r="AM45" s="59">
        <f t="shared" si="5"/>
        <v>641.25557287030847</v>
      </c>
      <c r="AN45" s="59">
        <f ca="1">AVERAGE(OFFSET($AM$3,0,0,'Données projet'!$E$10+1,1))-AVERAGE(OFFSET($H$3,0,0,'Données projet'!$E$10+1,1))</f>
        <v>175.05987582828078</v>
      </c>
      <c r="AO45" s="59">
        <f t="shared" si="36"/>
        <v>268.54782308462387</v>
      </c>
      <c r="AP45" s="15">
        <f>IF(ISNA(VLOOKUP(A45,'Données projet'!$A$61:$I$81,3,0)),0,VLOOKUP(A45,'Données projet'!$A$61:$I$81,3,0))</f>
        <v>6</v>
      </c>
      <c r="AQ45" s="15">
        <f>IF(ISNA(VLOOKUP(A45,'Données projet'!$A$61:$I$81,4,0)),0,VLOOKUP(A45,'Données projet'!$A$61:$I$81,4,0))</f>
        <v>67</v>
      </c>
      <c r="AR45" s="16">
        <f>IF(ISNA(VLOOKUP(A45,'Données projet'!$A$61:$I$81,5,0)),0%,VLOOKUP(A45,'Données projet'!$A$61:$I$81,5,0)*VLOOKUP('Données projet'!$B$10,Paramètres!$A$1:$I$89,7,0))</f>
        <v>0.42</v>
      </c>
      <c r="AS45" s="16">
        <f>IF(ISNA(VLOOKUP(A45,'Données projet'!$A$61:$I$81,6,0)),0%,VLOOKUP(A45,'Données projet'!$A$61:$I$81,6,0)*VLOOKUP('Données projet'!$B$10,Paramètres!$A$1:$I$89,7,0))</f>
        <v>0.1008</v>
      </c>
      <c r="AT45" s="16">
        <f>IF(ISNA(VLOOKUP(A45,'Données projet'!$A$61:$I$81,7,0)),0%,VLOOKUP(A45,'Données projet'!$A$61:$I$81,7,0))</f>
        <v>0.13200000000000001</v>
      </c>
      <c r="AU45" s="21">
        <f>EXP(-LN(2)/35)*AU44+(1-EXP(-LN(2)/35))/(LN(2)/35)*AQ45*AR45*VLOOKUP('Données projet'!$B$10,Paramètres!$A$1:$I$89,3,0)*0.475*44/12</f>
        <v>64.021686831569298</v>
      </c>
      <c r="AV45" s="21">
        <f>EXP(-LN(2)/25)*AV44+(1-EXP(-LN(2)/25))/(LN(2)/25)*Calculateur!AQ45*Calculateur!AS45*VLOOKUP('Données projet'!$B$10,Paramètres!$A$1:$I$89,3,0)*0.475*44/12</f>
        <v>21.425271387424161</v>
      </c>
      <c r="AW45" s="21">
        <f>EXP(-LN(2)/2)*AW44+(1-EXP(-LN(2)/2))/(LN(2)/2)*AQ45*AT45*VLOOKUP('Données projet'!$B$10,Paramètres!$A$1:$I$89,3,0)*0.475*44/12</f>
        <v>7.0607754445899236</v>
      </c>
      <c r="AX45" s="21">
        <f t="shared" si="6"/>
        <v>92.50773366358338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242.7759999999999</v>
      </c>
      <c r="BE45" s="13">
        <f>BD45*VLOOKUP('Données projet'!$B$11,Paramètres!$A$1:$I$89,3,0)*VLOOKUP('Données projet'!$B$11,Paramètres!$A$1:$I$89,5,0)</f>
        <v>113.61916799999995</v>
      </c>
      <c r="BF45" s="13">
        <f t="shared" si="37"/>
        <v>30.182075615833046</v>
      </c>
      <c r="BG45" s="20">
        <f t="shared" si="7"/>
        <v>250.45383263090912</v>
      </c>
      <c r="BH45" s="59">
        <f t="shared" si="8"/>
        <v>543.78716596424238</v>
      </c>
      <c r="BI45" s="59">
        <f ca="1">AVERAGE(OFFSET($BH$3,0,0,'Données projet'!$E$11+1,1))-AVERAGE(OFFSET($H$3,0,0,'Données projet'!$E$11+1,1))</f>
        <v>252.70779718608964</v>
      </c>
      <c r="BJ45" s="59">
        <f t="shared" si="38"/>
        <v>187.86969111712705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20.854772423995108</v>
      </c>
      <c r="BQ45" s="21">
        <f>EXP(-LN(2)/25)*BQ44+(1-EXP(-LN(2)/25))/(LN(2)/25)*Calculateur!BL45*Calculateur!BN45*VLOOKUP('Données projet'!$B$11,Paramètres!$A$1:$I$89,3,0)*0.475*44/12</f>
        <v>8.0298886473401083</v>
      </c>
      <c r="BR45" s="21">
        <f>EXP(-LN(2)/2)*BR44+(1-EXP(-LN(2)/2))/(LN(2)/2)*BL45*BO45*VLOOKUP('Données projet'!$B$11,Paramètres!$A$1:$I$89,3,0)*0.475*44/12</f>
        <v>1.9728577968680876</v>
      </c>
      <c r="BS45" s="22">
        <f t="shared" si="9"/>
        <v>30.857518868203304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20</v>
      </c>
      <c r="BY45" s="12">
        <f>IF('Données projet'!$A$114&gt;35,BY44+BX45-CG44,IF(A45&lt;'Données projet'!$A$114,$BV$205^A45,IF(A45='Données projet'!$A$114,'Données projet'!$B$114,BY44+BX45-CG44)))</f>
        <v>324.00000000000006</v>
      </c>
      <c r="BZ45" s="13">
        <f>BY45*VLOOKUP('Données projet'!$B$12,Paramètres!$A$1:$I$89,3,0)*VLOOKUP('Données projet'!$B$12,Paramètres!$A$1:$I$89,5,0)</f>
        <v>193.75200000000004</v>
      </c>
      <c r="CA45" s="13">
        <f t="shared" si="39"/>
        <v>48.368520355376113</v>
      </c>
      <c r="CB45" s="20">
        <f t="shared" si="10"/>
        <v>421.69323961894679</v>
      </c>
      <c r="CC45" s="59">
        <f t="shared" si="11"/>
        <v>715.02657295228005</v>
      </c>
      <c r="CD45" s="59">
        <f ca="1">AVERAGE(OFFSET($CC$3,0,0,'Données projet'!$E$12+1,1))-AVERAGE(OFFSET($H$3,0,0,'Données projet'!$E$12+1,1))</f>
        <v>279.86432710889352</v>
      </c>
      <c r="CE45" s="59">
        <f t="shared" si="40"/>
        <v>297.01680128882509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35.744792623958951</v>
      </c>
      <c r="CM45" s="21">
        <f>EXP(-LN(2)/2)*CM44+(1-EXP(-LN(2)/2))/(LN(2)/2)*CG45*CJ45*VLOOKUP('Données projet'!$B$12,Paramètres!$A$1:$I$89,3,0)*0.475*44/12</f>
        <v>8.0746491028954583</v>
      </c>
      <c r="CN45" s="22">
        <f t="shared" si="12"/>
        <v>43.819441726854407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233.79999999999993</v>
      </c>
      <c r="CU45" s="17">
        <f>CT45*VLOOKUP('Données projet'!$B$13,Paramètres!$A$1:$I$89,3,0)*VLOOKUP('Données projet'!$B$13,Paramètres!$A$1:$I$89,5,0)</f>
        <v>186.01127999999997</v>
      </c>
      <c r="CV45" s="13">
        <f t="shared" si="41"/>
        <v>46.657017529303744</v>
      </c>
      <c r="CW45" s="20">
        <f t="shared" si="13"/>
        <v>405.23061819687064</v>
      </c>
      <c r="CX45" s="59">
        <f t="shared" si="14"/>
        <v>698.56395153020389</v>
      </c>
      <c r="CY45" s="59">
        <f ca="1">AVERAGE(OFFSET($CX$3,0,0,'Données projet'!$E$13+1,1))-AVERAGE(OFFSET($H$3,0,0,'Données projet'!$E$13+1,1))</f>
        <v>314.6300257056194</v>
      </c>
      <c r="CZ45" s="59">
        <f t="shared" si="42"/>
        <v>298.00555477466668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4.4803922816678448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4.4803922816678448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11.4</v>
      </c>
      <c r="DO45" s="12">
        <f>IF('Données projet'!$A$166&gt;35,DO44+DN45-DW44,IF(A45&lt;'Données projet'!$A$166,$DL$205^A45,IF(A45='Données projet'!$A$166,'Données projet'!$B$166,DO44+DN45-DW44)))</f>
        <v>233.79999999999993</v>
      </c>
      <c r="DP45" s="17">
        <f>DO45*VLOOKUP('Données projet'!$B$14,Paramètres!$A$1:$I$89,3,0)*VLOOKUP('Données projet'!$B$14,Paramètres!$A$1:$I$89,5,0)</f>
        <v>186.01127999999997</v>
      </c>
      <c r="DQ45" s="13">
        <f t="shared" si="43"/>
        <v>46.657017529303744</v>
      </c>
      <c r="DR45" s="20">
        <f t="shared" si="16"/>
        <v>405.23061819687064</v>
      </c>
      <c r="DS45" s="59">
        <f t="shared" si="17"/>
        <v>698.56395153020389</v>
      </c>
      <c r="DT45" s="59">
        <f ca="1">AVERAGE(OFFSET($DS$3,0,0,'Données projet'!$E$14+1,1))-AVERAGE(OFFSET($H$3,0,0,'Données projet'!$E$14+1,1))</f>
        <v>314.6300257056194</v>
      </c>
      <c r="DU45" s="59">
        <f t="shared" si="44"/>
        <v>298.00555477466668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4.4803922816678448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4.4803922816678448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13.410256410256407</v>
      </c>
      <c r="EJ45" s="12">
        <f>IF('Données projet'!$A$192&gt;35,EJ44+EI45-ER44,IF(A45&lt;'Données projet'!$A$192,$EG$205^A45,IF(A45='Données projet'!$A$192,'Données projet'!$B$192,EJ44+EI45-ER44)))</f>
        <v>303.29230769230765</v>
      </c>
      <c r="EK45" s="17">
        <f>EJ45*VLOOKUP('Données projet'!$B$15,Paramètres!$A$1:$I$89,3,0)*VLOOKUP('Données projet'!$B$15,Paramètres!$A$1:$I$89,5,0)</f>
        <v>145.88359999999997</v>
      </c>
      <c r="EL45" s="13">
        <f t="shared" si="45"/>
        <v>37.641609373189212</v>
      </c>
      <c r="EM45" s="20">
        <f t="shared" si="19"/>
        <v>319.63973965830445</v>
      </c>
      <c r="EN45" s="59">
        <f t="shared" si="20"/>
        <v>612.97307299163776</v>
      </c>
      <c r="EO45" s="59">
        <f ca="1">AVERAGE(OFFSET($EN$3,0,0,'Données projet'!$E$15+1,1))-AVERAGE(OFFSET($H$3,0,0,'Données projet'!$E$15+1,1))</f>
        <v>238.83604534181978</v>
      </c>
      <c r="EP45" s="59">
        <f t="shared" si="46"/>
        <v>114.85152559837792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9.4</v>
      </c>
      <c r="FE45" s="12">
        <f>IF('Données projet'!$A$218&gt;35,FE44+FD45-FM44,IF(A45&lt;'Données projet'!$A$218,$FB$205^A45,IF(A45='Données projet'!$A$218,'Données projet'!$B$218,FE44+FD45-FM44)))</f>
        <v>154.79999999999998</v>
      </c>
      <c r="FF45" s="17">
        <f>FE45*VLOOKUP('Données projet'!$B$16,Paramètres!$A$1:$I$89,3,0)*VLOOKUP('Données projet'!$B$16,Paramètres!$A$1:$I$89,5,0)</f>
        <v>125.57375999999999</v>
      </c>
      <c r="FG45" s="13">
        <f t="shared" si="47"/>
        <v>32.97153235129214</v>
      </c>
      <c r="FH45" s="20">
        <f t="shared" si="22"/>
        <v>276.13305084516708</v>
      </c>
      <c r="FI45" s="59">
        <f t="shared" si="23"/>
        <v>569.46638417850045</v>
      </c>
      <c r="FJ45" s="59">
        <f ca="1">AVERAGE(OFFSET($FI$3,0,0,'Données projet'!$E$16+1,1))-AVERAGE(OFFSET($H$3,0,0,'Données projet'!$E$16+1,1))</f>
        <v>196.95467273423861</v>
      </c>
      <c r="FK45" s="59">
        <f t="shared" si="48"/>
        <v>173.8709326829258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5.9330909639166745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5.0438750713149556</v>
      </c>
      <c r="FT45" s="22">
        <f t="shared" si="24"/>
        <v>10.97696603523163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9.4</v>
      </c>
      <c r="FZ45" s="12">
        <f>IF('Données projet'!$A$244&gt;35,FZ44+FY45-GH44,IF(A45&lt;'Données projet'!$A$244,$FW$205^A45,IF(A45='Données projet'!$A$244,'Données projet'!$B$244,FZ44+FY45-GH44)))</f>
        <v>154.79999999999998</v>
      </c>
      <c r="GA45" s="17">
        <f>FZ45*VLOOKUP('Données projet'!$B$17,Paramètres!$A$1:$I$89,3,0)*VLOOKUP('Données projet'!$B$17,Paramètres!$A$1:$I$89,5,0)</f>
        <v>166.62671999999998</v>
      </c>
      <c r="GB45" s="13">
        <f t="shared" si="49"/>
        <v>42.333642074689379</v>
      </c>
      <c r="GC45" s="20">
        <f t="shared" si="25"/>
        <v>363.93929728008396</v>
      </c>
      <c r="GD45" s="59">
        <f t="shared" si="26"/>
        <v>657.27263061341728</v>
      </c>
      <c r="GE45" s="59">
        <f ca="1">AVERAGE(OFFSET($GD$3,0,0,'Données projet'!$E$17+1,1))-AVERAGE(OFFSET($H$3,0,0,'Données projet'!$E$17+1,1))</f>
        <v>275.5229427552884</v>
      </c>
      <c r="GF45" s="59">
        <f t="shared" si="50"/>
        <v>241.20234081716143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7.8727553175048159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6.6928342292448439</v>
      </c>
      <c r="GO45" s="21">
        <f t="shared" si="27"/>
        <v>14.56558954674966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21.625641025641027</v>
      </c>
      <c r="N46" s="13">
        <f>IF('Données projet'!$A$36&gt;35,N45+M46-V45,IF(A46&lt;'Données projet'!$A$36,$K$205^A46,IF(A46='Données projet'!$A$36,'Données projet'!$B$36,N45+M46-V45)))</f>
        <v>416.95641025641009</v>
      </c>
      <c r="O46" s="13">
        <f>N46*VLOOKUP('Données projet'!$B$9,Paramètres!$A$1:$I$89,3,0)*VLOOKUP('Données projet'!$B$9,Paramètres!$A$1:$I$89,5,0)</f>
        <v>233.07863333333327</v>
      </c>
      <c r="P46" s="13">
        <f t="shared" si="33"/>
        <v>56.947838023653489</v>
      </c>
      <c r="Q46" s="20">
        <f t="shared" si="53"/>
        <v>505.12943761341859</v>
      </c>
      <c r="R46" s="59">
        <f t="shared" si="0"/>
        <v>798.4627709467519</v>
      </c>
      <c r="S46" s="59">
        <f ca="1">AVERAGE(OFFSET($R$3,0,0,'Données projet'!$E$9+1,1))-AVERAGE(OFFSET($H$3,0,0,'Données projet'!$E$9+1,1))</f>
        <v>274.57619581652199</v>
      </c>
      <c r="T46" s="59">
        <f t="shared" si="34"/>
        <v>366.15117322598775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 t="e">
        <f>EXP(-LN(2)/35)*Z45+(1-EXP(-LN(2)/35))/(LN(2)/35)*V46*W46*VLOOKUP('Données projet'!$B$9,Paramètres!$A$1:$I$89,3,0)*0.475*44/12</f>
        <v>#VALUE!</v>
      </c>
      <c r="AA46" s="21" t="e">
        <f>EXP(-LN(2)/25)*AA45+(1-EXP(-LN(2)/25))/(LN(2)/25)*Calculateur!V46*Calculateur!X46*VLOOKUP('Données projet'!$B$9,Paramètres!$A$1:$I$89,3,0)*0.475*44/12</f>
        <v>#VALUE!</v>
      </c>
      <c r="AB46" s="21" t="e">
        <f>EXP(-LN(2)/2)*AB45+(1-EXP(-LN(2)/2))/(LN(2)/2)*V46*Y46*VLOOKUP('Données projet'!$B$9,Paramètres!$A$1:$I$89,3,0)*0.475*44/12</f>
        <v>#VALUE!</v>
      </c>
      <c r="AC46" s="22" t="e">
        <f t="shared" si="3"/>
        <v>#VALUE!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10.666666666666666</v>
      </c>
      <c r="AI46" s="13">
        <f>IF('Données projet'!$A$62&gt;35,AI45+AH46-AQ45,IF(A46&lt;'Données projet'!$A$62,$AF$205^A46,IF(A46='Données projet'!$A$62,'Données projet'!$B$62,AI45+AH46-AQ45)))</f>
        <v>198.66666666666669</v>
      </c>
      <c r="AJ46" s="13">
        <f>AI46*VLOOKUP('Données projet'!$B$10,Paramètres!$A$1:$I$89,3,0)*VLOOKUP('Données projet'!$B$10,Paramètres!$A$1:$I$89,5,0)</f>
        <v>123.968</v>
      </c>
      <c r="AK46" s="13">
        <f t="shared" si="35"/>
        <v>32.598710622532096</v>
      </c>
      <c r="AL46" s="20">
        <f t="shared" si="4"/>
        <v>272.68702100091008</v>
      </c>
      <c r="AM46" s="59">
        <f t="shared" si="5"/>
        <v>566.02035433424339</v>
      </c>
      <c r="AN46" s="59">
        <f ca="1">AVERAGE(OFFSET($AM$3,0,0,'Données projet'!$E$10+1,1))-AVERAGE(OFFSET($H$3,0,0,'Données projet'!$E$10+1,1))</f>
        <v>175.05987582828078</v>
      </c>
      <c r="AO46" s="59">
        <f t="shared" si="36"/>
        <v>268.54782308462387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62.766260602175386</v>
      </c>
      <c r="AV46" s="21">
        <f>EXP(-LN(2)/25)*AV45+(1-EXP(-LN(2)/25))/(LN(2)/25)*Calculateur!AQ46*Calculateur!AS46*VLOOKUP('Données projet'!$B$10,Paramètres!$A$1:$I$89,3,0)*0.475*44/12</f>
        <v>20.839396214628994</v>
      </c>
      <c r="AW46" s="21">
        <f>EXP(-LN(2)/2)*AW45+(1-EXP(-LN(2)/2))/(LN(2)/2)*AQ46*AT46*VLOOKUP('Données projet'!$B$10,Paramètres!$A$1:$I$89,3,0)*0.475*44/12</f>
        <v>4.9927221973049951</v>
      </c>
      <c r="AX46" s="21">
        <f t="shared" si="6"/>
        <v>88.598379014109383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11.5</v>
      </c>
      <c r="BD46" s="12">
        <f>IF('Données projet'!$A$88&gt;35,BD45+BC46-BL45,IF(A46&lt;'Données projet'!$A$88,$BA$205^A46,IF(A46='Données projet'!$A$88,'Données projet'!$B$88,BD45+BC46-BL45)))</f>
        <v>254.2759999999999</v>
      </c>
      <c r="BE46" s="13">
        <f>BD46*VLOOKUP('Données projet'!$B$11,Paramètres!$A$1:$I$89,3,0)*VLOOKUP('Données projet'!$B$11,Paramètres!$A$1:$I$89,5,0)</f>
        <v>119.00116799999995</v>
      </c>
      <c r="BF46" s="13">
        <f t="shared" si="37"/>
        <v>31.441924927499041</v>
      </c>
      <c r="BG46" s="20">
        <f t="shared" si="7"/>
        <v>262.02172018206073</v>
      </c>
      <c r="BH46" s="59">
        <f t="shared" si="8"/>
        <v>555.35505351539405</v>
      </c>
      <c r="BI46" s="59">
        <f ca="1">AVERAGE(OFFSET($BH$3,0,0,'Données projet'!$E$11+1,1))-AVERAGE(OFFSET($H$3,0,0,'Données projet'!$E$11+1,1))</f>
        <v>252.70779718608964</v>
      </c>
      <c r="BJ46" s="59">
        <f t="shared" si="38"/>
        <v>187.86969111712705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20.445823056915732</v>
      </c>
      <c r="BQ46" s="21">
        <f>EXP(-LN(2)/25)*BQ45+(1-EXP(-LN(2)/25))/(LN(2)/25)*Calculateur!BL46*Calculateur!BN46*VLOOKUP('Données projet'!$B$11,Paramètres!$A$1:$I$89,3,0)*0.475*44/12</f>
        <v>7.8103109200051017</v>
      </c>
      <c r="BR46" s="21">
        <f>EXP(-LN(2)/2)*BR45+(1-EXP(-LN(2)/2))/(LN(2)/2)*BL46*BO46*VLOOKUP('Données projet'!$B$11,Paramètres!$A$1:$I$89,3,0)*0.475*44/12</f>
        <v>1.3950211264821772</v>
      </c>
      <c r="BS46" s="22">
        <f t="shared" si="9"/>
        <v>29.65115510340301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20</v>
      </c>
      <c r="BY46" s="12">
        <f>IF('Données projet'!$A$114&gt;35,BY45+BX46-CG45,IF(A46&lt;'Données projet'!$A$114,$BV$205^A46,IF(A46='Données projet'!$A$114,'Données projet'!$B$114,BY45+BX46-CG45)))</f>
        <v>344.00000000000006</v>
      </c>
      <c r="BZ46" s="13">
        <f>BY46*VLOOKUP('Données projet'!$B$12,Paramètres!$A$1:$I$89,3,0)*VLOOKUP('Données projet'!$B$12,Paramètres!$A$1:$I$89,5,0)</f>
        <v>205.71200000000005</v>
      </c>
      <c r="CA46" s="13">
        <f t="shared" si="39"/>
        <v>50.997427696933762</v>
      </c>
      <c r="CB46" s="20">
        <f t="shared" si="10"/>
        <v>447.10225323882634</v>
      </c>
      <c r="CC46" s="59">
        <f t="shared" si="11"/>
        <v>740.43558657215965</v>
      </c>
      <c r="CD46" s="59">
        <f ca="1">AVERAGE(OFFSET($CC$3,0,0,'Données projet'!$E$12+1,1))-AVERAGE(OFFSET($H$3,0,0,'Données projet'!$E$12+1,1))</f>
        <v>279.86432710889352</v>
      </c>
      <c r="CE46" s="59">
        <f t="shared" si="40"/>
        <v>297.01680128882509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34.767349389919843</v>
      </c>
      <c r="CM46" s="21">
        <f>EXP(-LN(2)/2)*CM45+(1-EXP(-LN(2)/2))/(LN(2)/2)*CG46*CJ46*VLOOKUP('Données projet'!$B$12,Paramètres!$A$1:$I$89,3,0)*0.475*44/12</f>
        <v>5.7096391363592511</v>
      </c>
      <c r="CN46" s="22">
        <f t="shared" si="12"/>
        <v>40.476988526279094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245.19999999999993</v>
      </c>
      <c r="CU46" s="17">
        <f>CT46*VLOOKUP('Données projet'!$B$13,Paramètres!$A$1:$I$89,3,0)*VLOOKUP('Données projet'!$B$13,Paramètres!$A$1:$I$89,5,0)</f>
        <v>195.08111999999994</v>
      </c>
      <c r="CV46" s="13">
        <f t="shared" si="41"/>
        <v>48.661585064812066</v>
      </c>
      <c r="CW46" s="20">
        <f t="shared" si="13"/>
        <v>424.51854465454761</v>
      </c>
      <c r="CX46" s="59">
        <f t="shared" si="14"/>
        <v>717.85187798788093</v>
      </c>
      <c r="CY46" s="59">
        <f ca="1">AVERAGE(OFFSET($CX$3,0,0,'Données projet'!$E$13+1,1))-AVERAGE(OFFSET($H$3,0,0,'Données projet'!$E$13+1,1))</f>
        <v>314.6300257056194</v>
      </c>
      <c r="CZ46" s="59">
        <f t="shared" si="42"/>
        <v>298.00555477466668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4.3925345217937917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4.3925345217937917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11.4</v>
      </c>
      <c r="DO46" s="12">
        <f>IF('Données projet'!$A$166&gt;35,DO45+DN46-DW45,IF(A46&lt;'Données projet'!$A$166,$DL$205^A46,IF(A46='Données projet'!$A$166,'Données projet'!$B$166,DO45+DN46-DW45)))</f>
        <v>245.19999999999993</v>
      </c>
      <c r="DP46" s="17">
        <f>DO46*VLOOKUP('Données projet'!$B$14,Paramètres!$A$1:$I$89,3,0)*VLOOKUP('Données projet'!$B$14,Paramètres!$A$1:$I$89,5,0)</f>
        <v>195.08111999999994</v>
      </c>
      <c r="DQ46" s="13">
        <f t="shared" si="43"/>
        <v>48.661585064812066</v>
      </c>
      <c r="DR46" s="20">
        <f t="shared" si="16"/>
        <v>424.51854465454761</v>
      </c>
      <c r="DS46" s="59">
        <f t="shared" si="17"/>
        <v>717.85187798788093</v>
      </c>
      <c r="DT46" s="59">
        <f ca="1">AVERAGE(OFFSET($DS$3,0,0,'Données projet'!$E$14+1,1))-AVERAGE(OFFSET($H$3,0,0,'Données projet'!$E$14+1,1))</f>
        <v>314.6300257056194</v>
      </c>
      <c r="DU46" s="59">
        <f t="shared" si="44"/>
        <v>298.00555477466668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4.3925345217937917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4.3925345217937917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13.410256410256407</v>
      </c>
      <c r="EJ46" s="12">
        <f>IF('Données projet'!$A$192&gt;35,EJ45+EI46-ER45,IF(A46&lt;'Données projet'!$A$192,$EG$205^A46,IF(A46='Données projet'!$A$192,'Données projet'!$B$192,EJ45+EI46-ER45)))</f>
        <v>316.70256410256405</v>
      </c>
      <c r="EK46" s="17">
        <f>EJ46*VLOOKUP('Données projet'!$B$15,Paramètres!$A$1:$I$89,3,0)*VLOOKUP('Données projet'!$B$15,Paramètres!$A$1:$I$89,5,0)</f>
        <v>152.33393333333333</v>
      </c>
      <c r="EL46" s="13">
        <f t="shared" si="45"/>
        <v>39.108502796770296</v>
      </c>
      <c r="EM46" s="20">
        <f t="shared" si="19"/>
        <v>333.42890959326382</v>
      </c>
      <c r="EN46" s="59">
        <f t="shared" si="20"/>
        <v>626.76224292659708</v>
      </c>
      <c r="EO46" s="59">
        <f ca="1">AVERAGE(OFFSET($EN$3,0,0,'Données projet'!$E$15+1,1))-AVERAGE(OFFSET($H$3,0,0,'Données projet'!$E$15+1,1))</f>
        <v>238.83604534181978</v>
      </c>
      <c r="EP46" s="59">
        <f t="shared" si="46"/>
        <v>114.85152559837792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9.4</v>
      </c>
      <c r="FE46" s="12">
        <f>IF('Données projet'!$A$218&gt;35,FE45+FD46-FM45,IF(A46&lt;'Données projet'!$A$218,$FB$205^A46,IF(A46='Données projet'!$A$218,'Données projet'!$B$218,FE45+FD46-FM45)))</f>
        <v>164.2</v>
      </c>
      <c r="FF46" s="17">
        <f>FE46*VLOOKUP('Données projet'!$B$16,Paramètres!$A$1:$I$89,3,0)*VLOOKUP('Données projet'!$B$16,Paramètres!$A$1:$I$89,5,0)</f>
        <v>133.19904</v>
      </c>
      <c r="FG46" s="13">
        <f t="shared" si="47"/>
        <v>34.734514443059282</v>
      </c>
      <c r="FH46" s="20">
        <f t="shared" si="22"/>
        <v>292.48427398832825</v>
      </c>
      <c r="FI46" s="59">
        <f t="shared" si="23"/>
        <v>585.81760732166163</v>
      </c>
      <c r="FJ46" s="59">
        <f ca="1">AVERAGE(OFFSET($FI$3,0,0,'Données projet'!$E$16+1,1))-AVERAGE(OFFSET($H$3,0,0,'Données projet'!$E$16+1,1))</f>
        <v>196.95467273423861</v>
      </c>
      <c r="FK46" s="59">
        <f t="shared" si="48"/>
        <v>173.8709326829258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5.816746668942427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3.5665582663845865</v>
      </c>
      <c r="FT46" s="22">
        <f t="shared" si="24"/>
        <v>9.383304935327013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9.4</v>
      </c>
      <c r="FZ46" s="12">
        <f>IF('Données projet'!$A$244&gt;35,FZ45+FY46-GH45,IF(A46&lt;'Données projet'!$A$244,$FW$205^A46,IF(A46='Données projet'!$A$244,'Données projet'!$B$244,FZ45+FY46-GH45)))</f>
        <v>164.2</v>
      </c>
      <c r="GA46" s="17">
        <f>FZ46*VLOOKUP('Données projet'!$B$17,Paramètres!$A$1:$I$89,3,0)*VLOOKUP('Données projet'!$B$17,Paramètres!$A$1:$I$89,5,0)</f>
        <v>176.74487999999999</v>
      </c>
      <c r="GB46" s="13">
        <f t="shared" si="49"/>
        <v>44.59721454265302</v>
      </c>
      <c r="GC46" s="20">
        <f t="shared" si="25"/>
        <v>385.5041479951206</v>
      </c>
      <c r="GD46" s="59">
        <f t="shared" si="26"/>
        <v>678.83748132845392</v>
      </c>
      <c r="GE46" s="59">
        <f ca="1">AVERAGE(OFFSET($GD$3,0,0,'Données projet'!$E$17+1,1))-AVERAGE(OFFSET($H$3,0,0,'Données projet'!$E$17+1,1))</f>
        <v>275.5229427552884</v>
      </c>
      <c r="GF46" s="59">
        <f t="shared" si="50"/>
        <v>241.20234081716143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7.7183753876351409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4.7325484688564696</v>
      </c>
      <c r="GO46" s="21">
        <f t="shared" si="27"/>
        <v>12.45092385649161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21.625641025641027</v>
      </c>
      <c r="N47" s="13">
        <f>IF('Données projet'!$A$36&gt;35,N46+M47-V46,IF(A47&lt;'Données projet'!$A$36,$K$205^A47,IF(A47='Données projet'!$A$36,'Données projet'!$B$36,N46+M47-V46)))</f>
        <v>438.58205128205111</v>
      </c>
      <c r="O47" s="13">
        <f>N47*VLOOKUP('Données projet'!$B$9,Paramètres!$A$1:$I$89,3,0)*VLOOKUP('Données projet'!$B$9,Paramètres!$A$1:$I$89,5,0)</f>
        <v>245.16736666666657</v>
      </c>
      <c r="P47" s="13">
        <f t="shared" si="33"/>
        <v>59.549932468183236</v>
      </c>
      <c r="Q47" s="20">
        <f t="shared" si="53"/>
        <v>530.71596265986329</v>
      </c>
      <c r="R47" s="59">
        <f t="shared" si="0"/>
        <v>824.04929599319667</v>
      </c>
      <c r="S47" s="59">
        <f ca="1">AVERAGE(OFFSET($R$3,0,0,'Données projet'!$E$9+1,1))-AVERAGE(OFFSET($H$3,0,0,'Données projet'!$E$9+1,1))</f>
        <v>274.57619581652199</v>
      </c>
      <c r="T47" s="59">
        <f t="shared" si="34"/>
        <v>366.15117322598775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 t="e">
        <f>EXP(-LN(2)/35)*Z46+(1-EXP(-LN(2)/35))/(LN(2)/35)*V47*W47*VLOOKUP('Données projet'!$B$9,Paramètres!$A$1:$I$89,3,0)*0.475*44/12</f>
        <v>#VALUE!</v>
      </c>
      <c r="AA47" s="21" t="e">
        <f>EXP(-LN(2)/25)*AA46+(1-EXP(-LN(2)/25))/(LN(2)/25)*Calculateur!V47*Calculateur!X47*VLOOKUP('Données projet'!$B$9,Paramètres!$A$1:$I$89,3,0)*0.475*44/12</f>
        <v>#VALUE!</v>
      </c>
      <c r="AB47" s="21" t="e">
        <f>EXP(-LN(2)/2)*AB46+(1-EXP(-LN(2)/2))/(LN(2)/2)*V47*Y47*VLOOKUP('Données projet'!$B$9,Paramètres!$A$1:$I$89,3,0)*0.475*44/12</f>
        <v>#VALUE!</v>
      </c>
      <c r="AC47" s="22" t="e">
        <f t="shared" si="3"/>
        <v>#VALUE!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10.666666666666666</v>
      </c>
      <c r="AI47" s="13">
        <f>IF('Données projet'!$A$62&gt;35,AI46+AH47-AQ46,IF(A47&lt;'Données projet'!$A$62,$AF$205^A47,IF(A47='Données projet'!$A$62,'Données projet'!$B$62,AI46+AH47-AQ46)))</f>
        <v>209.33333333333334</v>
      </c>
      <c r="AJ47" s="13">
        <f>AI47*VLOOKUP('Données projet'!$B$10,Paramètres!$A$1:$I$89,3,0)*VLOOKUP('Données projet'!$B$10,Paramètres!$A$1:$I$89,5,0)</f>
        <v>130.62400000000002</v>
      </c>
      <c r="AK47" s="13">
        <f t="shared" si="35"/>
        <v>34.140507202645395</v>
      </c>
      <c r="AL47" s="20">
        <f t="shared" si="4"/>
        <v>286.96485004460743</v>
      </c>
      <c r="AM47" s="59">
        <f t="shared" si="5"/>
        <v>580.29818337794075</v>
      </c>
      <c r="AN47" s="59">
        <f ca="1">AVERAGE(OFFSET($AM$3,0,0,'Données projet'!$E$10+1,1))-AVERAGE(OFFSET($H$3,0,0,'Données projet'!$E$10+1,1))</f>
        <v>175.05987582828078</v>
      </c>
      <c r="AO47" s="59">
        <f t="shared" si="36"/>
        <v>268.54782308462387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61.535452515405495</v>
      </c>
      <c r="AV47" s="21">
        <f>EXP(-LN(2)/25)*AV46+(1-EXP(-LN(2)/25))/(LN(2)/25)*Calculateur!AQ47*Calculateur!AS47*VLOOKUP('Données projet'!$B$10,Paramètres!$A$1:$I$89,3,0)*0.475*44/12</f>
        <v>20.269541829243746</v>
      </c>
      <c r="AW47" s="21">
        <f>EXP(-LN(2)/2)*AW46+(1-EXP(-LN(2)/2))/(LN(2)/2)*AQ47*AT47*VLOOKUP('Données projet'!$B$10,Paramètres!$A$1:$I$89,3,0)*0.475*44/12</f>
        <v>3.5303877222949622</v>
      </c>
      <c r="AX47" s="21">
        <f t="shared" si="6"/>
        <v>85.335382066944206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11.5</v>
      </c>
      <c r="BD47" s="12">
        <f>IF('Données projet'!$A$88&gt;35,BD46+BC47-BL46,IF(A47&lt;'Données projet'!$A$88,$BA$205^A47,IF(A47='Données projet'!$A$88,'Données projet'!$B$88,BD46+BC47-BL46)))</f>
        <v>265.7759999999999</v>
      </c>
      <c r="BE47" s="13">
        <f>BD47*VLOOKUP('Données projet'!$B$11,Paramètres!$A$1:$I$89,3,0)*VLOOKUP('Données projet'!$B$11,Paramètres!$A$1:$I$89,5,0)</f>
        <v>124.38316799999996</v>
      </c>
      <c r="BF47" s="13">
        <f t="shared" si="37"/>
        <v>32.695156985594174</v>
      </c>
      <c r="BG47" s="20">
        <f t="shared" si="7"/>
        <v>273.57808268324311</v>
      </c>
      <c r="BH47" s="59">
        <f t="shared" si="8"/>
        <v>566.91141601657637</v>
      </c>
      <c r="BI47" s="59">
        <f ca="1">AVERAGE(OFFSET($BH$3,0,0,'Données projet'!$E$11+1,1))-AVERAGE(OFFSET($H$3,0,0,'Données projet'!$E$11+1,1))</f>
        <v>252.70779718608964</v>
      </c>
      <c r="BJ47" s="59">
        <f t="shared" si="38"/>
        <v>187.86969111712705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20.044892937490296</v>
      </c>
      <c r="BQ47" s="21">
        <f>EXP(-LN(2)/25)*BQ46+(1-EXP(-LN(2)/25))/(LN(2)/25)*Calculateur!BL47*Calculateur!BN47*VLOOKUP('Données projet'!$B$11,Paramètres!$A$1:$I$89,3,0)*0.475*44/12</f>
        <v>7.5967375571711617</v>
      </c>
      <c r="BR47" s="21">
        <f>EXP(-LN(2)/2)*BR46+(1-EXP(-LN(2)/2))/(LN(2)/2)*BL47*BO47*VLOOKUP('Données projet'!$B$11,Paramètres!$A$1:$I$89,3,0)*0.475*44/12</f>
        <v>0.98642889843404402</v>
      </c>
      <c r="BS47" s="22">
        <f t="shared" si="9"/>
        <v>28.628059393095501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20</v>
      </c>
      <c r="BY47" s="12">
        <f>IF('Données projet'!$A$114&gt;35,BY46+BX47-CG46,IF(A47&lt;'Données projet'!$A$114,$BV$205^A47,IF(A47='Données projet'!$A$114,'Données projet'!$B$114,BY46+BX47-CG46)))</f>
        <v>364.00000000000006</v>
      </c>
      <c r="BZ47" s="13">
        <f>BY47*VLOOKUP('Données projet'!$B$12,Paramètres!$A$1:$I$89,3,0)*VLOOKUP('Données projet'!$B$12,Paramètres!$A$1:$I$89,5,0)</f>
        <v>217.67200000000005</v>
      </c>
      <c r="CA47" s="13">
        <f t="shared" si="39"/>
        <v>53.60859357546007</v>
      </c>
      <c r="CB47" s="20">
        <f t="shared" si="10"/>
        <v>472.48036714392634</v>
      </c>
      <c r="CC47" s="59">
        <f t="shared" si="11"/>
        <v>765.81370047725966</v>
      </c>
      <c r="CD47" s="59">
        <f ca="1">AVERAGE(OFFSET($CC$3,0,0,'Données projet'!$E$12+1,1))-AVERAGE(OFFSET($H$3,0,0,'Données projet'!$E$12+1,1))</f>
        <v>279.86432710889352</v>
      </c>
      <c r="CE47" s="59">
        <f t="shared" si="40"/>
        <v>297.01680128882509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33.816634392517045</v>
      </c>
      <c r="CM47" s="21">
        <f>EXP(-LN(2)/2)*CM46+(1-EXP(-LN(2)/2))/(LN(2)/2)*CG47*CJ47*VLOOKUP('Données projet'!$B$12,Paramètres!$A$1:$I$89,3,0)*0.475*44/12</f>
        <v>4.0373245514477292</v>
      </c>
      <c r="CN47" s="22">
        <f t="shared" si="12"/>
        <v>37.853958943964777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256.59999999999991</v>
      </c>
      <c r="CU47" s="17">
        <f>CT47*VLOOKUP('Données projet'!$B$13,Paramètres!$A$1:$I$89,3,0)*VLOOKUP('Données projet'!$B$13,Paramètres!$A$1:$I$89,5,0)</f>
        <v>204.15095999999994</v>
      </c>
      <c r="CV47" s="13">
        <f t="shared" si="41"/>
        <v>50.65532957489814</v>
      </c>
      <c r="CW47" s="20">
        <f t="shared" si="13"/>
        <v>443.78762100961416</v>
      </c>
      <c r="CX47" s="59">
        <f t="shared" si="14"/>
        <v>737.12095434294747</v>
      </c>
      <c r="CY47" s="59">
        <f ca="1">AVERAGE(OFFSET($CX$3,0,0,'Données projet'!$E$13+1,1))-AVERAGE(OFFSET($H$3,0,0,'Données projet'!$E$13+1,1))</f>
        <v>314.6300257056194</v>
      </c>
      <c r="CZ47" s="59">
        <f t="shared" si="42"/>
        <v>298.00555477466668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4.3063995990029262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4.3063995990029262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11.4</v>
      </c>
      <c r="DO47" s="12">
        <f>IF('Données projet'!$A$166&gt;35,DO46+DN47-DW46,IF(A47&lt;'Données projet'!$A$166,$DL$205^A47,IF(A47='Données projet'!$A$166,'Données projet'!$B$166,DO46+DN47-DW46)))</f>
        <v>256.59999999999991</v>
      </c>
      <c r="DP47" s="17">
        <f>DO47*VLOOKUP('Données projet'!$B$14,Paramètres!$A$1:$I$89,3,0)*VLOOKUP('Données projet'!$B$14,Paramètres!$A$1:$I$89,5,0)</f>
        <v>204.15095999999994</v>
      </c>
      <c r="DQ47" s="13">
        <f t="shared" si="43"/>
        <v>50.65532957489814</v>
      </c>
      <c r="DR47" s="20">
        <f t="shared" si="16"/>
        <v>443.78762100961416</v>
      </c>
      <c r="DS47" s="59">
        <f t="shared" si="17"/>
        <v>737.12095434294747</v>
      </c>
      <c r="DT47" s="59">
        <f ca="1">AVERAGE(OFFSET($DS$3,0,0,'Données projet'!$E$14+1,1))-AVERAGE(OFFSET($H$3,0,0,'Données projet'!$E$14+1,1))</f>
        <v>314.6300257056194</v>
      </c>
      <c r="DU47" s="59">
        <f t="shared" si="44"/>
        <v>298.00555477466668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4.3063995990029262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4.3063995990029262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13.410256410256407</v>
      </c>
      <c r="EJ47" s="12">
        <f>IF('Données projet'!$A$192&gt;35,EJ46+EI47-ER46,IF(A47&lt;'Données projet'!$A$192,$EG$205^A47,IF(A47='Données projet'!$A$192,'Données projet'!$B$192,EJ46+EI47-ER46)))</f>
        <v>330.11282051282046</v>
      </c>
      <c r="EK47" s="17">
        <f>EJ47*VLOOKUP('Données projet'!$B$15,Paramètres!$A$1:$I$89,3,0)*VLOOKUP('Données projet'!$B$15,Paramètres!$A$1:$I$89,5,0)</f>
        <v>158.78426666666664</v>
      </c>
      <c r="EL47" s="13">
        <f t="shared" si="45"/>
        <v>40.568181752704227</v>
      </c>
      <c r="EM47" s="20">
        <f t="shared" si="19"/>
        <v>347.20551433040424</v>
      </c>
      <c r="EN47" s="59">
        <f t="shared" si="20"/>
        <v>640.53884766373756</v>
      </c>
      <c r="EO47" s="59">
        <f ca="1">AVERAGE(OFFSET($EN$3,0,0,'Données projet'!$E$15+1,1))-AVERAGE(OFFSET($H$3,0,0,'Données projet'!$E$15+1,1))</f>
        <v>238.83604534181978</v>
      </c>
      <c r="EP47" s="59">
        <f t="shared" si="46"/>
        <v>114.85152559837792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9.4</v>
      </c>
      <c r="FE47" s="12">
        <f>IF('Données projet'!$A$218&gt;35,FE46+FD47-FM46,IF(A47&lt;'Données projet'!$A$218,$FB$205^A47,IF(A47='Données projet'!$A$218,'Données projet'!$B$218,FE46+FD47-FM46)))</f>
        <v>173.6</v>
      </c>
      <c r="FF47" s="17">
        <f>FE47*VLOOKUP('Données projet'!$B$16,Paramètres!$A$1:$I$89,3,0)*VLOOKUP('Données projet'!$B$16,Paramètres!$A$1:$I$89,5,0)</f>
        <v>140.82432</v>
      </c>
      <c r="FG47" s="13">
        <f t="shared" si="47"/>
        <v>36.485781060837802</v>
      </c>
      <c r="FH47" s="20">
        <f t="shared" si="22"/>
        <v>308.8150926809592</v>
      </c>
      <c r="FI47" s="59">
        <f t="shared" si="23"/>
        <v>602.14842601429245</v>
      </c>
      <c r="FJ47" s="59">
        <f ca="1">AVERAGE(OFFSET($FI$3,0,0,'Données projet'!$E$16+1,1))-AVERAGE(OFFSET($H$3,0,0,'Données projet'!$E$16+1,1))</f>
        <v>196.95467273423861</v>
      </c>
      <c r="FK47" s="59">
        <f t="shared" si="48"/>
        <v>173.8709326829258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5.7026838146296113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2.5219375356574782</v>
      </c>
      <c r="FT47" s="22">
        <f t="shared" si="24"/>
        <v>8.2246213502870891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9.4</v>
      </c>
      <c r="FZ47" s="12">
        <f>IF('Données projet'!$A$244&gt;35,FZ46+FY47-GH46,IF(A47&lt;'Données projet'!$A$244,$FW$205^A47,IF(A47='Données projet'!$A$244,'Données projet'!$B$244,FZ46+FY47-GH46)))</f>
        <v>173.6</v>
      </c>
      <c r="GA47" s="17">
        <f>FZ47*VLOOKUP('Données projet'!$B$17,Paramètres!$A$1:$I$89,3,0)*VLOOKUP('Données projet'!$B$17,Paramètres!$A$1:$I$89,5,0)</f>
        <v>186.86303999999998</v>
      </c>
      <c r="GB47" s="13">
        <f t="shared" si="49"/>
        <v>46.845744983534466</v>
      </c>
      <c r="GC47" s="20">
        <f t="shared" si="25"/>
        <v>407.04280051298912</v>
      </c>
      <c r="GD47" s="59">
        <f t="shared" si="26"/>
        <v>700.37613384632243</v>
      </c>
      <c r="GE47" s="59">
        <f ca="1">AVERAGE(OFFSET($GD$3,0,0,'Données projet'!$E$17+1,1))-AVERAGE(OFFSET($H$3,0,0,'Données projet'!$E$17+1,1))</f>
        <v>275.5229427552884</v>
      </c>
      <c r="GF47" s="59">
        <f t="shared" si="50"/>
        <v>241.20234081716143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7.567022754027751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3.3464171146224224</v>
      </c>
      <c r="GO47" s="21">
        <f t="shared" si="27"/>
        <v>10.913439868650173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21.625641025641027</v>
      </c>
      <c r="N48" s="13">
        <f>IF('Données projet'!$A$36&gt;35,N47+M48-V47,IF(A48&lt;'Données projet'!$A$36,$K$205^A48,IF(A48='Données projet'!$A$36,'Données projet'!$B$36,N47+M48-V47)))</f>
        <v>460.20769230769213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274.57619581652199</v>
      </c>
      <c r="T48" s="59">
        <f t="shared" si="34"/>
        <v>366.15117322598775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 t="e">
        <f>EXP(-LN(2)/35)*Z47+(1-EXP(-LN(2)/35))/(LN(2)/35)*V48*W48*VLOOKUP('Données projet'!$B$9,Paramètres!$A$1:$I$89,3,0)*0.475*44/12</f>
        <v>#VALUE!</v>
      </c>
      <c r="AA48" s="21" t="e">
        <f>EXP(-LN(2)/25)*AA47+(1-EXP(-LN(2)/25))/(LN(2)/25)*Calculateur!V48*Calculateur!X48*VLOOKUP('Données projet'!$B$9,Paramètres!$A$1:$I$89,3,0)*0.475*44/12</f>
        <v>#VALUE!</v>
      </c>
      <c r="AB48" s="21" t="e">
        <f>EXP(-LN(2)/2)*AB47+(1-EXP(-LN(2)/2))/(LN(2)/2)*V48*Y48*VLOOKUP('Données projet'!$B$9,Paramètres!$A$1:$I$89,3,0)*0.475*44/12</f>
        <v>#VALUE!</v>
      </c>
      <c r="AC48" s="22" t="e">
        <f t="shared" si="3"/>
        <v>#VALUE!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10.666666666666666</v>
      </c>
      <c r="AI48" s="13">
        <f>IF('Données projet'!$A$62&gt;35,AI47+AH48-AQ47,IF(A48&lt;'Données projet'!$A$62,$AF$205^A48,IF(A48='Données projet'!$A$62,'Données projet'!$B$62,AI47+AH48-AQ47)))</f>
        <v>220</v>
      </c>
      <c r="AJ48" s="13">
        <f>AI48*VLOOKUP('Données projet'!$B$10,Paramètres!$A$1:$I$89,3,0)*VLOOKUP('Données projet'!$B$10,Paramètres!$A$1:$I$89,5,0)</f>
        <v>137.28</v>
      </c>
      <c r="AK48" s="13">
        <f t="shared" si="35"/>
        <v>35.673181961873446</v>
      </c>
      <c r="AL48" s="20">
        <f t="shared" si="4"/>
        <v>301.22679191692959</v>
      </c>
      <c r="AM48" s="59">
        <f t="shared" si="5"/>
        <v>594.5601252502629</v>
      </c>
      <c r="AN48" s="59">
        <f ca="1">AVERAGE(OFFSET($AM$3,0,0,'Données projet'!$E$10+1,1))-AVERAGE(OFFSET($H$3,0,0,'Données projet'!$E$10+1,1))</f>
        <v>175.05987582828078</v>
      </c>
      <c r="AO48" s="59">
        <f t="shared" si="36"/>
        <v>268.54782308462387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60.328779824498362</v>
      </c>
      <c r="AV48" s="21">
        <f>EXP(-LN(2)/25)*AV47+(1-EXP(-LN(2)/25))/(LN(2)/25)*Calculateur!AQ48*Calculateur!AS48*VLOOKUP('Données projet'!$B$10,Paramètres!$A$1:$I$89,3,0)*0.475*44/12</f>
        <v>19.715270141994196</v>
      </c>
      <c r="AW48" s="21">
        <f>EXP(-LN(2)/2)*AW47+(1-EXP(-LN(2)/2))/(LN(2)/2)*AQ48*AT48*VLOOKUP('Données projet'!$B$10,Paramètres!$A$1:$I$89,3,0)*0.475*44/12</f>
        <v>2.496361098652498</v>
      </c>
      <c r="AX48" s="21">
        <f t="shared" si="6"/>
        <v>82.540411065145065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11.5</v>
      </c>
      <c r="BD48" s="12">
        <f>IF('Données projet'!$A$88&gt;35,BD47+BC48-BL47,IF(A48&lt;'Données projet'!$A$88,$BA$205^A48,IF(A48='Données projet'!$A$88,'Données projet'!$B$88,BD47+BC48-BL47)))</f>
        <v>277.2759999999999</v>
      </c>
      <c r="BE48" s="13">
        <f>BD48*VLOOKUP('Données projet'!$B$11,Paramètres!$A$1:$I$89,3,0)*VLOOKUP('Données projet'!$B$11,Paramètres!$A$1:$I$89,5,0)</f>
        <v>129.76516799999996</v>
      </c>
      <c r="BF48" s="13">
        <f t="shared" si="37"/>
        <v>33.942090843367737</v>
      </c>
      <c r="BG48" s="20">
        <f t="shared" si="7"/>
        <v>285.12347581886542</v>
      </c>
      <c r="BH48" s="59">
        <f t="shared" si="8"/>
        <v>578.45680915219873</v>
      </c>
      <c r="BI48" s="59">
        <f ca="1">AVERAGE(OFFSET($BH$3,0,0,'Données projet'!$E$11+1,1))-AVERAGE(OFFSET($H$3,0,0,'Données projet'!$E$11+1,1))</f>
        <v>252.70779718608964</v>
      </c>
      <c r="BJ48" s="59">
        <f t="shared" si="38"/>
        <v>187.86969111712705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19.651824813163568</v>
      </c>
      <c r="BQ48" s="21">
        <f>EXP(-LN(2)/25)*BQ47+(1-EXP(-LN(2)/25))/(LN(2)/25)*Calculateur!BL48*Calculateur!BN48*VLOOKUP('Données projet'!$B$11,Paramètres!$A$1:$I$89,3,0)*0.475*44/12</f>
        <v>7.3890043691752512</v>
      </c>
      <c r="BR48" s="21">
        <f>EXP(-LN(2)/2)*BR47+(1-EXP(-LN(2)/2))/(LN(2)/2)*BL48*BO48*VLOOKUP('Données projet'!$B$11,Paramètres!$A$1:$I$89,3,0)*0.475*44/12</f>
        <v>0.69751056324108873</v>
      </c>
      <c r="BS48" s="22">
        <f t="shared" si="9"/>
        <v>27.738339745579907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384</v>
      </c>
      <c r="BW48" s="12">
        <f>VLOOKUP(A48,'Données projet'!$A$113:$I$133,9,0)</f>
        <v>20</v>
      </c>
      <c r="BX48" s="12">
        <f t="array" ref="BX48">INDEX(BW:BW,MIN(IF(ISNUMBER(BW48:BW244),ROW(BW48:BW244),"")))</f>
        <v>20</v>
      </c>
      <c r="BY48" s="12">
        <f>IF('Données projet'!$A$114&gt;35,BY47+BX48-CG47,IF(A48&lt;'Données projet'!$A$114,$BV$205^A48,IF(A48='Données projet'!$A$114,'Données projet'!$B$114,BY47+BX48-CG47)))</f>
        <v>384.00000000000006</v>
      </c>
      <c r="BZ48" s="13">
        <f>BY48*VLOOKUP('Données projet'!$B$12,Paramètres!$A$1:$I$89,3,0)*VLOOKUP('Données projet'!$B$12,Paramètres!$A$1:$I$89,5,0)</f>
        <v>229.63200000000006</v>
      </c>
      <c r="CA48" s="13">
        <f t="shared" si="39"/>
        <v>56.20310391330667</v>
      </c>
      <c r="CB48" s="20">
        <f t="shared" si="10"/>
        <v>497.82947264900918</v>
      </c>
      <c r="CC48" s="59">
        <f t="shared" si="11"/>
        <v>791.16280598234243</v>
      </c>
      <c r="CD48" s="59">
        <f ca="1">AVERAGE(OFFSET($CC$3,0,0,'Données projet'!$E$12+1,1))-AVERAGE(OFFSET($H$3,0,0,'Données projet'!$E$12+1,1))</f>
        <v>279.86432710889352</v>
      </c>
      <c r="CE48" s="59">
        <f t="shared" si="40"/>
        <v>297.01680128882509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57</v>
      </c>
      <c r="CH48" s="16">
        <f>IF(ISNA(VLOOKUP(A48,'Données projet'!$A$113:$I$133,5,0)),0%,VLOOKUP(A48,'Données projet'!$A$113:$I$133,5,0)*VLOOKUP('Données projet'!$B$12,Paramètres!$A$1:$I$89,7,0))</f>
        <v>9.0000000000000011E-2</v>
      </c>
      <c r="CI48" s="16">
        <f>IF(ISNA(VLOOKUP(A48,'Données projet'!$A$113:$I$133,6,0)),0%,VLOOKUP(A48,'Données projet'!$A$113:$I$133,6,0)*VLOOKUP('Données projet'!$B$12,Paramètres!$A$1:$I$89,7,0))</f>
        <v>0.18000000000000002</v>
      </c>
      <c r="CJ48" s="16">
        <f>IF(ISNA(VLOOKUP(A48,'Données projet'!$A$113:$I$133,7,0)),0%,VLOOKUP(A48,'Données projet'!$A$113:$I$133,7,0))</f>
        <v>0.4</v>
      </c>
      <c r="CK48" s="21">
        <f>EXP(-LN(2)/35)*CK47+(1-EXP(-LN(2)/35))/(LN(2)/35)*CG48*CH48*VLOOKUP('Données projet'!$B$12,Paramètres!$A$1:$I$89,3,0)*0.475*44/12</f>
        <v>4.0695548425300965</v>
      </c>
      <c r="CL48" s="21">
        <f>EXP(-LN(2)/25)*CL47+(1-EXP(-LN(2)/25))/(LN(2)/25)*Calculateur!CG48*Calculateur!CI48*VLOOKUP('Données projet'!$B$12,Paramètres!$A$1:$I$89,3,0)*0.475*44/12</f>
        <v>40.998979655700339</v>
      </c>
      <c r="CM48" s="21">
        <f>EXP(-LN(2)/2)*CM47+(1-EXP(-LN(2)/2))/(LN(2)/2)*CG48*CJ48*VLOOKUP('Données projet'!$B$12,Paramètres!$A$1:$I$89,3,0)*0.475*44/12</f>
        <v>18.292127605574475</v>
      </c>
      <c r="CN48" s="22">
        <f t="shared" si="12"/>
        <v>63.360662103804913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280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267.99999999999989</v>
      </c>
      <c r="CU48" s="17">
        <f>CT48*VLOOKUP('Données projet'!$B$13,Paramètres!$A$1:$I$89,3,0)*VLOOKUP('Données projet'!$B$13,Paramètres!$A$1:$I$89,5,0)</f>
        <v>213.22079999999994</v>
      </c>
      <c r="CV48" s="13">
        <f t="shared" si="41"/>
        <v>52.638786839117564</v>
      </c>
      <c r="CW48" s="20">
        <f t="shared" si="13"/>
        <v>463.03878041146299</v>
      </c>
      <c r="CX48" s="59">
        <f t="shared" si="14"/>
        <v>756.37211374479625</v>
      </c>
      <c r="CY48" s="59">
        <f ca="1">AVERAGE(OFFSET($CX$3,0,0,'Données projet'!$E$13+1,1))-AVERAGE(OFFSET($H$3,0,0,'Données projet'!$E$13+1,1))</f>
        <v>314.6300257056194</v>
      </c>
      <c r="CZ48" s="59">
        <f t="shared" si="42"/>
        <v>298.00555477466668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26</v>
      </c>
      <c r="DC48" s="16">
        <f>IF(ISNA(VLOOKUP(A48,'Données projet'!$A$139:$I$159,5,0)),0%,VLOOKUP(A48,'Données projet'!$A$139:$I$159,5,0)*VLOOKUP('Données projet'!$B$13,Paramètres!$A$1:$I$89,7,0))</f>
        <v>0.159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7.8578573046866955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7.8578573046866955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280</v>
      </c>
      <c r="DM48" s="12">
        <f>VLOOKUP(A48,'Données projet'!$A$165:$I$185,9,0)</f>
        <v>11.4</v>
      </c>
      <c r="DN48" s="12">
        <f t="array" ref="DN48">INDEX(DM:DM,MIN(IF(ISNUMBER(DM48:DM244),ROW(DM48:DM244),"")))</f>
        <v>11.4</v>
      </c>
      <c r="DO48" s="12">
        <f>IF('Données projet'!$A$166&gt;35,DO47+DN48-DW47,IF(A48&lt;'Données projet'!$A$166,$DL$205^A48,IF(A48='Données projet'!$A$166,'Données projet'!$B$166,DO47+DN48-DW47)))</f>
        <v>267.99999999999989</v>
      </c>
      <c r="DP48" s="17">
        <f>DO48*VLOOKUP('Données projet'!$B$14,Paramètres!$A$1:$I$89,3,0)*VLOOKUP('Données projet'!$B$14,Paramètres!$A$1:$I$89,5,0)</f>
        <v>213.22079999999994</v>
      </c>
      <c r="DQ48" s="13">
        <f t="shared" si="43"/>
        <v>52.638786839117564</v>
      </c>
      <c r="DR48" s="20">
        <f t="shared" si="16"/>
        <v>463.03878041146299</v>
      </c>
      <c r="DS48" s="59">
        <f t="shared" si="17"/>
        <v>756.37211374479625</v>
      </c>
      <c r="DT48" s="59">
        <f ca="1">AVERAGE(OFFSET($DS$3,0,0,'Données projet'!$E$14+1,1))-AVERAGE(OFFSET($H$3,0,0,'Données projet'!$E$14+1,1))</f>
        <v>314.6300257056194</v>
      </c>
      <c r="DU48" s="59">
        <f t="shared" si="44"/>
        <v>298.00555477466668</v>
      </c>
      <c r="DV48" s="15">
        <f>IF(ISNA(VLOOKUP(A48,'Données projet'!$A$165:$I$185,3,0)),0,VLOOKUP(A48,'Données projet'!$A$165:$I$185,3,0))</f>
        <v>5</v>
      </c>
      <c r="DW48" s="15">
        <f>IF(ISNA(VLOOKUP(A48,'Données projet'!$A$165:$I$185,4,0)),0,VLOOKUP(A48,'Données projet'!$A$165:$I$185,4,0))</f>
        <v>26</v>
      </c>
      <c r="DX48" s="16">
        <f>IF(ISNA(VLOOKUP(A48,'Données projet'!$A$165:$I$185,5,0)),0%,VLOOKUP(A48,'Données projet'!$A$165:$I$185,5,0)*VLOOKUP('Données projet'!$B$14,Paramètres!$A$1:$I$89,7,0))</f>
        <v>0.159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7.8578573046866955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7.8578573046866955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343.52307692307687</v>
      </c>
      <c r="EH48" s="12">
        <f>VLOOKUP(A48,'Données projet'!$A$191:$I$211,9,0)</f>
        <v>13.410256410256407</v>
      </c>
      <c r="EI48" s="12">
        <f t="array" ref="EI48">INDEX(EH:EH,MIN(IF(ISNUMBER(EH48:EH244),ROW(EH48:EH244),"")))</f>
        <v>13.410256410256407</v>
      </c>
      <c r="EJ48" s="12">
        <f>IF('Données projet'!$A$192&gt;35,EJ47+EI48-ER47,IF(A48&lt;'Données projet'!$A$192,$EG$205^A48,IF(A48='Données projet'!$A$192,'Données projet'!$B$192,EJ47+EI48-ER47)))</f>
        <v>343.52307692307687</v>
      </c>
      <c r="EK48" s="17">
        <f>EJ48*VLOOKUP('Données projet'!$B$15,Paramètres!$A$1:$I$89,3,0)*VLOOKUP('Données projet'!$B$15,Paramètres!$A$1:$I$89,5,0)</f>
        <v>165.23459999999997</v>
      </c>
      <c r="EL48" s="13">
        <f t="shared" si="45"/>
        <v>42.020972840844287</v>
      </c>
      <c r="EM48" s="20">
        <f t="shared" si="19"/>
        <v>360.97012269780367</v>
      </c>
      <c r="EN48" s="59">
        <f t="shared" si="20"/>
        <v>654.30345603113699</v>
      </c>
      <c r="EO48" s="59">
        <f ca="1">AVERAGE(OFFSET($EN$3,0,0,'Données projet'!$E$15+1,1))-AVERAGE(OFFSET($H$3,0,0,'Données projet'!$E$15+1,1))</f>
        <v>238.83604534181978</v>
      </c>
      <c r="EP48" s="59">
        <f t="shared" si="46"/>
        <v>114.85152559837792</v>
      </c>
      <c r="EQ48" s="15">
        <f>IF(ISNA(VLOOKUP(A48,'Données projet'!$A$191:$I$211,3,0)),0,VLOOKUP(A48,'Données projet'!$A$191:$I$211,3,0))</f>
        <v>1</v>
      </c>
      <c r="ER48" s="15">
        <f>IF(ISNA(VLOOKUP(A48,'Données projet'!$A$191:$I$211,4,0)),0,VLOOKUP(A48,'Données projet'!$A$191:$I$211,4,0))</f>
        <v>146.27692307692308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183</v>
      </c>
      <c r="FC48" s="12">
        <f>VLOOKUP(A48,'Données projet'!$A$217:$I$237,9,0)</f>
        <v>9.4</v>
      </c>
      <c r="FD48" s="12">
        <f t="array" ref="FD48">INDEX(FC:FC,MIN(IF(ISNUMBER(FC48:FC244),ROW(FC48:FC244),"")))</f>
        <v>9.4</v>
      </c>
      <c r="FE48" s="12">
        <f>IF('Données projet'!$A$218&gt;35,FE47+FD48-FM47,IF(A48&lt;'Données projet'!$A$218,$FB$205^A48,IF(A48='Données projet'!$A$218,'Données projet'!$B$218,FE47+FD48-FM47)))</f>
        <v>183</v>
      </c>
      <c r="FF48" s="17">
        <f>FE48*VLOOKUP('Données projet'!$B$16,Paramètres!$A$1:$I$89,3,0)*VLOOKUP('Données projet'!$B$16,Paramètres!$A$1:$I$89,5,0)</f>
        <v>148.4496</v>
      </c>
      <c r="FG48" s="13">
        <f t="shared" si="47"/>
        <v>38.226038889407498</v>
      </c>
      <c r="FH48" s="20">
        <f t="shared" si="22"/>
        <v>325.1267377323847</v>
      </c>
      <c r="FI48" s="59">
        <f t="shared" si="23"/>
        <v>618.46007106571801</v>
      </c>
      <c r="FJ48" s="59">
        <f ca="1">AVERAGE(OFFSET($FI$3,0,0,'Données projet'!$E$16+1,1))-AVERAGE(OFFSET($H$3,0,0,'Données projet'!$E$16+1,1))</f>
        <v>196.95467273423861</v>
      </c>
      <c r="FK48" s="59">
        <f t="shared" si="48"/>
        <v>173.8709326829258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22</v>
      </c>
      <c r="FN48" s="16">
        <f>IF(ISNA(VLOOKUP(A48,'Données projet'!$A$217:$I$237,5,0)),0%,VLOOKUP(A48,'Données projet'!$A$217:$I$237,5,0)*VLOOKUP('Données projet'!$B$16,Paramètres!$A$1:$I$89,7,0))</f>
        <v>0.129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0.4</v>
      </c>
      <c r="FQ48" s="21">
        <f>EXP(-LN(2)/35)*FQ47+(1-EXP(-LN(2)/35))/(LN(2)/35)*FM48*FN48*VLOOKUP('Données projet'!$B$16,Paramètres!$A$1:$I$89,3,0)*0.475*44/12</f>
        <v>8.1358556523056897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8.5187026247177347</v>
      </c>
      <c r="FT48" s="22">
        <f t="shared" si="24"/>
        <v>16.654558277023426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183</v>
      </c>
      <c r="FX48" s="12">
        <f>VLOOKUP(A48,'Données projet'!$A$243:$I$263,9,0)</f>
        <v>9.4</v>
      </c>
      <c r="FY48" s="12">
        <f t="array" ref="FY48">INDEX(FX:FX,MIN(IF(ISNUMBER(FX48:FX244),ROW(FX48:FX244),"")))</f>
        <v>9.4</v>
      </c>
      <c r="FZ48" s="12">
        <f>IF('Données projet'!$A$244&gt;35,FZ47+FY48-GH47,IF(A48&lt;'Données projet'!$A$244,$FW$205^A48,IF(A48='Données projet'!$A$244,'Données projet'!$B$244,FZ47+FY48-GH47)))</f>
        <v>183</v>
      </c>
      <c r="GA48" s="17">
        <f>FZ48*VLOOKUP('Données projet'!$B$17,Paramètres!$A$1:$I$89,3,0)*VLOOKUP('Données projet'!$B$17,Paramètres!$A$1:$I$89,5,0)</f>
        <v>196.9812</v>
      </c>
      <c r="GB48" s="13">
        <f t="shared" si="49"/>
        <v>49.080140741894134</v>
      </c>
      <c r="GC48" s="20">
        <f t="shared" si="25"/>
        <v>428.55683512546557</v>
      </c>
      <c r="GD48" s="59">
        <f t="shared" si="26"/>
        <v>721.89016845879883</v>
      </c>
      <c r="GE48" s="59">
        <f ca="1">AVERAGE(OFFSET($GD$3,0,0,'Données projet'!$E$17+1,1))-AVERAGE(OFFSET($H$3,0,0,'Données projet'!$E$17+1,1))</f>
        <v>275.5229427552884</v>
      </c>
      <c r="GF48" s="59">
        <f t="shared" si="50"/>
        <v>241.20234081716143</v>
      </c>
      <c r="GG48" s="15">
        <f>IF(ISNA(VLOOKUP(A48,'Données projet'!$A$243:$I$263,3,0)),0,VLOOKUP(A48,'Données projet'!$A$243:$I$263,3,0))</f>
        <v>6</v>
      </c>
      <c r="GH48" s="15">
        <f>IF(ISNA(VLOOKUP(A48,'Données projet'!$A$243:$I$263,4,0)),0,VLOOKUP(A48,'Données projet'!$A$243:$I$263,4,0))</f>
        <v>22</v>
      </c>
      <c r="GI48" s="16">
        <f>IF(ISNA(VLOOKUP(A48,'Données projet'!$A$243:$I$263,5,0)),0%,VLOOKUP(A48,'Données projet'!$A$243:$I$263,5,0)*VLOOKUP('Données projet'!$B$17,Paramètres!$A$1:$I$89,7,0))</f>
        <v>0.129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0.4</v>
      </c>
      <c r="GL48" s="21">
        <f>EXP(-LN(2)/35)*GL47+(1-EXP(-LN(2)/35))/(LN(2)/35)*GH48*GI48*VLOOKUP('Données projet'!$B$17,Paramètres!$A$1:$I$89,3,0)*0.475*44/12</f>
        <v>10.795654615559471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11.303663098183145</v>
      </c>
      <c r="GO48" s="21">
        <f t="shared" si="27"/>
        <v>22.099317713742614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21.625641025641027</v>
      </c>
      <c r="N49" s="13">
        <f>IF('Données projet'!$A$36&gt;35,N48+M49-V48,IF(A49&lt;'Données projet'!$A$36,$K$205^A49,IF(A49='Données projet'!$A$36,'Données projet'!$B$36,N48+M49-V48)))</f>
        <v>481.83333333333314</v>
      </c>
      <c r="O49" s="13">
        <f>N49*VLOOKUP('Données projet'!$B$9,Paramètres!$A$1:$I$89,3,0)*VLOOKUP('Données projet'!$B$9,Paramètres!$A$1:$I$89,5,0)</f>
        <v>269.34483333333321</v>
      </c>
      <c r="P49" s="13">
        <f t="shared" si="33"/>
        <v>64.710206731812519</v>
      </c>
      <c r="Q49" s="20">
        <f t="shared" si="53"/>
        <v>581.81252811346212</v>
      </c>
      <c r="R49" s="59">
        <f t="shared" si="0"/>
        <v>875.14586144679538</v>
      </c>
      <c r="S49" s="59">
        <f ca="1">AVERAGE(OFFSET($R$3,0,0,'Données projet'!$E$9+1,1))-AVERAGE(OFFSET($H$3,0,0,'Données projet'!$E$9+1,1))</f>
        <v>274.57619581652199</v>
      </c>
      <c r="T49" s="59">
        <f t="shared" si="34"/>
        <v>366.15117322598775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 t="e">
        <f>EXP(-LN(2)/35)*Z48+(1-EXP(-LN(2)/35))/(LN(2)/35)*V49*W49*VLOOKUP('Données projet'!$B$9,Paramètres!$A$1:$I$89,3,0)*0.475*44/12</f>
        <v>#VALUE!</v>
      </c>
      <c r="AA49" s="21" t="e">
        <f>EXP(-LN(2)/25)*AA48+(1-EXP(-LN(2)/25))/(LN(2)/25)*Calculateur!V49*Calculateur!X49*VLOOKUP('Données projet'!$B$9,Paramètres!$A$1:$I$89,3,0)*0.475*44/12</f>
        <v>#VALUE!</v>
      </c>
      <c r="AB49" s="21" t="e">
        <f>EXP(-LN(2)/2)*AB48+(1-EXP(-LN(2)/2))/(LN(2)/2)*V49*Y49*VLOOKUP('Données projet'!$B$9,Paramètres!$A$1:$I$89,3,0)*0.475*44/12</f>
        <v>#VALUE!</v>
      </c>
      <c r="AC49" s="22" t="e">
        <f t="shared" si="3"/>
        <v>#VALUE!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10.666666666666666</v>
      </c>
      <c r="AI49" s="13">
        <f>IF('Données projet'!$A$62&gt;35,AI48+AH49-AQ48,IF(A49&lt;'Données projet'!$A$62,$AF$205^A49,IF(A49='Données projet'!$A$62,'Données projet'!$B$62,AI48+AH49-AQ48)))</f>
        <v>230.66666666666666</v>
      </c>
      <c r="AJ49" s="13">
        <f>AI49*VLOOKUP('Données projet'!$B$10,Paramètres!$A$1:$I$89,3,0)*VLOOKUP('Données projet'!$B$10,Paramètres!$A$1:$I$89,5,0)</f>
        <v>143.93599999999998</v>
      </c>
      <c r="AK49" s="13">
        <f t="shared" si="35"/>
        <v>37.197227655019397</v>
      </c>
      <c r="AL49" s="20">
        <f t="shared" si="4"/>
        <v>315.47370483249205</v>
      </c>
      <c r="AM49" s="59">
        <f t="shared" si="5"/>
        <v>608.80703816582536</v>
      </c>
      <c r="AN49" s="59">
        <f ca="1">AVERAGE(OFFSET($AM$3,0,0,'Données projet'!$E$10+1,1))-AVERAGE(OFFSET($H$3,0,0,'Données projet'!$E$10+1,1))</f>
        <v>175.05987582828078</v>
      </c>
      <c r="AO49" s="59">
        <f t="shared" si="36"/>
        <v>268.54782308462387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59.145769249062248</v>
      </c>
      <c r="AV49" s="21">
        <f>EXP(-LN(2)/25)*AV48+(1-EXP(-LN(2)/25))/(LN(2)/25)*Calculateur!AQ49*Calculateur!AS49*VLOOKUP('Données projet'!$B$10,Paramètres!$A$1:$I$89,3,0)*0.475*44/12</f>
        <v>19.176155043180369</v>
      </c>
      <c r="AW49" s="21">
        <f>EXP(-LN(2)/2)*AW48+(1-EXP(-LN(2)/2))/(LN(2)/2)*AQ49*AT49*VLOOKUP('Données projet'!$B$10,Paramètres!$A$1:$I$89,3,0)*0.475*44/12</f>
        <v>1.7651938611474813</v>
      </c>
      <c r="AX49" s="21">
        <f t="shared" si="6"/>
        <v>80.087118153390094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11.5</v>
      </c>
      <c r="BD49" s="12">
        <f>IF('Données projet'!$A$88&gt;35,BD48+BC49-BL48,IF(A49&lt;'Données projet'!$A$88,$BA$205^A49,IF(A49='Données projet'!$A$88,'Données projet'!$B$88,BD48+BC49-BL48)))</f>
        <v>288.7759999999999</v>
      </c>
      <c r="BE49" s="13">
        <f>BD49*VLOOKUP('Données projet'!$B$11,Paramètres!$A$1:$I$89,3,0)*VLOOKUP('Données projet'!$B$11,Paramètres!$A$1:$I$89,5,0)</f>
        <v>135.14716799999997</v>
      </c>
      <c r="BF49" s="13">
        <f t="shared" si="37"/>
        <v>35.183017591268509</v>
      </c>
      <c r="BG49" s="20">
        <f t="shared" si="7"/>
        <v>296.65840657145924</v>
      </c>
      <c r="BH49" s="59">
        <f t="shared" si="8"/>
        <v>589.99173990479255</v>
      </c>
      <c r="BI49" s="59">
        <f ca="1">AVERAGE(OFFSET($BH$3,0,0,'Données projet'!$E$11+1,1))-AVERAGE(OFFSET($H$3,0,0,'Données projet'!$E$11+1,1))</f>
        <v>252.70779718608964</v>
      </c>
      <c r="BJ49" s="59">
        <f t="shared" si="38"/>
        <v>187.86969111712705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19.266464515007005</v>
      </c>
      <c r="BQ49" s="21">
        <f>EXP(-LN(2)/25)*BQ48+(1-EXP(-LN(2)/25))/(LN(2)/25)*Calculateur!BL49*Calculateur!BN49*VLOOKUP('Données projet'!$B$11,Paramètres!$A$1:$I$89,3,0)*0.475*44/12</f>
        <v>7.1869516561293016</v>
      </c>
      <c r="BR49" s="21">
        <f>EXP(-LN(2)/2)*BR48+(1-EXP(-LN(2)/2))/(LN(2)/2)*BL49*BO49*VLOOKUP('Données projet'!$B$11,Paramètres!$A$1:$I$89,3,0)*0.475*44/12</f>
        <v>0.49321444921702207</v>
      </c>
      <c r="BS49" s="22">
        <f t="shared" si="9"/>
        <v>26.946630620353329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17.399999999999999</v>
      </c>
      <c r="BY49" s="12">
        <f>IF('Données projet'!$A$114&gt;35,BY48+BX49-CG48,IF(A49&lt;'Données projet'!$A$114,$BV$205^A49,IF(A49='Données projet'!$A$114,'Données projet'!$B$114,BY48+BX49-CG48)))</f>
        <v>344.40000000000003</v>
      </c>
      <c r="BZ49" s="13">
        <f>BY49*VLOOKUP('Données projet'!$B$12,Paramètres!$A$1:$I$89,3,0)*VLOOKUP('Données projet'!$B$12,Paramètres!$A$1:$I$89,5,0)</f>
        <v>205.95120000000006</v>
      </c>
      <c r="CA49" s="13">
        <f t="shared" si="39"/>
        <v>51.049821044529857</v>
      </c>
      <c r="CB49" s="20">
        <f t="shared" si="10"/>
        <v>447.61011165255627</v>
      </c>
      <c r="CC49" s="59">
        <f t="shared" si="11"/>
        <v>740.94344498588953</v>
      </c>
      <c r="CD49" s="59">
        <f ca="1">AVERAGE(OFFSET($CC$3,0,0,'Données projet'!$E$12+1,1))-AVERAGE(OFFSET($H$3,0,0,'Données projet'!$E$12+1,1))</f>
        <v>279.86432710889352</v>
      </c>
      <c r="CE49" s="59">
        <f t="shared" si="40"/>
        <v>297.01680128882509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3.9897533542514401</v>
      </c>
      <c r="CL49" s="21">
        <f>EXP(-LN(2)/25)*CL48+(1-EXP(-LN(2)/25))/(LN(2)/25)*Calculateur!CG49*Calculateur!CI49*VLOOKUP('Données projet'!$B$12,Paramètres!$A$1:$I$89,3,0)*0.475*44/12</f>
        <v>39.87786040097258</v>
      </c>
      <c r="CM49" s="21">
        <f>EXP(-LN(2)/2)*CM48+(1-EXP(-LN(2)/2))/(LN(2)/2)*CG49*CJ49*VLOOKUP('Données projet'!$B$12,Paramètres!$A$1:$I$89,3,0)*0.475*44/12</f>
        <v>12.934487472231357</v>
      </c>
      <c r="CN49" s="22">
        <f t="shared" si="12"/>
        <v>56.802101227455381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9.8000000000000007</v>
      </c>
      <c r="CT49" s="12">
        <f>IF('Données projet'!$A$140&gt;35,CT48+CS49-DB48,IF(A49&lt;'Données projet'!$A$140,$CQ$205^A49,IF(A49='Données projet'!$A$140,'Données projet'!$B$140,CT48+CS49-DB48)))</f>
        <v>251.7999999999999</v>
      </c>
      <c r="CU49" s="17">
        <f>CT49*VLOOKUP('Données projet'!$B$13,Paramètres!$A$1:$I$89,3,0)*VLOOKUP('Données projet'!$B$13,Paramètres!$A$1:$I$89,5,0)</f>
        <v>200.33207999999993</v>
      </c>
      <c r="CV49" s="13">
        <f t="shared" si="41"/>
        <v>49.817141810123005</v>
      </c>
      <c r="CW49" s="20">
        <f t="shared" si="13"/>
        <v>435.67656131929743</v>
      </c>
      <c r="CX49" s="59">
        <f t="shared" si="14"/>
        <v>729.00989465263069</v>
      </c>
      <c r="CY49" s="59">
        <f ca="1">AVERAGE(OFFSET($CX$3,0,0,'Données projet'!$E$13+1,1))-AVERAGE(OFFSET($H$3,0,0,'Données projet'!$E$13+1,1))</f>
        <v>314.6300257056194</v>
      </c>
      <c r="CZ49" s="59">
        <f t="shared" si="42"/>
        <v>298.00555477466668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7.7037695157614934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7.7037695157614934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9.8000000000000007</v>
      </c>
      <c r="DO49" s="12">
        <f>IF('Données projet'!$A$166&gt;35,DO48+DN49-DW48,IF(A49&lt;'Données projet'!$A$166,$DL$205^A49,IF(A49='Données projet'!$A$166,'Données projet'!$B$166,DO48+DN49-DW48)))</f>
        <v>251.7999999999999</v>
      </c>
      <c r="DP49" s="17">
        <f>DO49*VLOOKUP('Données projet'!$B$14,Paramètres!$A$1:$I$89,3,0)*VLOOKUP('Données projet'!$B$14,Paramètres!$A$1:$I$89,5,0)</f>
        <v>200.33207999999993</v>
      </c>
      <c r="DQ49" s="13">
        <f t="shared" si="43"/>
        <v>49.817141810123005</v>
      </c>
      <c r="DR49" s="20">
        <f t="shared" si="16"/>
        <v>435.67656131929743</v>
      </c>
      <c r="DS49" s="59">
        <f t="shared" si="17"/>
        <v>729.00989465263069</v>
      </c>
      <c r="DT49" s="59">
        <f ca="1">AVERAGE(OFFSET($DS$3,0,0,'Données projet'!$E$14+1,1))-AVERAGE(OFFSET($H$3,0,0,'Données projet'!$E$14+1,1))</f>
        <v>314.6300257056194</v>
      </c>
      <c r="DU49" s="59">
        <f t="shared" si="44"/>
        <v>298.00555477466668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7.7037695157614934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7.7037695157614934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18.983516483516489</v>
      </c>
      <c r="EJ49" s="12">
        <f>IF('Données projet'!$A$192&gt;35,EJ48+EI49-ER48,IF(A49&lt;'Données projet'!$A$192,$EG$205^A49,IF(A49='Données projet'!$A$192,'Données projet'!$B$192,EJ48+EI49-ER48)))</f>
        <v>216.22967032967028</v>
      </c>
      <c r="EK49" s="17">
        <f>EJ49*VLOOKUP('Données projet'!$B$15,Paramètres!$A$1:$I$89,3,0)*VLOOKUP('Données projet'!$B$15,Paramètres!$A$1:$I$89,5,0)</f>
        <v>104.00647142857142</v>
      </c>
      <c r="EL49" s="13">
        <f t="shared" si="45"/>
        <v>27.914290975295078</v>
      </c>
      <c r="EM49" s="20">
        <f t="shared" si="19"/>
        <v>229.76199452006745</v>
      </c>
      <c r="EN49" s="59">
        <f t="shared" si="20"/>
        <v>523.0953278534007</v>
      </c>
      <c r="EO49" s="59">
        <f ca="1">AVERAGE(OFFSET($EN$3,0,0,'Données projet'!$E$15+1,1))-AVERAGE(OFFSET($H$3,0,0,'Données projet'!$E$15+1,1))</f>
        <v>238.83604534181978</v>
      </c>
      <c r="EP49" s="59">
        <f t="shared" si="46"/>
        <v>114.85152559837792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8.1999999999999993</v>
      </c>
      <c r="FE49" s="12">
        <f>IF('Données projet'!$A$218&gt;35,FE48+FD49-FM48,IF(A49&lt;'Données projet'!$A$218,$FB$205^A49,IF(A49='Données projet'!$A$218,'Données projet'!$B$218,FE48+FD49-FM48)))</f>
        <v>169.2</v>
      </c>
      <c r="FF49" s="17">
        <f>FE49*VLOOKUP('Données projet'!$B$16,Paramètres!$A$1:$I$89,3,0)*VLOOKUP('Données projet'!$B$16,Paramètres!$A$1:$I$89,5,0)</f>
        <v>137.25504000000001</v>
      </c>
      <c r="FG49" s="13">
        <f t="shared" si="47"/>
        <v>35.667450842391325</v>
      </c>
      <c r="FH49" s="20">
        <f t="shared" si="22"/>
        <v>301.17333821716494</v>
      </c>
      <c r="FI49" s="59">
        <f t="shared" si="23"/>
        <v>594.50667155049825</v>
      </c>
      <c r="FJ49" s="59">
        <f ca="1">AVERAGE(OFFSET($FI$3,0,0,'Données projet'!$E$16+1,1))-AVERAGE(OFFSET($H$3,0,0,'Données projet'!$E$16+1,1))</f>
        <v>196.95467273423861</v>
      </c>
      <c r="FK49" s="59">
        <f t="shared" si="48"/>
        <v>173.8709326829258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7.9763164853459285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6.0236323928495521</v>
      </c>
      <c r="FT49" s="22">
        <f t="shared" si="24"/>
        <v>13.999948878195481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8.1999999999999993</v>
      </c>
      <c r="FZ49" s="12">
        <f>IF('Données projet'!$A$244&gt;35,FZ48+FY49-GH48,IF(A49&lt;'Données projet'!$A$244,$FW$205^A49,IF(A49='Données projet'!$A$244,'Données projet'!$B$244,FZ48+FY49-GH48)))</f>
        <v>169.2</v>
      </c>
      <c r="GA49" s="17">
        <f>FZ49*VLOOKUP('Données projet'!$B$17,Paramètres!$A$1:$I$89,3,0)*VLOOKUP('Données projet'!$B$17,Paramètres!$A$1:$I$89,5,0)</f>
        <v>182.12687999999997</v>
      </c>
      <c r="GB49" s="13">
        <f t="shared" si="49"/>
        <v>45.795053793403618</v>
      </c>
      <c r="GC49" s="20">
        <f t="shared" si="25"/>
        <v>396.96403469017787</v>
      </c>
      <c r="GD49" s="59">
        <f t="shared" si="26"/>
        <v>690.29736802351113</v>
      </c>
      <c r="GE49" s="59">
        <f ca="1">AVERAGE(OFFSET($GD$3,0,0,'Données projet'!$E$17+1,1))-AVERAGE(OFFSET($H$3,0,0,'Données projet'!$E$17+1,1))</f>
        <v>275.5229427552884</v>
      </c>
      <c r="GF49" s="59">
        <f t="shared" si="50"/>
        <v>241.20234081716143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10.58395841324748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7.9928968289734419</v>
      </c>
      <c r="GO49" s="21">
        <f t="shared" si="27"/>
        <v>18.576855242220923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21.625641025641027</v>
      </c>
      <c r="N50" s="13">
        <f>IF('Données projet'!$A$36&gt;35,N49+M50-V49,IF(A50&lt;'Données projet'!$A$36,$K$205^A50,IF(A50='Données projet'!$A$36,'Données projet'!$B$36,N49+M50-V49)))</f>
        <v>503.45897435897416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274.57619581652199</v>
      </c>
      <c r="T50" s="59">
        <f t="shared" si="34"/>
        <v>366.15117322598775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 t="e">
        <f>EXP(-LN(2)/35)*Z49+(1-EXP(-LN(2)/35))/(LN(2)/35)*V50*W50*VLOOKUP('Données projet'!$B$9,Paramètres!$A$1:$I$89,3,0)*0.475*44/12</f>
        <v>#VALUE!</v>
      </c>
      <c r="AA50" s="21" t="e">
        <f>EXP(-LN(2)/25)*AA49+(1-EXP(-LN(2)/25))/(LN(2)/25)*Calculateur!V50*Calculateur!X50*VLOOKUP('Données projet'!$B$9,Paramètres!$A$1:$I$89,3,0)*0.475*44/12</f>
        <v>#VALUE!</v>
      </c>
      <c r="AB50" s="21" t="e">
        <f>EXP(-LN(2)/2)*AB49+(1-EXP(-LN(2)/2))/(LN(2)/2)*V50*Y50*VLOOKUP('Données projet'!$B$9,Paramètres!$A$1:$I$89,3,0)*0.475*44/12</f>
        <v>#VALUE!</v>
      </c>
      <c r="AC50" s="22" t="e">
        <f t="shared" si="3"/>
        <v>#VALUE!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10.666666666666666</v>
      </c>
      <c r="AI50" s="13">
        <f>IF('Données projet'!$A$62&gt;35,AI49+AH50-AQ49,IF(A50&lt;'Données projet'!$A$62,$AF$205^A50,IF(A50='Données projet'!$A$62,'Données projet'!$B$62,AI49+AH50-AQ49)))</f>
        <v>241.33333333333331</v>
      </c>
      <c r="AJ50" s="13">
        <f>AI50*VLOOKUP('Données projet'!$B$10,Paramètres!$A$1:$I$89,3,0)*VLOOKUP('Données projet'!$B$10,Paramètres!$A$1:$I$89,5,0)</f>
        <v>150.59199999999998</v>
      </c>
      <c r="AK50" s="13">
        <f t="shared" si="35"/>
        <v>38.713088888505631</v>
      </c>
      <c r="AL50" s="20">
        <f t="shared" si="4"/>
        <v>329.70636314748066</v>
      </c>
      <c r="AM50" s="59">
        <f t="shared" si="5"/>
        <v>623.03969648081397</v>
      </c>
      <c r="AN50" s="59">
        <f ca="1">AVERAGE(OFFSET($AM$3,0,0,'Données projet'!$E$10+1,1))-AVERAGE(OFFSET($H$3,0,0,'Données projet'!$E$10+1,1))</f>
        <v>175.05987582828078</v>
      </c>
      <c r="AO50" s="59">
        <f t="shared" si="36"/>
        <v>268.54782308462387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57.985956789445233</v>
      </c>
      <c r="AV50" s="21">
        <f>EXP(-LN(2)/25)*AV49+(1-EXP(-LN(2)/25))/(LN(2)/25)*Calculateur!AQ50*Calculateur!AS50*VLOOKUP('Données projet'!$B$10,Paramètres!$A$1:$I$89,3,0)*0.475*44/12</f>
        <v>18.651782075094435</v>
      </c>
      <c r="AW50" s="21">
        <f>EXP(-LN(2)/2)*AW49+(1-EXP(-LN(2)/2))/(LN(2)/2)*AQ50*AT50*VLOOKUP('Données projet'!$B$10,Paramètres!$A$1:$I$89,3,0)*0.475*44/12</f>
        <v>1.2481805493262492</v>
      </c>
      <c r="AX50" s="21">
        <f t="shared" si="6"/>
        <v>77.885919413865921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11.5</v>
      </c>
      <c r="BD50" s="12">
        <f>IF('Données projet'!$A$88&gt;35,BD49+BC50-BL49,IF(A50&lt;'Données projet'!$A$88,$BA$205^A50,IF(A50='Données projet'!$A$88,'Données projet'!$B$88,BD49+BC50-BL49)))</f>
        <v>300.2759999999999</v>
      </c>
      <c r="BE50" s="13">
        <f>BD50*VLOOKUP('Données projet'!$B$11,Paramètres!$A$1:$I$89,3,0)*VLOOKUP('Données projet'!$B$11,Paramètres!$A$1:$I$89,5,0)</f>
        <v>140.52916799999994</v>
      </c>
      <c r="BF50" s="13">
        <f t="shared" si="37"/>
        <v>36.41820382302847</v>
      </c>
      <c r="BG50" s="20">
        <f t="shared" si="7"/>
        <v>308.18333925844115</v>
      </c>
      <c r="BH50" s="59">
        <f t="shared" si="8"/>
        <v>601.51667259177452</v>
      </c>
      <c r="BI50" s="59">
        <f ca="1">AVERAGE(OFFSET($BH$3,0,0,'Données projet'!$E$11+1,1))-AVERAGE(OFFSET($H$3,0,0,'Données projet'!$E$11+1,1))</f>
        <v>252.70779718608964</v>
      </c>
      <c r="BJ50" s="59">
        <f t="shared" si="38"/>
        <v>187.86969111712705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18.88866089725072</v>
      </c>
      <c r="BQ50" s="21">
        <f>EXP(-LN(2)/25)*BQ49+(1-EXP(-LN(2)/25))/(LN(2)/25)*Calculateur!BL50*Calculateur!BN50*VLOOKUP('Données projet'!$B$11,Paramètres!$A$1:$I$89,3,0)*0.475*44/12</f>
        <v>6.990424085147084</v>
      </c>
      <c r="BR50" s="21">
        <f>EXP(-LN(2)/2)*BR49+(1-EXP(-LN(2)/2))/(LN(2)/2)*BL50*BO50*VLOOKUP('Données projet'!$B$11,Paramètres!$A$1:$I$89,3,0)*0.475*44/12</f>
        <v>0.34875528162054442</v>
      </c>
      <c r="BS50" s="22">
        <f t="shared" si="9"/>
        <v>26.227840264018347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17.399999999999999</v>
      </c>
      <c r="BY50" s="12">
        <f>IF('Données projet'!$A$114&gt;35,BY49+BX50-CG49,IF(A50&lt;'Données projet'!$A$114,$BV$205^A50,IF(A50='Données projet'!$A$114,'Données projet'!$B$114,BY49+BX50-CG49)))</f>
        <v>361.8</v>
      </c>
      <c r="BZ50" s="13">
        <f>BY50*VLOOKUP('Données projet'!$B$12,Paramètres!$A$1:$I$89,3,0)*VLOOKUP('Données projet'!$B$12,Paramètres!$A$1:$I$89,5,0)</f>
        <v>216.35640000000004</v>
      </c>
      <c r="CA50" s="13">
        <f t="shared" si="39"/>
        <v>53.322199188237285</v>
      </c>
      <c r="CB50" s="20">
        <f t="shared" si="10"/>
        <v>469.69022691951341</v>
      </c>
      <c r="CC50" s="59">
        <f t="shared" si="11"/>
        <v>763.02356025284666</v>
      </c>
      <c r="CD50" s="59">
        <f ca="1">AVERAGE(OFFSET($CC$3,0,0,'Données projet'!$E$12+1,1))-AVERAGE(OFFSET($H$3,0,0,'Données projet'!$E$12+1,1))</f>
        <v>279.86432710889352</v>
      </c>
      <c r="CE50" s="59">
        <f t="shared" si="40"/>
        <v>297.01680128882509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3.9115167244838265</v>
      </c>
      <c r="CL50" s="21">
        <f>EXP(-LN(2)/25)*CL49+(1-EXP(-LN(2)/25))/(LN(2)/25)*Calculateur!CG50*Calculateur!CI50*VLOOKUP('Données projet'!$B$12,Paramètres!$A$1:$I$89,3,0)*0.475*44/12</f>
        <v>38.787398211222445</v>
      </c>
      <c r="CM50" s="21">
        <f>EXP(-LN(2)/2)*CM49+(1-EXP(-LN(2)/2))/(LN(2)/2)*CG50*CJ50*VLOOKUP('Données projet'!$B$12,Paramètres!$A$1:$I$89,3,0)*0.475*44/12</f>
        <v>9.1460638027872392</v>
      </c>
      <c r="CN50" s="22">
        <f t="shared" si="12"/>
        <v>51.844978738493509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9.8000000000000007</v>
      </c>
      <c r="CT50" s="12">
        <f>IF('Données projet'!$A$140&gt;35,CT49+CS50-DB49,IF(A50&lt;'Données projet'!$A$140,$CQ$205^A50,IF(A50='Données projet'!$A$140,'Données projet'!$B$140,CT49+CS50-DB49)))</f>
        <v>261.59999999999991</v>
      </c>
      <c r="CU50" s="17">
        <f>CT50*VLOOKUP('Données projet'!$B$13,Paramètres!$A$1:$I$89,3,0)*VLOOKUP('Données projet'!$B$13,Paramètres!$A$1:$I$89,5,0)</f>
        <v>208.12895999999995</v>
      </c>
      <c r="CV50" s="13">
        <f t="shared" si="41"/>
        <v>51.526503660032503</v>
      </c>
      <c r="CW50" s="20">
        <f t="shared" si="13"/>
        <v>452.23326587455654</v>
      </c>
      <c r="CX50" s="59">
        <f t="shared" si="14"/>
        <v>745.56659920788979</v>
      </c>
      <c r="CY50" s="59">
        <f ca="1">AVERAGE(OFFSET($CX$3,0,0,'Données projet'!$E$13+1,1))-AVERAGE(OFFSET($H$3,0,0,'Données projet'!$E$13+1,1))</f>
        <v>314.6300257056194</v>
      </c>
      <c r="CZ50" s="59">
        <f t="shared" si="42"/>
        <v>298.00555477466668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7.5527032943928436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7.5527032943928436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9.8000000000000007</v>
      </c>
      <c r="DO50" s="12">
        <f>IF('Données projet'!$A$166&gt;35,DO49+DN50-DW49,IF(A50&lt;'Données projet'!$A$166,$DL$205^A50,IF(A50='Données projet'!$A$166,'Données projet'!$B$166,DO49+DN50-DW49)))</f>
        <v>261.59999999999991</v>
      </c>
      <c r="DP50" s="17">
        <f>DO50*VLOOKUP('Données projet'!$B$14,Paramètres!$A$1:$I$89,3,0)*VLOOKUP('Données projet'!$B$14,Paramètres!$A$1:$I$89,5,0)</f>
        <v>208.12895999999995</v>
      </c>
      <c r="DQ50" s="13">
        <f t="shared" si="43"/>
        <v>51.526503660032503</v>
      </c>
      <c r="DR50" s="20">
        <f t="shared" si="16"/>
        <v>452.23326587455654</v>
      </c>
      <c r="DS50" s="59">
        <f t="shared" si="17"/>
        <v>745.56659920788979</v>
      </c>
      <c r="DT50" s="59">
        <f ca="1">AVERAGE(OFFSET($DS$3,0,0,'Données projet'!$E$14+1,1))-AVERAGE(OFFSET($H$3,0,0,'Données projet'!$E$14+1,1))</f>
        <v>314.6300257056194</v>
      </c>
      <c r="DU50" s="59">
        <f t="shared" si="44"/>
        <v>298.00555477466668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7.5527032943928436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7.5527032943928436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18.983516483516489</v>
      </c>
      <c r="EJ50" s="12">
        <f>IF('Données projet'!$A$192&gt;35,EJ49+EI50-ER49,IF(A50&lt;'Données projet'!$A$192,$EG$205^A50,IF(A50='Données projet'!$A$192,'Données projet'!$B$192,EJ49+EI50-ER49)))</f>
        <v>235.21318681318678</v>
      </c>
      <c r="EK50" s="17">
        <f>EJ50*VLOOKUP('Données projet'!$B$15,Paramètres!$A$1:$I$89,3,0)*VLOOKUP('Données projet'!$B$15,Paramètres!$A$1:$I$89,5,0)</f>
        <v>113.13754285714285</v>
      </c>
      <c r="EL50" s="13">
        <f t="shared" si="45"/>
        <v>30.068999819350321</v>
      </c>
      <c r="EM50" s="20">
        <f t="shared" si="19"/>
        <v>249.4180618282256</v>
      </c>
      <c r="EN50" s="59">
        <f t="shared" si="20"/>
        <v>542.75139516155889</v>
      </c>
      <c r="EO50" s="59">
        <f ca="1">AVERAGE(OFFSET($EN$3,0,0,'Données projet'!$E$15+1,1))-AVERAGE(OFFSET($H$3,0,0,'Données projet'!$E$15+1,1))</f>
        <v>238.83604534181978</v>
      </c>
      <c r="EP50" s="59">
        <f t="shared" si="46"/>
        <v>114.85152559837792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8.1999999999999993</v>
      </c>
      <c r="FE50" s="12">
        <f>IF('Données projet'!$A$218&gt;35,FE49+FD50-FM49,IF(A50&lt;'Données projet'!$A$218,$FB$205^A50,IF(A50='Données projet'!$A$218,'Données projet'!$B$218,FE49+FD50-FM49)))</f>
        <v>177.39999999999998</v>
      </c>
      <c r="FF50" s="17">
        <f>FE50*VLOOKUP('Données projet'!$B$16,Paramètres!$A$1:$I$89,3,0)*VLOOKUP('Données projet'!$B$16,Paramètres!$A$1:$I$89,5,0)</f>
        <v>143.90688</v>
      </c>
      <c r="FG50" s="13">
        <f t="shared" si="47"/>
        <v>37.19057808849638</v>
      </c>
      <c r="FH50" s="20">
        <f t="shared" si="22"/>
        <v>315.41140617079787</v>
      </c>
      <c r="FI50" s="59">
        <f t="shared" si="23"/>
        <v>608.74473950413119</v>
      </c>
      <c r="FJ50" s="59">
        <f ca="1">AVERAGE(OFFSET($FI$3,0,0,'Données projet'!$E$16+1,1))-AVERAGE(OFFSET($H$3,0,0,'Données projet'!$E$16+1,1))</f>
        <v>196.95467273423861</v>
      </c>
      <c r="FK50" s="59">
        <f t="shared" si="48"/>
        <v>173.8709326829258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7.8199057841409649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4.2593513123588682</v>
      </c>
      <c r="FT50" s="22">
        <f t="shared" si="24"/>
        <v>12.079257096499834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8.1999999999999993</v>
      </c>
      <c r="FZ50" s="12">
        <f>IF('Données projet'!$A$244&gt;35,FZ49+FY50-GH49,IF(A50&lt;'Données projet'!$A$244,$FW$205^A50,IF(A50='Données projet'!$A$244,'Données projet'!$B$244,FZ49+FY50-GH49)))</f>
        <v>177.39999999999998</v>
      </c>
      <c r="GA50" s="17">
        <f>FZ50*VLOOKUP('Données projet'!$B$17,Paramètres!$A$1:$I$89,3,0)*VLOOKUP('Données projet'!$B$17,Paramètres!$A$1:$I$89,5,0)</f>
        <v>190.95335999999998</v>
      </c>
      <c r="GB50" s="13">
        <f t="shared" si="49"/>
        <v>47.750665773575754</v>
      </c>
      <c r="GC50" s="20">
        <f t="shared" si="25"/>
        <v>415.74284488897769</v>
      </c>
      <c r="GD50" s="59">
        <f t="shared" si="26"/>
        <v>709.076178222311</v>
      </c>
      <c r="GE50" s="59">
        <f ca="1">AVERAGE(OFFSET($GD$3,0,0,'Données projet'!$E$17+1,1))-AVERAGE(OFFSET($H$3,0,0,'Données projet'!$E$17+1,1))</f>
        <v>275.5229427552884</v>
      </c>
      <c r="GF50" s="59">
        <f t="shared" si="50"/>
        <v>241.20234081716143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10.376413444340894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5.6518315490915736</v>
      </c>
      <c r="GO50" s="21">
        <f t="shared" si="27"/>
        <v>16.028244993432466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21.625641025641027</v>
      </c>
      <c r="M51" s="12">
        <f t="array" ref="M51">INDEX(L:L,MIN(IF(ISNUMBER(L51:L247),ROW(L51:L247),"")))</f>
        <v>21.625641025641027</v>
      </c>
      <c r="N51" s="13">
        <f>IF('Données projet'!$A$36&gt;35,N50+M51-V50,IF(A51&lt;'Données projet'!$A$36,$K$205^A51,IF(A51='Données projet'!$A$36,'Données projet'!$B$36,N50+M51-V50)))</f>
        <v>525.08461538461518</v>
      </c>
      <c r="O51" s="13">
        <f>N51*VLOOKUP('Données projet'!$B$9,Paramètres!$A$1:$I$89,3,0)*VLOOKUP('Données projet'!$B$9,Paramètres!$A$1:$I$89,5,0)</f>
        <v>293.52229999999986</v>
      </c>
      <c r="P51" s="13">
        <f t="shared" si="33"/>
        <v>69.816768342057628</v>
      </c>
      <c r="Q51" s="20">
        <f t="shared" si="53"/>
        <v>632.81554402908341</v>
      </c>
      <c r="R51" s="59">
        <f t="shared" si="0"/>
        <v>926.14887736241667</v>
      </c>
      <c r="S51" s="59">
        <f ca="1">AVERAGE(OFFSET($R$3,0,0,'Données projet'!$E$9+1,1))-AVERAGE(OFFSET($H$3,0,0,'Données projet'!$E$9+1,1))</f>
        <v>274.57619581652199</v>
      </c>
      <c r="T51" s="59">
        <f t="shared" si="34"/>
        <v>366.15117322598775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 t="e">
        <f>IF(ISNA(VLOOKUP(A51,'Données projet'!$A$35:$I$55,5,0)),0%,VLOOKUP(A51,'Données projet'!$A$35:$I$55,5,0)*VLOOKUP('Données projet'!$B$9,Paramètres!$A$1:$I$89,7,0))</f>
        <v>#VALUE!</v>
      </c>
      <c r="X51" s="16" t="e">
        <f>IF(ISNA(VLOOKUP(A51,'Données projet'!$A$35:$I$55,6,0)),0%,VLOOKUP(A51,'Données projet'!$A$35:$I$55,6,0)*VLOOKUP('Données projet'!$B$9,Paramètres!$A$1:$I$89,7,0))</f>
        <v>#VALUE!</v>
      </c>
      <c r="Y51" s="16" t="str">
        <f>IF(ISNA(VLOOKUP(A51,'Données projet'!$A$35:$I$55,7,0)),0%,VLOOKUP(A51,'Données projet'!$A$35:$I$55,7,0))</f>
        <v/>
      </c>
      <c r="Z51" s="21" t="e">
        <f>EXP(-LN(2)/35)*Z50+(1-EXP(-LN(2)/35))/(LN(2)/35)*V51*W51*VLOOKUP('Données projet'!$B$9,Paramètres!$A$1:$I$89,3,0)*0.475*44/12</f>
        <v>#VALUE!</v>
      </c>
      <c r="AA51" s="21" t="e">
        <f>EXP(-LN(2)/25)*AA50+(1-EXP(-LN(2)/25))/(LN(2)/25)*Calculateur!V51*Calculateur!X51*VLOOKUP('Données projet'!$B$9,Paramètres!$A$1:$I$89,3,0)*0.475*44/12</f>
        <v>#VALUE!</v>
      </c>
      <c r="AB51" s="21" t="e">
        <f>EXP(-LN(2)/2)*AB50+(1-EXP(-LN(2)/2))/(LN(2)/2)*V51*Y51*VLOOKUP('Données projet'!$B$9,Paramètres!$A$1:$I$89,3,0)*0.475*44/12</f>
        <v>#VALUE!</v>
      </c>
      <c r="AC51" s="22" t="e">
        <f t="shared" si="3"/>
        <v>#VALUE!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</v>
      </c>
      <c r="AG51" s="12">
        <f>VLOOKUP(A51,'Données projet'!$A$61:$I$81,9,0)</f>
        <v>10.666666666666666</v>
      </c>
      <c r="AH51" s="12">
        <f t="array" ref="AH51">INDEX(AG:AG,MIN(IF(ISNUMBER(AG51:AG247),ROW(AG51:AG247),"")))</f>
        <v>10.666666666666666</v>
      </c>
      <c r="AI51" s="13">
        <f>IF('Données projet'!$A$62&gt;35,AI50+AH51-AQ50,IF(A51&lt;'Données projet'!$A$62,$AF$205^A51,IF(A51='Données projet'!$A$62,'Données projet'!$B$62,AI50+AH51-AQ50)))</f>
        <v>251.99999999999997</v>
      </c>
      <c r="AJ51" s="13">
        <f>AI51*VLOOKUP('Données projet'!$B$10,Paramètres!$A$1:$I$89,3,0)*VLOOKUP('Données projet'!$B$10,Paramètres!$A$1:$I$89,5,0)</f>
        <v>157.24799999999999</v>
      </c>
      <c r="AK51" s="13">
        <f t="shared" si="35"/>
        <v>40.22116874434861</v>
      </c>
      <c r="AL51" s="20">
        <f t="shared" si="4"/>
        <v>343.92546889640715</v>
      </c>
      <c r="AM51" s="59">
        <f t="shared" si="5"/>
        <v>637.25880222974047</v>
      </c>
      <c r="AN51" s="59">
        <f ca="1">AVERAGE(OFFSET($AM$3,0,0,'Données projet'!$E$10+1,1))-AVERAGE(OFFSET($H$3,0,0,'Données projet'!$E$10+1,1))</f>
        <v>175.05987582828078</v>
      </c>
      <c r="AO51" s="59">
        <f t="shared" si="36"/>
        <v>268.54782308462387</v>
      </c>
      <c r="AP51" s="15">
        <f>IF(ISNA(VLOOKUP(A51,'Données projet'!$A$61:$I$81,3,0)),0,VLOOKUP(A51,'Données projet'!$A$61:$I$81,3,0))</f>
        <v>7</v>
      </c>
      <c r="AQ51" s="15">
        <f>IF(ISNA(VLOOKUP(A51,'Données projet'!$A$61:$I$81,4,0)),0,VLOOKUP(A51,'Données projet'!$A$61:$I$81,4,0))</f>
        <v>65</v>
      </c>
      <c r="AR51" s="16">
        <f>IF(ISNA(VLOOKUP(A51,'Données projet'!$A$61:$I$81,5,0)),0%,VLOOKUP(A51,'Données projet'!$A$61:$I$81,5,0)*VLOOKUP('Données projet'!$B$10,Paramètres!$A$1:$I$89,7,0))</f>
        <v>0.42</v>
      </c>
      <c r="AS51" s="16">
        <f>IF(ISNA(VLOOKUP(A51,'Données projet'!$A$61:$I$81,6,0)),0%,VLOOKUP(A51,'Données projet'!$A$61:$I$81,6,0)*VLOOKUP('Données projet'!$B$10,Paramètres!$A$1:$I$89,7,0))</f>
        <v>0.1008</v>
      </c>
      <c r="AT51" s="16">
        <f>IF(ISNA(VLOOKUP(A51,'Données projet'!$A$61:$I$81,7,0)),0%,VLOOKUP(A51,'Données projet'!$A$61:$I$81,7,0))</f>
        <v>0.13200000000000001</v>
      </c>
      <c r="AU51" s="21">
        <f>EXP(-LN(2)/35)*AU50+(1-EXP(-LN(2)/35))/(LN(2)/35)*AQ51*AR51*VLOOKUP('Données projet'!$B$10,Paramètres!$A$1:$I$89,3,0)*0.475*44/12</f>
        <v>79.447178356049221</v>
      </c>
      <c r="AV51" s="21">
        <f>EXP(-LN(2)/25)*AV50+(1-EXP(-LN(2)/25))/(LN(2)/25)*Calculateur!AQ51*Calculateur!AS51*VLOOKUP('Données projet'!$B$10,Paramètres!$A$1:$I$89,3,0)*0.475*44/12</f>
        <v>23.54398316853775</v>
      </c>
      <c r="AW51" s="21">
        <f>EXP(-LN(2)/2)*AW50+(1-EXP(-LN(2)/2))/(LN(2)/2)*AQ51*AT51*VLOOKUP('Données projet'!$B$10,Paramètres!$A$1:$I$89,3,0)*0.475*44/12</f>
        <v>6.9444780729466382</v>
      </c>
      <c r="AX51" s="21">
        <f t="shared" si="6"/>
        <v>109.93563959753361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11.5</v>
      </c>
      <c r="BD51" s="12">
        <f>IF('Données projet'!$A$88&gt;35,BD50+BC51-BL50,IF(A51&lt;'Données projet'!$A$88,$BA$205^A51,IF(A51='Données projet'!$A$88,'Données projet'!$B$88,BD50+BC51-BL50)))</f>
        <v>311.7759999999999</v>
      </c>
      <c r="BE51" s="13">
        <f>BD51*VLOOKUP('Données projet'!$B$11,Paramètres!$A$1:$I$89,3,0)*VLOOKUP('Données projet'!$B$11,Paramètres!$A$1:$I$89,5,0)</f>
        <v>145.91116799999995</v>
      </c>
      <c r="BF51" s="13">
        <f t="shared" si="37"/>
        <v>37.647894555834959</v>
      </c>
      <c r="BG51" s="20">
        <f t="shared" si="7"/>
        <v>319.6987006180791</v>
      </c>
      <c r="BH51" s="59">
        <f t="shared" si="8"/>
        <v>613.03203395141236</v>
      </c>
      <c r="BI51" s="59">
        <f ca="1">AVERAGE(OFFSET($BH$3,0,0,'Données projet'!$E$11+1,1))-AVERAGE(OFFSET($H$3,0,0,'Données projet'!$E$11+1,1))</f>
        <v>252.70779718608964</v>
      </c>
      <c r="BJ51" s="59">
        <f t="shared" si="38"/>
        <v>187.86969111712705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18.518265778001183</v>
      </c>
      <c r="BQ51" s="21">
        <f>EXP(-LN(2)/25)*BQ50+(1-EXP(-LN(2)/25))/(LN(2)/25)*Calculateur!BL51*Calculateur!BN51*VLOOKUP('Données projet'!$B$11,Paramètres!$A$1:$I$89,3,0)*0.475*44/12</f>
        <v>6.7992705709283108</v>
      </c>
      <c r="BR51" s="21">
        <f>EXP(-LN(2)/2)*BR50+(1-EXP(-LN(2)/2))/(LN(2)/2)*BL51*BO51*VLOOKUP('Données projet'!$B$11,Paramètres!$A$1:$I$89,3,0)*0.475*44/12</f>
        <v>0.24660722460851109</v>
      </c>
      <c r="BS51" s="22">
        <f t="shared" si="9"/>
        <v>25.564143573538004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17.399999999999999</v>
      </c>
      <c r="BY51" s="12">
        <f>IF('Données projet'!$A$114&gt;35,BY50+BX51-CG50,IF(A51&lt;'Données projet'!$A$114,$BV$205^A51,IF(A51='Données projet'!$A$114,'Données projet'!$B$114,BY50+BX51-CG50)))</f>
        <v>379.2</v>
      </c>
      <c r="BZ51" s="13">
        <f>BY51*VLOOKUP('Données projet'!$B$12,Paramètres!$A$1:$I$89,3,0)*VLOOKUP('Données projet'!$B$12,Paramètres!$A$1:$I$89,5,0)</f>
        <v>226.76160000000002</v>
      </c>
      <c r="CA51" s="13">
        <f t="shared" si="39"/>
        <v>55.581886910575967</v>
      </c>
      <c r="CB51" s="20">
        <f t="shared" si="10"/>
        <v>491.74823970258643</v>
      </c>
      <c r="CC51" s="59">
        <f t="shared" si="11"/>
        <v>785.08157303591975</v>
      </c>
      <c r="CD51" s="59">
        <f ca="1">AVERAGE(OFFSET($CC$3,0,0,'Données projet'!$E$12+1,1))-AVERAGE(OFFSET($H$3,0,0,'Données projet'!$E$12+1,1))</f>
        <v>279.86432710889352</v>
      </c>
      <c r="CE51" s="59">
        <f t="shared" si="40"/>
        <v>297.01680128882509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3.8348142673063235</v>
      </c>
      <c r="CL51" s="21">
        <f>EXP(-LN(2)/25)*CL50+(1-EXP(-LN(2)/25))/(LN(2)/25)*Calculateur!CG51*Calculateur!CI51*VLOOKUP('Données projet'!$B$12,Paramètres!$A$1:$I$89,3,0)*0.475*44/12</f>
        <v>37.726754767395946</v>
      </c>
      <c r="CM51" s="21">
        <f>EXP(-LN(2)/2)*CM50+(1-EXP(-LN(2)/2))/(LN(2)/2)*CG51*CJ51*VLOOKUP('Données projet'!$B$12,Paramètres!$A$1:$I$89,3,0)*0.475*44/12</f>
        <v>6.4672437361156794</v>
      </c>
      <c r="CN51" s="22">
        <f t="shared" si="12"/>
        <v>48.028812770817943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9.8000000000000007</v>
      </c>
      <c r="CT51" s="12">
        <f>IF('Données projet'!$A$140&gt;35,CT50+CS51-DB50,IF(A51&lt;'Données projet'!$A$140,$CQ$205^A51,IF(A51='Données projet'!$A$140,'Données projet'!$B$140,CT50+CS51-DB50)))</f>
        <v>271.39999999999992</v>
      </c>
      <c r="CU51" s="17">
        <f>CT51*VLOOKUP('Données projet'!$B$13,Paramètres!$A$1:$I$89,3,0)*VLOOKUP('Données projet'!$B$13,Paramètres!$A$1:$I$89,5,0)</f>
        <v>215.92583999999994</v>
      </c>
      <c r="CV51" s="13">
        <f t="shared" si="41"/>
        <v>53.22842614105901</v>
      </c>
      <c r="CW51" s="20">
        <f t="shared" si="13"/>
        <v>468.77701352901096</v>
      </c>
      <c r="CX51" s="59">
        <f t="shared" si="14"/>
        <v>762.11034686234427</v>
      </c>
      <c r="CY51" s="59">
        <f ca="1">AVERAGE(OFFSET($CX$3,0,0,'Données projet'!$E$13+1,1))-AVERAGE(OFFSET($H$3,0,0,'Données projet'!$E$13+1,1))</f>
        <v>314.6300257056194</v>
      </c>
      <c r="CZ51" s="59">
        <f t="shared" si="42"/>
        <v>298.00555477466668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7.4045993894839359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7.4045993894839359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9.8000000000000007</v>
      </c>
      <c r="DO51" s="12">
        <f>IF('Données projet'!$A$166&gt;35,DO50+DN51-DW50,IF(A51&lt;'Données projet'!$A$166,$DL$205^A51,IF(A51='Données projet'!$A$166,'Données projet'!$B$166,DO50+DN51-DW50)))</f>
        <v>271.39999999999992</v>
      </c>
      <c r="DP51" s="17">
        <f>DO51*VLOOKUP('Données projet'!$B$14,Paramètres!$A$1:$I$89,3,0)*VLOOKUP('Données projet'!$B$14,Paramètres!$A$1:$I$89,5,0)</f>
        <v>215.92583999999994</v>
      </c>
      <c r="DQ51" s="13">
        <f t="shared" si="43"/>
        <v>53.22842614105901</v>
      </c>
      <c r="DR51" s="20">
        <f t="shared" si="16"/>
        <v>468.77701352901096</v>
      </c>
      <c r="DS51" s="59">
        <f t="shared" si="17"/>
        <v>762.11034686234427</v>
      </c>
      <c r="DT51" s="59">
        <f ca="1">AVERAGE(OFFSET($DS$3,0,0,'Données projet'!$E$14+1,1))-AVERAGE(OFFSET($H$3,0,0,'Données projet'!$E$14+1,1))</f>
        <v>314.6300257056194</v>
      </c>
      <c r="DU51" s="59">
        <f t="shared" si="44"/>
        <v>298.00555477466668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7.4045993894839359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7.4045993894839359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18.983516483516489</v>
      </c>
      <c r="EJ51" s="12">
        <f>IF('Données projet'!$A$192&gt;35,EJ50+EI51-ER50,IF(A51&lt;'Données projet'!$A$192,$EG$205^A51,IF(A51='Données projet'!$A$192,'Données projet'!$B$192,EJ50+EI51-ER50)))</f>
        <v>254.19670329670328</v>
      </c>
      <c r="EK51" s="17">
        <f>EJ51*VLOOKUP('Données projet'!$B$15,Paramètres!$A$1:$I$89,3,0)*VLOOKUP('Données projet'!$B$15,Paramètres!$A$1:$I$89,5,0)</f>
        <v>122.26861428571429</v>
      </c>
      <c r="EL51" s="13">
        <f t="shared" si="45"/>
        <v>32.203538200849046</v>
      </c>
      <c r="EM51" s="20">
        <f t="shared" si="19"/>
        <v>269.03899891409782</v>
      </c>
      <c r="EN51" s="59">
        <f t="shared" si="20"/>
        <v>562.37233224743113</v>
      </c>
      <c r="EO51" s="59">
        <f ca="1">AVERAGE(OFFSET($EN$3,0,0,'Données projet'!$E$15+1,1))-AVERAGE(OFFSET($H$3,0,0,'Données projet'!$E$15+1,1))</f>
        <v>238.83604534181978</v>
      </c>
      <c r="EP51" s="59">
        <f t="shared" si="46"/>
        <v>114.85152559837792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8.1999999999999993</v>
      </c>
      <c r="FE51" s="12">
        <f>IF('Données projet'!$A$218&gt;35,FE50+FD51-FM50,IF(A51&lt;'Données projet'!$A$218,$FB$205^A51,IF(A51='Données projet'!$A$218,'Données projet'!$B$218,FE50+FD51-FM50)))</f>
        <v>185.59999999999997</v>
      </c>
      <c r="FF51" s="17">
        <f>FE51*VLOOKUP('Données projet'!$B$16,Paramètres!$A$1:$I$89,3,0)*VLOOKUP('Données projet'!$B$16,Paramètres!$A$1:$I$89,5,0)</f>
        <v>150.55871999999999</v>
      </c>
      <c r="FG51" s="13">
        <f t="shared" si="47"/>
        <v>38.705529258595597</v>
      </c>
      <c r="FH51" s="20">
        <f t="shared" si="22"/>
        <v>329.63523412538729</v>
      </c>
      <c r="FI51" s="59">
        <f t="shared" si="23"/>
        <v>622.9685674587206</v>
      </c>
      <c r="FJ51" s="59">
        <f ca="1">AVERAGE(OFFSET($FI$3,0,0,'Données projet'!$E$16+1,1))-AVERAGE(OFFSET($H$3,0,0,'Données projet'!$E$16+1,1))</f>
        <v>196.95467273423861</v>
      </c>
      <c r="FK51" s="59">
        <f t="shared" si="48"/>
        <v>173.8709326829258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7.6665622013855232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3.0118161964247765</v>
      </c>
      <c r="FT51" s="22">
        <f t="shared" si="24"/>
        <v>10.678378397810299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8.1999999999999993</v>
      </c>
      <c r="FZ51" s="12">
        <f>IF('Données projet'!$A$244&gt;35,FZ50+FY51-GH50,IF(A51&lt;'Données projet'!$A$244,$FW$205^A51,IF(A51='Données projet'!$A$244,'Données projet'!$B$244,FZ50+FY51-GH50)))</f>
        <v>185.59999999999997</v>
      </c>
      <c r="GA51" s="17">
        <f>FZ51*VLOOKUP('Données projet'!$B$17,Paramètres!$A$1:$I$89,3,0)*VLOOKUP('Données projet'!$B$17,Paramètres!$A$1:$I$89,5,0)</f>
        <v>199.77983999999995</v>
      </c>
      <c r="GB51" s="13">
        <f t="shared" si="49"/>
        <v>49.695780119864196</v>
      </c>
      <c r="GC51" s="20">
        <f t="shared" si="25"/>
        <v>434.50337170876332</v>
      </c>
      <c r="GD51" s="59">
        <f t="shared" si="26"/>
        <v>727.83670504209658</v>
      </c>
      <c r="GE51" s="59">
        <f ca="1">AVERAGE(OFFSET($GD$3,0,0,'Données projet'!$E$17+1,1))-AVERAGE(OFFSET($H$3,0,0,'Données projet'!$E$17+1,1))</f>
        <v>275.5229427552884</v>
      </c>
      <c r="GF51" s="59">
        <f t="shared" si="50"/>
        <v>241.20234081716143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10.172938305684635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3.9964484144867214</v>
      </c>
      <c r="GO51" s="21">
        <f t="shared" si="27"/>
        <v>14.169386720171357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464.26153846153824</v>
      </c>
      <c r="O52" s="13">
        <f>N52*VLOOKUP('Données projet'!$B$9,Paramètres!$A$1:$I$89,3,0)*VLOOKUP('Données projet'!$B$9,Paramètres!$A$1:$I$89,5,0)</f>
        <v>259.52219999999988</v>
      </c>
      <c r="P52" s="13">
        <f t="shared" si="33"/>
        <v>62.620519404058868</v>
      </c>
      <c r="Q52" s="20">
        <f t="shared" si="53"/>
        <v>561.06523629540231</v>
      </c>
      <c r="R52" s="59">
        <f t="shared" si="0"/>
        <v>854.39856962873569</v>
      </c>
      <c r="S52" s="59">
        <f ca="1">AVERAGE(OFFSET($R$3,0,0,'Données projet'!$E$9+1,1))-AVERAGE(OFFSET($H$3,0,0,'Données projet'!$E$9+1,1))</f>
        <v>274.57619581652199</v>
      </c>
      <c r="T52" s="59">
        <f t="shared" si="34"/>
        <v>366.15117322598775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 t="e">
        <f>EXP(-LN(2)/35)*Z51+(1-EXP(-LN(2)/35))/(LN(2)/35)*V52*W52*VLOOKUP('Données projet'!$B$9,Paramètres!$A$1:$I$89,3,0)*0.475*44/12</f>
        <v>#VALUE!</v>
      </c>
      <c r="AA52" s="21" t="e">
        <f>EXP(-LN(2)/25)*AA51+(1-EXP(-LN(2)/25))/(LN(2)/25)*Calculateur!V52*Calculateur!X52*VLOOKUP('Données projet'!$B$9,Paramètres!$A$1:$I$89,3,0)*0.475*44/12</f>
        <v>#VALUE!</v>
      </c>
      <c r="AB52" s="21" t="e">
        <f>EXP(-LN(2)/2)*AB51+(1-EXP(-LN(2)/2))/(LN(2)/2)*V52*Y52*VLOOKUP('Données projet'!$B$9,Paramètres!$A$1:$I$89,3,0)*0.475*44/12</f>
        <v>#VALUE!</v>
      </c>
      <c r="AC52" s="22" t="e">
        <f t="shared" si="3"/>
        <v>#VALUE!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9.75</v>
      </c>
      <c r="AI52" s="13">
        <f>IF('Données projet'!$A$62&gt;35,AI51+AH52-AQ51,IF(A52&lt;'Données projet'!$A$62,$AF$205^A52,IF(A52='Données projet'!$A$62,'Données projet'!$B$62,AI51+AH52-AQ51)))</f>
        <v>196.75</v>
      </c>
      <c r="AJ52" s="13">
        <f>AI52*VLOOKUP('Données projet'!$B$10,Paramètres!$A$1:$I$89,3,0)*VLOOKUP('Données projet'!$B$10,Paramètres!$A$1:$I$89,5,0)</f>
        <v>122.77200000000001</v>
      </c>
      <c r="AK52" s="13">
        <f t="shared" si="35"/>
        <v>32.320660955470466</v>
      </c>
      <c r="AL52" s="20">
        <f t="shared" si="4"/>
        <v>270.11971783077774</v>
      </c>
      <c r="AM52" s="59">
        <f t="shared" si="5"/>
        <v>563.453051164111</v>
      </c>
      <c r="AN52" s="59">
        <f ca="1">AVERAGE(OFFSET($AM$3,0,0,'Données projet'!$E$10+1,1))-AVERAGE(OFFSET($H$3,0,0,'Données projet'!$E$10+1,1))</f>
        <v>175.05987582828078</v>
      </c>
      <c r="AO52" s="59">
        <f t="shared" si="36"/>
        <v>268.54782308462387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77.889267646481059</v>
      </c>
      <c r="AV52" s="21">
        <f>EXP(-LN(2)/25)*AV51+(1-EXP(-LN(2)/25))/(LN(2)/25)*Calculateur!AQ52*Calculateur!AS52*VLOOKUP('Données projet'!$B$10,Paramètres!$A$1:$I$89,3,0)*0.475*44/12</f>
        <v>22.90017171066982</v>
      </c>
      <c r="AW52" s="21">
        <f>EXP(-LN(2)/2)*AW51+(1-EXP(-LN(2)/2))/(LN(2)/2)*AQ52*AT52*VLOOKUP('Données projet'!$B$10,Paramètres!$A$1:$I$89,3,0)*0.475*44/12</f>
        <v>4.9104875371818562</v>
      </c>
      <c r="AX52" s="21">
        <f t="shared" si="6"/>
        <v>105.69992689433273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11.5</v>
      </c>
      <c r="BD52" s="12">
        <f>IF('Données projet'!$A$88&gt;35,BD51+BC52-BL51,IF(A52&lt;'Données projet'!$A$88,$BA$205^A52,IF(A52='Données projet'!$A$88,'Données projet'!$B$88,BD51+BC52-BL51)))</f>
        <v>323.2759999999999</v>
      </c>
      <c r="BE52" s="13">
        <f>BD52*VLOOKUP('Données projet'!$B$11,Paramètres!$A$1:$I$89,3,0)*VLOOKUP('Données projet'!$B$11,Paramètres!$A$1:$I$89,5,0)</f>
        <v>151.29316799999995</v>
      </c>
      <c r="BF52" s="13">
        <f t="shared" si="37"/>
        <v>38.872315707543763</v>
      </c>
      <c r="BG52" s="20">
        <f t="shared" si="7"/>
        <v>331.20488412397202</v>
      </c>
      <c r="BH52" s="59">
        <f t="shared" si="8"/>
        <v>624.53821745730534</v>
      </c>
      <c r="BI52" s="59">
        <f ca="1">AVERAGE(OFFSET($BH$3,0,0,'Données projet'!$E$11+1,1))-AVERAGE(OFFSET($H$3,0,0,'Données projet'!$E$11+1,1))</f>
        <v>252.70779718608964</v>
      </c>
      <c r="BJ52" s="59">
        <f t="shared" si="38"/>
        <v>187.86969111712705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18.155133881121412</v>
      </c>
      <c r="BQ52" s="21">
        <f>EXP(-LN(2)/25)*BQ51+(1-EXP(-LN(2)/25))/(LN(2)/25)*Calculateur!BL52*Calculateur!BN52*VLOOKUP('Données projet'!$B$11,Paramètres!$A$1:$I$89,3,0)*0.475*44/12</f>
        <v>6.613344159608177</v>
      </c>
      <c r="BR52" s="21">
        <f>EXP(-LN(2)/2)*BR51+(1-EXP(-LN(2)/2))/(LN(2)/2)*BL52*BO52*VLOOKUP('Données projet'!$B$11,Paramètres!$A$1:$I$89,3,0)*0.475*44/12</f>
        <v>0.17437764081027224</v>
      </c>
      <c r="BS52" s="22">
        <f t="shared" si="9"/>
        <v>24.942855681539864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17.399999999999999</v>
      </c>
      <c r="BY52" s="12">
        <f>IF('Données projet'!$A$114&gt;35,BY51+BX52-CG51,IF(A52&lt;'Données projet'!$A$114,$BV$205^A52,IF(A52='Données projet'!$A$114,'Données projet'!$B$114,BY51+BX52-CG51)))</f>
        <v>396.59999999999997</v>
      </c>
      <c r="BZ52" s="13">
        <f>BY52*VLOOKUP('Données projet'!$B$12,Paramètres!$A$1:$I$89,3,0)*VLOOKUP('Données projet'!$B$12,Paramètres!$A$1:$I$89,5,0)</f>
        <v>237.16679999999997</v>
      </c>
      <c r="CA52" s="13">
        <f t="shared" si="39"/>
        <v>57.829533038824209</v>
      </c>
      <c r="CB52" s="20">
        <f t="shared" si="10"/>
        <v>513.78528004261875</v>
      </c>
      <c r="CC52" s="59">
        <f t="shared" si="11"/>
        <v>807.11861337595201</v>
      </c>
      <c r="CD52" s="59">
        <f ca="1">AVERAGE(OFFSET($CC$3,0,0,'Données projet'!$E$12+1,1))-AVERAGE(OFFSET($H$3,0,0,'Données projet'!$E$12+1,1))</f>
        <v>279.86432710889352</v>
      </c>
      <c r="CE52" s="59">
        <f t="shared" si="40"/>
        <v>297.01680128882509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3.7596158985301917</v>
      </c>
      <c r="CL52" s="21">
        <f>EXP(-LN(2)/25)*CL51+(1-EXP(-LN(2)/25))/(LN(2)/25)*Calculateur!CG52*Calculateur!CI52*VLOOKUP('Données projet'!$B$12,Paramètres!$A$1:$I$89,3,0)*0.475*44/12</f>
        <v>36.695114674317693</v>
      </c>
      <c r="CM52" s="21">
        <f>EXP(-LN(2)/2)*CM51+(1-EXP(-LN(2)/2))/(LN(2)/2)*CG52*CJ52*VLOOKUP('Données projet'!$B$12,Paramètres!$A$1:$I$89,3,0)*0.475*44/12</f>
        <v>4.5730319013936205</v>
      </c>
      <c r="CN52" s="22">
        <f t="shared" si="12"/>
        <v>45.027762474241506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9.8000000000000007</v>
      </c>
      <c r="CT52" s="12">
        <f>IF('Données projet'!$A$140&gt;35,CT51+CS52-DB51,IF(A52&lt;'Données projet'!$A$140,$CQ$205^A52,IF(A52='Données projet'!$A$140,'Données projet'!$B$140,CT51+CS52-DB51)))</f>
        <v>281.19999999999993</v>
      </c>
      <c r="CU52" s="17">
        <f>CT52*VLOOKUP('Données projet'!$B$13,Paramètres!$A$1:$I$89,3,0)*VLOOKUP('Données projet'!$B$13,Paramètres!$A$1:$I$89,5,0)</f>
        <v>223.72271999999998</v>
      </c>
      <c r="CV52" s="13">
        <f t="shared" si="41"/>
        <v>54.923208653192283</v>
      </c>
      <c r="CW52" s="20">
        <f t="shared" si="13"/>
        <v>485.3083257376432</v>
      </c>
      <c r="CX52" s="59">
        <f t="shared" si="14"/>
        <v>778.64165907097652</v>
      </c>
      <c r="CY52" s="59">
        <f ca="1">AVERAGE(OFFSET($CX$3,0,0,'Données projet'!$E$13+1,1))-AVERAGE(OFFSET($H$3,0,0,'Données projet'!$E$13+1,1))</f>
        <v>314.6300257056194</v>
      </c>
      <c r="CZ52" s="59">
        <f t="shared" si="42"/>
        <v>298.00555477466668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7.2593997118158304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7.2593997118158304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9.8000000000000007</v>
      </c>
      <c r="DO52" s="12">
        <f>IF('Données projet'!$A$166&gt;35,DO51+DN52-DW51,IF(A52&lt;'Données projet'!$A$166,$DL$205^A52,IF(A52='Données projet'!$A$166,'Données projet'!$B$166,DO51+DN52-DW51)))</f>
        <v>281.19999999999993</v>
      </c>
      <c r="DP52" s="17">
        <f>DO52*VLOOKUP('Données projet'!$B$14,Paramètres!$A$1:$I$89,3,0)*VLOOKUP('Données projet'!$B$14,Paramètres!$A$1:$I$89,5,0)</f>
        <v>223.72271999999998</v>
      </c>
      <c r="DQ52" s="13">
        <f t="shared" si="43"/>
        <v>54.923208653192283</v>
      </c>
      <c r="DR52" s="20">
        <f t="shared" si="16"/>
        <v>485.3083257376432</v>
      </c>
      <c r="DS52" s="59">
        <f t="shared" si="17"/>
        <v>778.64165907097652</v>
      </c>
      <c r="DT52" s="59">
        <f ca="1">AVERAGE(OFFSET($DS$3,0,0,'Données projet'!$E$14+1,1))-AVERAGE(OFFSET($H$3,0,0,'Données projet'!$E$14+1,1))</f>
        <v>314.6300257056194</v>
      </c>
      <c r="DU52" s="59">
        <f t="shared" si="44"/>
        <v>298.00555477466668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7.2593997118158304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7.2593997118158304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18.983516483516489</v>
      </c>
      <c r="EJ52" s="12">
        <f>IF('Données projet'!$A$192&gt;35,EJ51+EI52-ER51,IF(A52&lt;'Données projet'!$A$192,$EG$205^A52,IF(A52='Données projet'!$A$192,'Données projet'!$B$192,EJ51+EI52-ER51)))</f>
        <v>273.18021978021977</v>
      </c>
      <c r="EK52" s="17">
        <f>EJ52*VLOOKUP('Données projet'!$B$15,Paramètres!$A$1:$I$89,3,0)*VLOOKUP('Données projet'!$B$15,Paramètres!$A$1:$I$89,5,0)</f>
        <v>131.39968571428571</v>
      </c>
      <c r="EL52" s="13">
        <f t="shared" si="45"/>
        <v>34.319583744441474</v>
      </c>
      <c r="EM52" s="20">
        <f t="shared" si="19"/>
        <v>288.62772764061646</v>
      </c>
      <c r="EN52" s="59">
        <f t="shared" si="20"/>
        <v>581.96106097394977</v>
      </c>
      <c r="EO52" s="59">
        <f ca="1">AVERAGE(OFFSET($EN$3,0,0,'Données projet'!$E$15+1,1))-AVERAGE(OFFSET($H$3,0,0,'Données projet'!$E$15+1,1))</f>
        <v>238.83604534181978</v>
      </c>
      <c r="EP52" s="59">
        <f t="shared" si="46"/>
        <v>114.85152559837792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8.1999999999999993</v>
      </c>
      <c r="FE52" s="12">
        <f>IF('Données projet'!$A$218&gt;35,FE51+FD52-FM51,IF(A52&lt;'Données projet'!$A$218,$FB$205^A52,IF(A52='Données projet'!$A$218,'Données projet'!$B$218,FE51+FD52-FM51)))</f>
        <v>193.79999999999995</v>
      </c>
      <c r="FF52" s="17">
        <f>FE52*VLOOKUP('Données projet'!$B$16,Paramètres!$A$1:$I$89,3,0)*VLOOKUP('Données projet'!$B$16,Paramètres!$A$1:$I$89,5,0)</f>
        <v>157.21055999999999</v>
      </c>
      <c r="FG52" s="13">
        <f t="shared" si="47"/>
        <v>40.212706859296013</v>
      </c>
      <c r="FH52" s="20">
        <f t="shared" si="22"/>
        <v>343.84552311327383</v>
      </c>
      <c r="FI52" s="59">
        <f t="shared" si="23"/>
        <v>637.17885644660714</v>
      </c>
      <c r="FJ52" s="59">
        <f ca="1">AVERAGE(OFFSET($FI$3,0,0,'Données projet'!$E$16+1,1))-AVERAGE(OFFSET($H$3,0,0,'Données projet'!$E$16+1,1))</f>
        <v>196.95467273423861</v>
      </c>
      <c r="FK52" s="59">
        <f t="shared" si="48"/>
        <v>173.8709326829258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7.5162255927575652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2.1296756561794346</v>
      </c>
      <c r="FT52" s="22">
        <f t="shared" si="24"/>
        <v>9.6459012489369993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8.1999999999999993</v>
      </c>
      <c r="FZ52" s="12">
        <f>IF('Données projet'!$A$244&gt;35,FZ51+FY52-GH51,IF(A52&lt;'Données projet'!$A$244,$FW$205^A52,IF(A52='Données projet'!$A$244,'Données projet'!$B$244,FZ51+FY52-GH51)))</f>
        <v>193.79999999999995</v>
      </c>
      <c r="GA52" s="17">
        <f>FZ52*VLOOKUP('Données projet'!$B$17,Paramètres!$A$1:$I$89,3,0)*VLOOKUP('Données projet'!$B$17,Paramètres!$A$1:$I$89,5,0)</f>
        <v>208.60631999999993</v>
      </c>
      <c r="GB52" s="13">
        <f t="shared" si="49"/>
        <v>51.630913628711831</v>
      </c>
      <c r="GC52" s="20">
        <f t="shared" si="25"/>
        <v>453.24651523667291</v>
      </c>
      <c r="GD52" s="59">
        <f t="shared" si="26"/>
        <v>746.57984857000622</v>
      </c>
      <c r="GE52" s="59">
        <f ca="1">AVERAGE(OFFSET($GD$3,0,0,'Données projet'!$E$17+1,1))-AVERAGE(OFFSET($H$3,0,0,'Données projet'!$E$17+1,1))</f>
        <v>275.5229427552884</v>
      </c>
      <c r="GF52" s="59">
        <f t="shared" si="50"/>
        <v>241.20234081716143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9.9734531903898453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2.8259157745457872</v>
      </c>
      <c r="GO52" s="21">
        <f t="shared" si="27"/>
        <v>12.799368964935633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484.76923076923055</v>
      </c>
      <c r="O53" s="13">
        <f>N53*VLOOKUP('Données projet'!$B$9,Paramètres!$A$1:$I$89,3,0)*VLOOKUP('Données projet'!$B$9,Paramètres!$A$1:$I$89,5,0)</f>
        <v>270.98599999999988</v>
      </c>
      <c r="P53" s="13">
        <f t="shared" si="33"/>
        <v>65.058478958733772</v>
      </c>
      <c r="Q53" s="20">
        <f t="shared" si="53"/>
        <v>585.27746751979441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274.57619581652199</v>
      </c>
      <c r="T53" s="59">
        <f t="shared" si="34"/>
        <v>366.15117322598775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 t="e">
        <f>EXP(-LN(2)/35)*Z52+(1-EXP(-LN(2)/35))/(LN(2)/35)*V53*W53*VLOOKUP('Données projet'!$B$9,Paramètres!$A$1:$I$89,3,0)*0.475*44/12</f>
        <v>#VALUE!</v>
      </c>
      <c r="AA53" s="21" t="e">
        <f>EXP(-LN(2)/25)*AA52+(1-EXP(-LN(2)/25))/(LN(2)/25)*Calculateur!V53*Calculateur!X53*VLOOKUP('Données projet'!$B$9,Paramètres!$A$1:$I$89,3,0)*0.475*44/12</f>
        <v>#VALUE!</v>
      </c>
      <c r="AB53" s="21" t="e">
        <f>EXP(-LN(2)/2)*AB52+(1-EXP(-LN(2)/2))/(LN(2)/2)*V53*Y53*VLOOKUP('Données projet'!$B$9,Paramètres!$A$1:$I$89,3,0)*0.475*44/12</f>
        <v>#VALUE!</v>
      </c>
      <c r="AC53" s="22" t="e">
        <f t="shared" si="3"/>
        <v>#VALUE!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9.75</v>
      </c>
      <c r="AI53" s="13">
        <f>IF('Données projet'!$A$62&gt;35,AI52+AH53-AQ52,IF(A53&lt;'Données projet'!$A$62,$AF$205^A53,IF(A53='Données projet'!$A$62,'Données projet'!$B$62,AI52+AH53-AQ52)))</f>
        <v>206.5</v>
      </c>
      <c r="AJ53" s="13">
        <f>AI53*VLOOKUP('Données projet'!$B$10,Paramètres!$A$1:$I$89,3,0)*VLOOKUP('Données projet'!$B$10,Paramètres!$A$1:$I$89,5,0)</f>
        <v>128.85599999999999</v>
      </c>
      <c r="AK53" s="13">
        <f t="shared" si="35"/>
        <v>33.731878688740906</v>
      </c>
      <c r="AL53" s="20">
        <f t="shared" si="4"/>
        <v>283.1738887162237</v>
      </c>
      <c r="AM53" s="59">
        <f t="shared" si="5"/>
        <v>576.50722204955696</v>
      </c>
      <c r="AN53" s="59">
        <f ca="1">AVERAGE(OFFSET($AM$3,0,0,'Données projet'!$E$10+1,1))-AVERAGE(OFFSET($H$3,0,0,'Données projet'!$E$10+1,1))</f>
        <v>175.05987582828078</v>
      </c>
      <c r="AO53" s="59">
        <f t="shared" si="36"/>
        <v>268.54782308462387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76.36190661569583</v>
      </c>
      <c r="AV53" s="21">
        <f>EXP(-LN(2)/25)*AV52+(1-EXP(-LN(2)/25))/(LN(2)/25)*Calculateur!AQ53*Calculateur!AS53*VLOOKUP('Données projet'!$B$10,Paramètres!$A$1:$I$89,3,0)*0.475*44/12</f>
        <v>22.273965310973864</v>
      </c>
      <c r="AW53" s="21">
        <f>EXP(-LN(2)/2)*AW52+(1-EXP(-LN(2)/2))/(LN(2)/2)*AQ53*AT53*VLOOKUP('Données projet'!$B$10,Paramètres!$A$1:$I$89,3,0)*0.475*44/12</f>
        <v>3.4722390364733196</v>
      </c>
      <c r="AX53" s="21">
        <f t="shared" si="6"/>
        <v>102.10811096314302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334.77600000000001</v>
      </c>
      <c r="BB53" s="12">
        <f>VLOOKUP(A53,'Données projet'!$A$87:$I$107,9,0)</f>
        <v>11.5</v>
      </c>
      <c r="BC53" s="12">
        <f t="array" ref="BC53">INDEX(BB:BB,MIN(IF(ISNUMBER(BB53:BB249),ROW(BB53:BB249),"")))</f>
        <v>11.5</v>
      </c>
      <c r="BD53" s="12">
        <f>IF('Données projet'!$A$88&gt;35,BD52+BC53-BL52,IF(A53&lt;'Données projet'!$A$88,$BA$205^A53,IF(A53='Données projet'!$A$88,'Données projet'!$B$88,BD52+BC53-BL52)))</f>
        <v>334.7759999999999</v>
      </c>
      <c r="BE53" s="13">
        <f>BD53*VLOOKUP('Données projet'!$B$11,Paramètres!$A$1:$I$89,3,0)*VLOOKUP('Données projet'!$B$11,Paramètres!$A$1:$I$89,5,0)</f>
        <v>156.67516799999996</v>
      </c>
      <c r="BF53" s="13">
        <f t="shared" si="37"/>
        <v>40.091676211496797</v>
      </c>
      <c r="BG53" s="20">
        <f t="shared" si="7"/>
        <v>342.70225366835689</v>
      </c>
      <c r="BH53" s="59">
        <f t="shared" si="8"/>
        <v>636.03558700169015</v>
      </c>
      <c r="BI53" s="59">
        <f ca="1">AVERAGE(OFFSET($BH$3,0,0,'Données projet'!$E$11+1,1))-AVERAGE(OFFSET($H$3,0,0,'Données projet'!$E$11+1,1))</f>
        <v>252.70779718608964</v>
      </c>
      <c r="BJ53" s="59">
        <f t="shared" si="38"/>
        <v>187.86969111712705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66.955200000000005</v>
      </c>
      <c r="BM53" s="16">
        <f>IF(ISNA(VLOOKUP(A53,'Données projet'!$A$87:$I$107,5,0)),0%,VLOOKUP(A53,'Données projet'!$A$87:$I$107,5,0)*VLOOKUP('Données projet'!$B$11,Paramètres!$A$1:$I$89,7,0))</f>
        <v>0.38500000000000001</v>
      </c>
      <c r="BN53" s="16">
        <f>IF(ISNA(VLOOKUP(A53,'Données projet'!$A$87:$I$107,6,0)),0%,VLOOKUP(A53,'Données projet'!$A$87:$I$107,6,0)*VLOOKUP('Données projet'!$B$11,Paramètres!$A$1:$I$89,7,0))</f>
        <v>9.240000000000001E-2</v>
      </c>
      <c r="BO53" s="16">
        <f>IF(ISNA(VLOOKUP(A53,'Données projet'!$A$87:$I$107,7,0)),0%,VLOOKUP(A53,'Données projet'!$A$87:$I$107,7,0))</f>
        <v>0.13200000000000001</v>
      </c>
      <c r="BP53" s="21">
        <f>EXP(-LN(2)/35)*BP52+(1-EXP(-LN(2)/35))/(LN(2)/35)*BL53*BM53*VLOOKUP('Données projet'!$B$11,Paramètres!$A$1:$I$89,3,0)*0.475*44/12</f>
        <v>33.802780365999894</v>
      </c>
      <c r="BQ53" s="21">
        <f>EXP(-LN(2)/25)*BQ52+(1-EXP(-LN(2)/25))/(LN(2)/25)*Calculateur!BL53*Calculateur!BN53*VLOOKUP('Données projet'!$B$11,Paramètres!$A$1:$I$89,3,0)*0.475*44/12</f>
        <v>10.258256737133051</v>
      </c>
      <c r="BR53" s="21">
        <f>EXP(-LN(2)/2)*BR52+(1-EXP(-LN(2)/2))/(LN(2)/2)*BL53*BO53*VLOOKUP('Données projet'!$B$11,Paramètres!$A$1:$I$89,3,0)*0.475*44/12</f>
        <v>4.8064705076558605</v>
      </c>
      <c r="BS53" s="22">
        <f t="shared" si="9"/>
        <v>48.867507610788806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414</v>
      </c>
      <c r="BW53" s="12">
        <f>VLOOKUP(A53,'Données projet'!$A$113:$I$133,9,0)</f>
        <v>17.399999999999999</v>
      </c>
      <c r="BX53" s="12">
        <f t="array" ref="BX53">INDEX(BW:BW,MIN(IF(ISNUMBER(BW53:BW249),ROW(BW53:BW249),"")))</f>
        <v>17.399999999999999</v>
      </c>
      <c r="BY53" s="12">
        <f>IF('Données projet'!$A$114&gt;35,BY52+BX53-CG52,IF(A53&lt;'Données projet'!$A$114,$BV$205^A53,IF(A53='Données projet'!$A$114,'Données projet'!$B$114,BY52+BX53-CG52)))</f>
        <v>413.99999999999994</v>
      </c>
      <c r="BZ53" s="13">
        <f>BY53*VLOOKUP('Données projet'!$B$12,Paramètres!$A$1:$I$89,3,0)*VLOOKUP('Données projet'!$B$12,Paramètres!$A$1:$I$89,5,0)</f>
        <v>247.57199999999997</v>
      </c>
      <c r="CA53" s="13">
        <f t="shared" si="39"/>
        <v>60.065726249156526</v>
      </c>
      <c r="CB53" s="20">
        <f t="shared" si="10"/>
        <v>535.80237321728089</v>
      </c>
      <c r="CC53" s="59">
        <f t="shared" si="11"/>
        <v>829.13570655061426</v>
      </c>
      <c r="CD53" s="59">
        <f ca="1">AVERAGE(OFFSET($CC$3,0,0,'Données projet'!$E$12+1,1))-AVERAGE(OFFSET($H$3,0,0,'Données projet'!$E$12+1,1))</f>
        <v>279.86432710889352</v>
      </c>
      <c r="CE53" s="59">
        <f t="shared" si="40"/>
        <v>297.01680128882509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47</v>
      </c>
      <c r="CH53" s="16">
        <f>IF(ISNA(VLOOKUP(A53,'Données projet'!$A$113:$I$133,5,0)),0%,VLOOKUP(A53,'Données projet'!$A$113:$I$133,5,0)*VLOOKUP('Données projet'!$B$12,Paramètres!$A$1:$I$89,7,0))</f>
        <v>0.13500000000000001</v>
      </c>
      <c r="CI53" s="16">
        <f>IF(ISNA(VLOOKUP(A53,'Données projet'!$A$113:$I$133,6,0)),0%,VLOOKUP(A53,'Données projet'!$A$113:$I$133,6,0)*VLOOKUP('Données projet'!$B$12,Paramètres!$A$1:$I$89,7,0))</f>
        <v>0.18000000000000002</v>
      </c>
      <c r="CJ53" s="16">
        <f>IF(ISNA(VLOOKUP(A53,'Données projet'!$A$113:$I$133,7,0)),0%,VLOOKUP(A53,'Données projet'!$A$113:$I$133,7,0))</f>
        <v>0.3</v>
      </c>
      <c r="CK53" s="21">
        <f>EXP(-LN(2)/35)*CK52+(1-EXP(-LN(2)/35))/(LN(2)/35)*CG53*CH53*VLOOKUP('Données projet'!$B$12,Paramètres!$A$1:$I$89,3,0)*0.475*44/12</f>
        <v>8.7192889028180858</v>
      </c>
      <c r="CL53" s="21">
        <f>EXP(-LN(2)/25)*CL52+(1-EXP(-LN(2)/25))/(LN(2)/25)*Calculateur!CG53*Calculateur!CI53*VLOOKUP('Données projet'!$B$12,Paramètres!$A$1:$I$89,3,0)*0.475*44/12</f>
        <v>42.376456004403821</v>
      </c>
      <c r="CM53" s="21">
        <f>EXP(-LN(2)/2)*CM52+(1-EXP(-LN(2)/2))/(LN(2)/2)*CG53*CJ53*VLOOKUP('Données projet'!$B$12,Paramètres!$A$1:$I$89,3,0)*0.475*44/12</f>
        <v>12.780378154341495</v>
      </c>
      <c r="CN53" s="22">
        <f t="shared" si="12"/>
        <v>63.876123061563405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303</v>
      </c>
      <c r="CR53" s="12">
        <f>VLOOKUP(A53,'Données projet'!$A$139:$I$159,9,0)</f>
        <v>9.8000000000000007</v>
      </c>
      <c r="CS53" s="12">
        <f t="array" ref="CS53">INDEX(CR:CR,MIN(IF(ISNUMBER(CR53:CR249),ROW(CR53:CR249),"")))</f>
        <v>9.8000000000000007</v>
      </c>
      <c r="CT53" s="12">
        <f>IF('Données projet'!$A$140&gt;35,CT52+CS53-DB52,IF(A53&lt;'Données projet'!$A$140,$CQ$205^A53,IF(A53='Données projet'!$A$140,'Données projet'!$B$140,CT52+CS53-DB52)))</f>
        <v>290.99999999999994</v>
      </c>
      <c r="CU53" s="17">
        <f>CT53*VLOOKUP('Données projet'!$B$13,Paramètres!$A$1:$I$89,3,0)*VLOOKUP('Données projet'!$B$13,Paramètres!$A$1:$I$89,5,0)</f>
        <v>231.51959999999997</v>
      </c>
      <c r="CV53" s="13">
        <f t="shared" si="41"/>
        <v>56.611128544444377</v>
      </c>
      <c r="CW53" s="20">
        <f t="shared" si="13"/>
        <v>501.82768554824059</v>
      </c>
      <c r="CX53" s="59">
        <f t="shared" si="14"/>
        <v>795.16101888157391</v>
      </c>
      <c r="CY53" s="59">
        <f ca="1">AVERAGE(OFFSET($CX$3,0,0,'Données projet'!$E$13+1,1))-AVERAGE(OFFSET($H$3,0,0,'Données projet'!$E$13+1,1))</f>
        <v>314.6300257056194</v>
      </c>
      <c r="CZ53" s="59">
        <f t="shared" si="42"/>
        <v>298.00555477466668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21</v>
      </c>
      <c r="DC53" s="16">
        <f>IF(ISNA(VLOOKUP(A53,'Données projet'!$A$139:$I$159,5,0)),0%,VLOOKUP(A53,'Données projet'!$A$139:$I$159,5,0)*VLOOKUP('Données projet'!$B$13,Paramètres!$A$1:$I$89,7,0))</f>
        <v>0.1855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10.543187218640952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10.543187218640952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303</v>
      </c>
      <c r="DM53" s="12">
        <f>VLOOKUP(A53,'Données projet'!$A$165:$I$185,9,0)</f>
        <v>9.8000000000000007</v>
      </c>
      <c r="DN53" s="12">
        <f t="array" ref="DN53">INDEX(DM:DM,MIN(IF(ISNUMBER(DM53:DM249),ROW(DM53:DM249),"")))</f>
        <v>9.8000000000000007</v>
      </c>
      <c r="DO53" s="12">
        <f>IF('Données projet'!$A$166&gt;35,DO52+DN53-DW52,IF(A53&lt;'Données projet'!$A$166,$DL$205^A53,IF(A53='Données projet'!$A$166,'Données projet'!$B$166,DO52+DN53-DW52)))</f>
        <v>290.99999999999994</v>
      </c>
      <c r="DP53" s="17">
        <f>DO53*VLOOKUP('Données projet'!$B$14,Paramètres!$A$1:$I$89,3,0)*VLOOKUP('Données projet'!$B$14,Paramètres!$A$1:$I$89,5,0)</f>
        <v>231.51959999999997</v>
      </c>
      <c r="DQ53" s="13">
        <f t="shared" si="43"/>
        <v>56.611128544444377</v>
      </c>
      <c r="DR53" s="20">
        <f t="shared" si="16"/>
        <v>501.82768554824059</v>
      </c>
      <c r="DS53" s="59">
        <f t="shared" si="17"/>
        <v>795.16101888157391</v>
      </c>
      <c r="DT53" s="59">
        <f ca="1">AVERAGE(OFFSET($DS$3,0,0,'Données projet'!$E$14+1,1))-AVERAGE(OFFSET($H$3,0,0,'Données projet'!$E$14+1,1))</f>
        <v>314.6300257056194</v>
      </c>
      <c r="DU53" s="59">
        <f t="shared" si="44"/>
        <v>298.00555477466668</v>
      </c>
      <c r="DV53" s="15">
        <f>IF(ISNA(VLOOKUP(A53,'Données projet'!$A$165:$I$185,3,0)),0,VLOOKUP(A53,'Données projet'!$A$165:$I$185,3,0))</f>
        <v>6</v>
      </c>
      <c r="DW53" s="15">
        <f>IF(ISNA(VLOOKUP(A53,'Données projet'!$A$165:$I$185,4,0)),0,VLOOKUP(A53,'Données projet'!$A$165:$I$185,4,0))</f>
        <v>21</v>
      </c>
      <c r="DX53" s="16">
        <f>IF(ISNA(VLOOKUP(A53,'Données projet'!$A$165:$I$185,5,0)),0%,VLOOKUP(A53,'Données projet'!$A$165:$I$185,5,0)*VLOOKUP('Données projet'!$B$14,Paramètres!$A$1:$I$89,7,0))</f>
        <v>0.1855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10.543187218640952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10.543187218640952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18.983516483516489</v>
      </c>
      <c r="EJ53" s="12">
        <f>IF('Données projet'!$A$192&gt;35,EJ52+EI53-ER52,IF(A53&lt;'Données projet'!$A$192,$EG$205^A53,IF(A53='Données projet'!$A$192,'Données projet'!$B$192,EJ52+EI53-ER52)))</f>
        <v>292.16373626373627</v>
      </c>
      <c r="EK53" s="17">
        <f>EJ53*VLOOKUP('Données projet'!$B$15,Paramètres!$A$1:$I$89,3,0)*VLOOKUP('Données projet'!$B$15,Paramètres!$A$1:$I$89,5,0)</f>
        <v>140.53075714285714</v>
      </c>
      <c r="EL53" s="13">
        <f t="shared" si="45"/>
        <v>36.41856771326956</v>
      </c>
      <c r="EM53" s="20">
        <f t="shared" si="19"/>
        <v>308.18674079108729</v>
      </c>
      <c r="EN53" s="59">
        <f t="shared" si="20"/>
        <v>601.5200741244206</v>
      </c>
      <c r="EO53" s="59">
        <f ca="1">AVERAGE(OFFSET($EN$3,0,0,'Données projet'!$E$15+1,1))-AVERAGE(OFFSET($H$3,0,0,'Données projet'!$E$15+1,1))</f>
        <v>238.83604534181978</v>
      </c>
      <c r="EP53" s="59">
        <f t="shared" si="46"/>
        <v>114.85152559837792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202</v>
      </c>
      <c r="FC53" s="12">
        <f>VLOOKUP(A53,'Données projet'!$A$217:$I$237,9,0)</f>
        <v>8.1999999999999993</v>
      </c>
      <c r="FD53" s="12">
        <f t="array" ref="FD53">INDEX(FC:FC,MIN(IF(ISNUMBER(FC53:FC249),ROW(FC53:FC249),"")))</f>
        <v>8.1999999999999993</v>
      </c>
      <c r="FE53" s="12">
        <f>IF('Données projet'!$A$218&gt;35,FE52+FD53-FM52,IF(A53&lt;'Données projet'!$A$218,$FB$205^A53,IF(A53='Données projet'!$A$218,'Données projet'!$B$218,FE52+FD53-FM52)))</f>
        <v>201.99999999999994</v>
      </c>
      <c r="FF53" s="17">
        <f>FE53*VLOOKUP('Données projet'!$B$16,Paramètres!$A$1:$I$89,3,0)*VLOOKUP('Données projet'!$B$16,Paramètres!$A$1:$I$89,5,0)</f>
        <v>163.86239999999998</v>
      </c>
      <c r="FG53" s="13">
        <f t="shared" si="47"/>
        <v>41.712477409029084</v>
      </c>
      <c r="FH53" s="20">
        <f t="shared" si="22"/>
        <v>358.0429114873923</v>
      </c>
      <c r="FI53" s="59">
        <f t="shared" si="23"/>
        <v>651.37624482072556</v>
      </c>
      <c r="FJ53" s="59">
        <f ca="1">AVERAGE(OFFSET($FI$3,0,0,'Données projet'!$E$16+1,1))-AVERAGE(OFFSET($H$3,0,0,'Données projet'!$E$16+1,1))</f>
        <v>196.95467273423861</v>
      </c>
      <c r="FK53" s="59">
        <f t="shared" si="48"/>
        <v>173.8709326829258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17</v>
      </c>
      <c r="FN53" s="16">
        <f>IF(ISNA(VLOOKUP(A53,'Données projet'!$A$217:$I$237,5,0)),0%,VLOOKUP(A53,'Données projet'!$A$217:$I$237,5,0)*VLOOKUP('Données projet'!$B$16,Paramètres!$A$1:$I$89,7,0))</f>
        <v>0.129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0.4</v>
      </c>
      <c r="FQ53" s="21">
        <f>EXP(-LN(2)/35)*FQ52+(1-EXP(-LN(2)/35))/(LN(2)/35)*FM53*FN53*VLOOKUP('Données projet'!$B$16,Paramètres!$A$1:$I$89,3,0)*0.475*44/12</f>
        <v>9.3354263484550692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6.7105535234820461</v>
      </c>
      <c r="FT53" s="22">
        <f t="shared" si="24"/>
        <v>16.045979871937114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202</v>
      </c>
      <c r="FX53" s="12">
        <f>VLOOKUP(A53,'Données projet'!$A$243:$I$263,9,0)</f>
        <v>8.1999999999999993</v>
      </c>
      <c r="FY53" s="12">
        <f t="array" ref="FY53">INDEX(FX:FX,MIN(IF(ISNUMBER(FX53:FX249),ROW(FX53:FX249),"")))</f>
        <v>8.1999999999999993</v>
      </c>
      <c r="FZ53" s="12">
        <f>IF('Données projet'!$A$244&gt;35,FZ52+FY53-GH52,IF(A53&lt;'Données projet'!$A$244,$FW$205^A53,IF(A53='Données projet'!$A$244,'Données projet'!$B$244,FZ52+FY53-GH52)))</f>
        <v>201.99999999999994</v>
      </c>
      <c r="GA53" s="17">
        <f>FZ53*VLOOKUP('Données projet'!$B$17,Paramètres!$A$1:$I$89,3,0)*VLOOKUP('Données projet'!$B$17,Paramètres!$A$1:$I$89,5,0)</f>
        <v>217.4327999999999</v>
      </c>
      <c r="GB53" s="13">
        <f t="shared" si="49"/>
        <v>53.556536889714792</v>
      </c>
      <c r="GC53" s="20">
        <f t="shared" si="25"/>
        <v>471.97309508291983</v>
      </c>
      <c r="GD53" s="59">
        <f t="shared" si="26"/>
        <v>765.30642841625308</v>
      </c>
      <c r="GE53" s="59">
        <f ca="1">AVERAGE(OFFSET($GD$3,0,0,'Données projet'!$E$17+1,1))-AVERAGE(OFFSET($H$3,0,0,'Données projet'!$E$17+1,1))</f>
        <v>275.5229427552884</v>
      </c>
      <c r="GF53" s="59">
        <f t="shared" si="50"/>
        <v>241.20234081716143</v>
      </c>
      <c r="GG53" s="15">
        <f>IF(ISNA(VLOOKUP(A53,'Données projet'!$A$243:$I$263,3,0)),0,VLOOKUP(A53,'Données projet'!$A$243:$I$263,3,0))</f>
        <v>7</v>
      </c>
      <c r="GH53" s="15">
        <f>IF(ISNA(VLOOKUP(A53,'Données projet'!$A$243:$I$263,4,0)),0,VLOOKUP(A53,'Données projet'!$A$243:$I$263,4,0))</f>
        <v>17</v>
      </c>
      <c r="GI53" s="16">
        <f>IF(ISNA(VLOOKUP(A53,'Données projet'!$A$243:$I$263,5,0)),0%,VLOOKUP(A53,'Données projet'!$A$243:$I$263,5,0)*VLOOKUP('Données projet'!$B$17,Paramètres!$A$1:$I$89,7,0))</f>
        <v>0.129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0.4</v>
      </c>
      <c r="GL53" s="21">
        <f>EXP(-LN(2)/35)*GL52+(1-EXP(-LN(2)/35))/(LN(2)/35)*GH53*GI53*VLOOKUP('Données projet'!$B$17,Paramètres!$A$1:$I$89,3,0)*0.475*44/12</f>
        <v>12.387392654680763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8.9043883292357933</v>
      </c>
      <c r="GO53" s="21">
        <f t="shared" si="27"/>
        <v>21.291780983916556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505.27692307692286</v>
      </c>
      <c r="O54" s="13">
        <f>N54*VLOOKUP('Données projet'!$B$9,Paramètres!$A$1:$I$89,3,0)*VLOOKUP('Données projet'!$B$9,Paramètres!$A$1:$I$89,5,0)</f>
        <v>282.44979999999987</v>
      </c>
      <c r="P54" s="13">
        <f t="shared" si="33"/>
        <v>67.484459274997945</v>
      </c>
      <c r="Q54" s="20">
        <f t="shared" si="53"/>
        <v>609.46883490395442</v>
      </c>
      <c r="R54" s="59">
        <f t="shared" si="0"/>
        <v>902.80216823728779</v>
      </c>
      <c r="S54" s="59">
        <f ca="1">AVERAGE(OFFSET($R$3,0,0,'Données projet'!$E$9+1,1))-AVERAGE(OFFSET($H$3,0,0,'Données projet'!$E$9+1,1))</f>
        <v>274.57619581652199</v>
      </c>
      <c r="T54" s="59">
        <f t="shared" si="34"/>
        <v>366.15117322598775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 t="e">
        <f>EXP(-LN(2)/35)*Z53+(1-EXP(-LN(2)/35))/(LN(2)/35)*V54*W54*VLOOKUP('Données projet'!$B$9,Paramètres!$A$1:$I$89,3,0)*0.475*44/12</f>
        <v>#VALUE!</v>
      </c>
      <c r="AA54" s="21" t="e">
        <f>EXP(-LN(2)/25)*AA53+(1-EXP(-LN(2)/25))/(LN(2)/25)*Calculateur!V54*Calculateur!X54*VLOOKUP('Données projet'!$B$9,Paramètres!$A$1:$I$89,3,0)*0.475*44/12</f>
        <v>#VALUE!</v>
      </c>
      <c r="AB54" s="21" t="e">
        <f>EXP(-LN(2)/2)*AB53+(1-EXP(-LN(2)/2))/(LN(2)/2)*V54*Y54*VLOOKUP('Données projet'!$B$9,Paramètres!$A$1:$I$89,3,0)*0.475*44/12</f>
        <v>#VALUE!</v>
      </c>
      <c r="AC54" s="22" t="e">
        <f t="shared" si="3"/>
        <v>#VALUE!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9.75</v>
      </c>
      <c r="AI54" s="13">
        <f>IF('Données projet'!$A$62&gt;35,AI53+AH54-AQ53,IF(A54&lt;'Données projet'!$A$62,$AF$205^A54,IF(A54='Données projet'!$A$62,'Données projet'!$B$62,AI53+AH54-AQ53)))</f>
        <v>216.25</v>
      </c>
      <c r="AJ54" s="13">
        <f>AI54*VLOOKUP('Données projet'!$B$10,Paramètres!$A$1:$I$89,3,0)*VLOOKUP('Données projet'!$B$10,Paramètres!$A$1:$I$89,5,0)</f>
        <v>134.94</v>
      </c>
      <c r="AK54" s="13">
        <f t="shared" si="35"/>
        <v>35.135358771568036</v>
      </c>
      <c r="AL54" s="20">
        <f t="shared" si="4"/>
        <v>296.21458319381429</v>
      </c>
      <c r="AM54" s="59">
        <f t="shared" si="5"/>
        <v>589.54791652714766</v>
      </c>
      <c r="AN54" s="59">
        <f ca="1">AVERAGE(OFFSET($AM$3,0,0,'Données projet'!$E$10+1,1))-AVERAGE(OFFSET($H$3,0,0,'Données projet'!$E$10+1,1))</f>
        <v>175.05987582828078</v>
      </c>
      <c r="AO54" s="59">
        <f t="shared" si="36"/>
        <v>268.54782308462387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74.864496203126052</v>
      </c>
      <c r="AV54" s="21">
        <f>EXP(-LN(2)/25)*AV53+(1-EXP(-LN(2)/25))/(LN(2)/25)*Calculateur!AQ54*Calculateur!AS54*VLOOKUP('Données projet'!$B$10,Paramètres!$A$1:$I$89,3,0)*0.475*44/12</f>
        <v>21.664882558208355</v>
      </c>
      <c r="AW54" s="21">
        <f>EXP(-LN(2)/2)*AW53+(1-EXP(-LN(2)/2))/(LN(2)/2)*AQ54*AT54*VLOOKUP('Données projet'!$B$10,Paramètres!$A$1:$I$89,3,0)*0.475*44/12</f>
        <v>2.4552437685909285</v>
      </c>
      <c r="AX54" s="21">
        <f t="shared" si="6"/>
        <v>98.984622529925346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13.5</v>
      </c>
      <c r="BD54" s="12">
        <f>IF('Données projet'!$A$88&gt;35,BD53+BC54-BL53,IF(A54&lt;'Données projet'!$A$88,$BA$205^A54,IF(A54='Données projet'!$A$88,'Données projet'!$B$88,BD53+BC54-BL53)))</f>
        <v>281.32079999999991</v>
      </c>
      <c r="BE54" s="13">
        <f>BD54*VLOOKUP('Données projet'!$B$11,Paramètres!$A$1:$I$89,3,0)*VLOOKUP('Données projet'!$B$11,Paramètres!$A$1:$I$89,5,0)</f>
        <v>131.65813439999997</v>
      </c>
      <c r="BF54" s="13">
        <f t="shared" si="37"/>
        <v>34.379222426702974</v>
      </c>
      <c r="BG54" s="20">
        <f t="shared" si="7"/>
        <v>289.18172980650758</v>
      </c>
      <c r="BH54" s="59">
        <f t="shared" si="8"/>
        <v>582.51506313984089</v>
      </c>
      <c r="BI54" s="59">
        <f ca="1">AVERAGE(OFFSET($BH$3,0,0,'Données projet'!$E$11+1,1))-AVERAGE(OFFSET($H$3,0,0,'Données projet'!$E$11+1,1))</f>
        <v>252.70779718608964</v>
      </c>
      <c r="BJ54" s="59">
        <f t="shared" si="38"/>
        <v>187.86969111712705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33.139928460682832</v>
      </c>
      <c r="BQ54" s="21">
        <f>EXP(-LN(2)/25)*BQ53+(1-EXP(-LN(2)/25))/(LN(2)/25)*Calculateur!BL54*Calculateur!BN54*VLOOKUP('Données projet'!$B$11,Paramètres!$A$1:$I$89,3,0)*0.475*44/12</f>
        <v>9.9777441671978711</v>
      </c>
      <c r="BR54" s="21">
        <f>EXP(-LN(2)/2)*BR53+(1-EXP(-LN(2)/2))/(LN(2)/2)*BL54*BO54*VLOOKUP('Données projet'!$B$11,Paramètres!$A$1:$I$89,3,0)*0.475*44/12</f>
        <v>3.3986878895366068</v>
      </c>
      <c r="BS54" s="22">
        <f t="shared" si="9"/>
        <v>46.516360517417311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19.2</v>
      </c>
      <c r="BY54" s="12">
        <f>IF('Données projet'!$A$114&gt;35,BY53+BX54-CG53,IF(A54&lt;'Données projet'!$A$114,$BV$205^A54,IF(A54='Données projet'!$A$114,'Données projet'!$B$114,BY53+BX54-CG53)))</f>
        <v>386.19999999999993</v>
      </c>
      <c r="BZ54" s="13">
        <f>BY54*VLOOKUP('Données projet'!$B$12,Paramètres!$A$1:$I$89,3,0)*VLOOKUP('Données projet'!$B$12,Paramètres!$A$1:$I$89,5,0)</f>
        <v>230.94759999999999</v>
      </c>
      <c r="CA54" s="13">
        <f t="shared" si="39"/>
        <v>56.487525751065782</v>
      </c>
      <c r="CB54" s="20">
        <f t="shared" si="10"/>
        <v>500.61617734977284</v>
      </c>
      <c r="CC54" s="59">
        <f t="shared" si="11"/>
        <v>793.94951068310615</v>
      </c>
      <c r="CD54" s="59">
        <f ca="1">AVERAGE(OFFSET($CC$3,0,0,'Données projet'!$E$12+1,1))-AVERAGE(OFFSET($H$3,0,0,'Données projet'!$E$12+1,1))</f>
        <v>279.86432710889352</v>
      </c>
      <c r="CE54" s="59">
        <f t="shared" si="40"/>
        <v>297.01680128882509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8.5483089656749218</v>
      </c>
      <c r="CL54" s="21">
        <f>EXP(-LN(2)/25)*CL53+(1-EXP(-LN(2)/25))/(LN(2)/25)*Calculateur!CG54*Calculateur!CI54*VLOOKUP('Données projet'!$B$12,Paramètres!$A$1:$I$89,3,0)*0.475*44/12</f>
        <v>41.21766958648243</v>
      </c>
      <c r="CM54" s="21">
        <f>EXP(-LN(2)/2)*CM53+(1-EXP(-LN(2)/2))/(LN(2)/2)*CG54*CJ54*VLOOKUP('Données projet'!$B$12,Paramètres!$A$1:$I$89,3,0)*0.475*44/12</f>
        <v>9.0370920590632835</v>
      </c>
      <c r="CN54" s="22">
        <f t="shared" si="12"/>
        <v>58.803070611220633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8.4</v>
      </c>
      <c r="CT54" s="12">
        <f>IF('Données projet'!$A$140&gt;35,CT53+CS54-DB53,IF(A54&lt;'Données projet'!$A$140,$CQ$205^A54,IF(A54='Données projet'!$A$140,'Données projet'!$B$140,CT53+CS54-DB53)))</f>
        <v>278.39999999999992</v>
      </c>
      <c r="CU54" s="17">
        <f>CT54*VLOOKUP('Données projet'!$B$13,Paramètres!$A$1:$I$89,3,0)*VLOOKUP('Données projet'!$B$13,Paramètres!$A$1:$I$89,5,0)</f>
        <v>221.49503999999993</v>
      </c>
      <c r="CV54" s="13">
        <f t="shared" si="41"/>
        <v>54.439697086174412</v>
      </c>
      <c r="CW54" s="20">
        <f t="shared" si="13"/>
        <v>480.58633375842027</v>
      </c>
      <c r="CX54" s="59">
        <f t="shared" si="14"/>
        <v>773.91966709175358</v>
      </c>
      <c r="CY54" s="59">
        <f ca="1">AVERAGE(OFFSET($CX$3,0,0,'Données projet'!$E$13+1,1))-AVERAGE(OFFSET($H$3,0,0,'Données projet'!$E$13+1,1))</f>
        <v>314.6300257056194</v>
      </c>
      <c r="CZ54" s="59">
        <f t="shared" si="42"/>
        <v>298.00555477466668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10.336441747992627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10.336441747992627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8.4</v>
      </c>
      <c r="DO54" s="12">
        <f>IF('Données projet'!$A$166&gt;35,DO53+DN54-DW53,IF(A54&lt;'Données projet'!$A$166,$DL$205^A54,IF(A54='Données projet'!$A$166,'Données projet'!$B$166,DO53+DN54-DW53)))</f>
        <v>278.39999999999992</v>
      </c>
      <c r="DP54" s="17">
        <f>DO54*VLOOKUP('Données projet'!$B$14,Paramètres!$A$1:$I$89,3,0)*VLOOKUP('Données projet'!$B$14,Paramètres!$A$1:$I$89,5,0)</f>
        <v>221.49503999999993</v>
      </c>
      <c r="DQ54" s="13">
        <f t="shared" si="43"/>
        <v>54.439697086174412</v>
      </c>
      <c r="DR54" s="20">
        <f t="shared" si="16"/>
        <v>480.58633375842027</v>
      </c>
      <c r="DS54" s="59">
        <f t="shared" si="17"/>
        <v>773.91966709175358</v>
      </c>
      <c r="DT54" s="59">
        <f ca="1">AVERAGE(OFFSET($DS$3,0,0,'Données projet'!$E$14+1,1))-AVERAGE(OFFSET($H$3,0,0,'Données projet'!$E$14+1,1))</f>
        <v>314.6300257056194</v>
      </c>
      <c r="DU54" s="59">
        <f t="shared" si="44"/>
        <v>298.00555477466668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10.336441747992627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10.336441747992627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18.983516483516489</v>
      </c>
      <c r="EJ54" s="12">
        <f>IF('Données projet'!$A$192&gt;35,EJ53+EI54-ER53,IF(A54&lt;'Données projet'!$A$192,$EG$205^A54,IF(A54='Données projet'!$A$192,'Données projet'!$B$192,EJ53+EI54-ER53)))</f>
        <v>311.14725274725276</v>
      </c>
      <c r="EK54" s="17">
        <f>EJ54*VLOOKUP('Données projet'!$B$15,Paramètres!$A$1:$I$89,3,0)*VLOOKUP('Données projet'!$B$15,Paramètres!$A$1:$I$89,5,0)</f>
        <v>149.66182857142857</v>
      </c>
      <c r="EL54" s="13">
        <f t="shared" si="45"/>
        <v>38.501724858142737</v>
      </c>
      <c r="EM54" s="20">
        <f t="shared" si="19"/>
        <v>327.71818888983671</v>
      </c>
      <c r="EN54" s="59">
        <f t="shared" si="20"/>
        <v>621.05152222316997</v>
      </c>
      <c r="EO54" s="59">
        <f ca="1">AVERAGE(OFFSET($EN$3,0,0,'Données projet'!$E$15+1,1))-AVERAGE(OFFSET($H$3,0,0,'Données projet'!$E$15+1,1))</f>
        <v>238.83604534181978</v>
      </c>
      <c r="EP54" s="59">
        <f t="shared" si="46"/>
        <v>114.85152559837792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6.8</v>
      </c>
      <c r="FE54" s="12">
        <f>IF('Données projet'!$A$218&gt;35,FE53+FD54-FM53,IF(A54&lt;'Données projet'!$A$218,$FB$205^A54,IF(A54='Données projet'!$A$218,'Données projet'!$B$218,FE53+FD54-FM53)))</f>
        <v>191.79999999999995</v>
      </c>
      <c r="FF54" s="17">
        <f>FE54*VLOOKUP('Données projet'!$B$16,Paramètres!$A$1:$I$89,3,0)*VLOOKUP('Données projet'!$B$16,Paramètres!$A$1:$I$89,5,0)</f>
        <v>155.58815999999996</v>
      </c>
      <c r="FG54" s="13">
        <f t="shared" si="47"/>
        <v>39.845799002129048</v>
      </c>
      <c r="FH54" s="20">
        <f t="shared" si="22"/>
        <v>340.38081192870794</v>
      </c>
      <c r="FI54" s="59">
        <f t="shared" si="23"/>
        <v>633.71414526204126</v>
      </c>
      <c r="FJ54" s="59">
        <f ca="1">AVERAGE(OFFSET($FI$3,0,0,'Données projet'!$E$16+1,1))-AVERAGE(OFFSET($H$3,0,0,'Données projet'!$E$16+1,1))</f>
        <v>196.95467273423861</v>
      </c>
      <c r="FK54" s="59">
        <f t="shared" si="48"/>
        <v>173.8709326829258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9.1523643318096966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4.7450779019694354</v>
      </c>
      <c r="FT54" s="22">
        <f t="shared" si="24"/>
        <v>13.897442233779131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6.8</v>
      </c>
      <c r="FZ54" s="12">
        <f>IF('Données projet'!$A$244&gt;35,FZ53+FY54-GH53,IF(A54&lt;'Données projet'!$A$244,$FW$205^A54,IF(A54='Données projet'!$A$244,'Données projet'!$B$244,FZ53+FY54-GH53)))</f>
        <v>191.79999999999995</v>
      </c>
      <c r="GA54" s="17">
        <f>FZ54*VLOOKUP('Données projet'!$B$17,Paramètres!$A$1:$I$89,3,0)*VLOOKUP('Données projet'!$B$17,Paramètres!$A$1:$I$89,5,0)</f>
        <v>206.45351999999994</v>
      </c>
      <c r="GB54" s="13">
        <f t="shared" si="49"/>
        <v>51.159824031352322</v>
      </c>
      <c r="GC54" s="20">
        <f t="shared" si="25"/>
        <v>448.67657418793851</v>
      </c>
      <c r="GD54" s="59">
        <f t="shared" si="26"/>
        <v>742.00990752127177</v>
      </c>
      <c r="GE54" s="59">
        <f ca="1">AVERAGE(OFFSET($GD$3,0,0,'Données projet'!$E$17+1,1))-AVERAGE(OFFSET($H$3,0,0,'Données projet'!$E$17+1,1))</f>
        <v>275.5229427552884</v>
      </c>
      <c r="GF54" s="59">
        <f t="shared" si="50"/>
        <v>241.20234081716143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12.144483440285942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6.2963533699209817</v>
      </c>
      <c r="GO54" s="21">
        <f t="shared" si="27"/>
        <v>18.440836810206925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525.78461538461511</v>
      </c>
      <c r="O55" s="13">
        <f>N55*VLOOKUP('Données projet'!$B$9,Paramètres!$A$1:$I$89,3,0)*VLOOKUP('Données projet'!$B$9,Paramètres!$A$1:$I$89,5,0)</f>
        <v>293.91359999999986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274.57619581652199</v>
      </c>
      <c r="T55" s="59">
        <f t="shared" si="34"/>
        <v>366.15117322598775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 t="e">
        <f>EXP(-LN(2)/35)*Z54+(1-EXP(-LN(2)/35))/(LN(2)/35)*V55*W55*VLOOKUP('Données projet'!$B$9,Paramètres!$A$1:$I$89,3,0)*0.475*44/12</f>
        <v>#VALUE!</v>
      </c>
      <c r="AA55" s="21" t="e">
        <f>EXP(-LN(2)/25)*AA54+(1-EXP(-LN(2)/25))/(LN(2)/25)*Calculateur!V55*Calculateur!X55*VLOOKUP('Données projet'!$B$9,Paramètres!$A$1:$I$89,3,0)*0.475*44/12</f>
        <v>#VALUE!</v>
      </c>
      <c r="AB55" s="21" t="e">
        <f>EXP(-LN(2)/2)*AB54+(1-EXP(-LN(2)/2))/(LN(2)/2)*V55*Y55*VLOOKUP('Données projet'!$B$9,Paramètres!$A$1:$I$89,3,0)*0.475*44/12</f>
        <v>#VALUE!</v>
      </c>
      <c r="AC55" s="22" t="e">
        <f t="shared" si="3"/>
        <v>#VALUE!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9.75</v>
      </c>
      <c r="AI55" s="13">
        <f>IF('Données projet'!$A$62&gt;35,AI54+AH55-AQ54,IF(A55&lt;'Données projet'!$A$62,$AF$205^A55,IF(A55='Données projet'!$A$62,'Données projet'!$B$62,AI54+AH55-AQ54)))</f>
        <v>226</v>
      </c>
      <c r="AJ55" s="13">
        <f>AI55*VLOOKUP('Données projet'!$B$10,Paramètres!$A$1:$I$89,3,0)*VLOOKUP('Données projet'!$B$10,Paramètres!$A$1:$I$89,5,0)</f>
        <v>141.024</v>
      </c>
      <c r="AK55" s="13">
        <f t="shared" si="35"/>
        <v>36.531489925882461</v>
      </c>
      <c r="AL55" s="20">
        <f t="shared" si="4"/>
        <v>309.24247828757859</v>
      </c>
      <c r="AM55" s="59">
        <f t="shared" si="5"/>
        <v>602.57581162091196</v>
      </c>
      <c r="AN55" s="59">
        <f ca="1">AVERAGE(OFFSET($AM$3,0,0,'Données projet'!$E$10+1,1))-AVERAGE(OFFSET($H$3,0,0,'Données projet'!$E$10+1,1))</f>
        <v>175.05987582828078</v>
      </c>
      <c r="AO55" s="59">
        <f t="shared" si="36"/>
        <v>268.54782308462387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73.3964490954166</v>
      </c>
      <c r="AV55" s="21">
        <f>EXP(-LN(2)/25)*AV54+(1-EXP(-LN(2)/25))/(LN(2)/25)*Calculateur!AQ55*Calculateur!AS55*VLOOKUP('Données projet'!$B$10,Paramètres!$A$1:$I$89,3,0)*0.475*44/12</f>
        <v>21.072455205347488</v>
      </c>
      <c r="AW55" s="21">
        <f>EXP(-LN(2)/2)*AW54+(1-EXP(-LN(2)/2))/(LN(2)/2)*AQ55*AT55*VLOOKUP('Données projet'!$B$10,Paramètres!$A$1:$I$89,3,0)*0.475*44/12</f>
        <v>1.7361195182366602</v>
      </c>
      <c r="AX55" s="21">
        <f t="shared" si="6"/>
        <v>96.205023819000743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13.5</v>
      </c>
      <c r="BD55" s="12">
        <f>IF('Données projet'!$A$88&gt;35,BD54+BC55-BL54,IF(A55&lt;'Données projet'!$A$88,$BA$205^A55,IF(A55='Données projet'!$A$88,'Données projet'!$B$88,BD54+BC55-BL54)))</f>
        <v>294.82079999999991</v>
      </c>
      <c r="BE55" s="13">
        <f>BD55*VLOOKUP('Données projet'!$B$11,Paramètres!$A$1:$I$89,3,0)*VLOOKUP('Données projet'!$B$11,Paramètres!$A$1:$I$89,5,0)</f>
        <v>137.97613439999995</v>
      </c>
      <c r="BF55" s="13">
        <f t="shared" si="37"/>
        <v>35.832974108647377</v>
      </c>
      <c r="BG55" s="20">
        <f t="shared" si="7"/>
        <v>302.71753065256081</v>
      </c>
      <c r="BH55" s="59">
        <f t="shared" si="8"/>
        <v>596.05086398589413</v>
      </c>
      <c r="BI55" s="59">
        <f ca="1">AVERAGE(OFFSET($BH$3,0,0,'Données projet'!$E$11+1,1))-AVERAGE(OFFSET($H$3,0,0,'Données projet'!$E$11+1,1))</f>
        <v>252.70779718608964</v>
      </c>
      <c r="BJ55" s="59">
        <f t="shared" si="38"/>
        <v>187.86969111712705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32.490074676929297</v>
      </c>
      <c r="BQ55" s="21">
        <f>EXP(-LN(2)/25)*BQ54+(1-EXP(-LN(2)/25))/(LN(2)/25)*Calculateur!BL55*Calculateur!BN55*VLOOKUP('Données projet'!$B$11,Paramètres!$A$1:$I$89,3,0)*0.475*44/12</f>
        <v>9.7049022282390833</v>
      </c>
      <c r="BR55" s="21">
        <f>EXP(-LN(2)/2)*BR54+(1-EXP(-LN(2)/2))/(LN(2)/2)*BL55*BO55*VLOOKUP('Données projet'!$B$11,Paramètres!$A$1:$I$89,3,0)*0.475*44/12</f>
        <v>2.4032352538279307</v>
      </c>
      <c r="BS55" s="22">
        <f t="shared" si="9"/>
        <v>44.598212158996311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19.2</v>
      </c>
      <c r="BY55" s="12">
        <f>IF('Données projet'!$A$114&gt;35,BY54+BX55-CG54,IF(A55&lt;'Données projet'!$A$114,$BV$205^A55,IF(A55='Données projet'!$A$114,'Données projet'!$B$114,BY54+BX55-CG54)))</f>
        <v>405.39999999999992</v>
      </c>
      <c r="BZ55" s="13">
        <f>BY55*VLOOKUP('Données projet'!$B$12,Paramètres!$A$1:$I$89,3,0)*VLOOKUP('Données projet'!$B$12,Paramètres!$A$1:$I$89,5,0)</f>
        <v>242.42919999999998</v>
      </c>
      <c r="CA55" s="13">
        <f t="shared" si="39"/>
        <v>58.961877963646643</v>
      </c>
      <c r="CB55" s="20">
        <f t="shared" si="10"/>
        <v>524.9227941200179</v>
      </c>
      <c r="CC55" s="59">
        <f t="shared" si="11"/>
        <v>818.25612745335116</v>
      </c>
      <c r="CD55" s="59">
        <f ca="1">AVERAGE(OFFSET($CC$3,0,0,'Données projet'!$E$12+1,1))-AVERAGE(OFFSET($H$3,0,0,'Données projet'!$E$12+1,1))</f>
        <v>279.86432710889352</v>
      </c>
      <c r="CE55" s="59">
        <f t="shared" si="40"/>
        <v>297.01680128882509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8.3806818408116701</v>
      </c>
      <c r="CL55" s="21">
        <f>EXP(-LN(2)/25)*CL54+(1-EXP(-LN(2)/25))/(LN(2)/25)*Calculateur!CG55*Calculateur!CI55*VLOOKUP('Données projet'!$B$12,Paramètres!$A$1:$I$89,3,0)*0.475*44/12</f>
        <v>40.09057024409703</v>
      </c>
      <c r="CM55" s="21">
        <f>EXP(-LN(2)/2)*CM54+(1-EXP(-LN(2)/2))/(LN(2)/2)*CG55*CJ55*VLOOKUP('Données projet'!$B$12,Paramètres!$A$1:$I$89,3,0)*0.475*44/12</f>
        <v>6.3901890771707475</v>
      </c>
      <c r="CN55" s="22">
        <f t="shared" si="12"/>
        <v>54.861441162079444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8.4</v>
      </c>
      <c r="CT55" s="12">
        <f>IF('Données projet'!$A$140&gt;35,CT54+CS55-DB54,IF(A55&lt;'Données projet'!$A$140,$CQ$205^A55,IF(A55='Données projet'!$A$140,'Données projet'!$B$140,CT54+CS55-DB54)))</f>
        <v>286.7999999999999</v>
      </c>
      <c r="CU55" s="17">
        <f>CT55*VLOOKUP('Données projet'!$B$13,Paramètres!$A$1:$I$89,3,0)*VLOOKUP('Données projet'!$B$13,Paramètres!$A$1:$I$89,5,0)</f>
        <v>228.17807999999991</v>
      </c>
      <c r="CV55" s="13">
        <f t="shared" si="41"/>
        <v>55.888557676053935</v>
      </c>
      <c r="CW55" s="20">
        <f t="shared" si="13"/>
        <v>494.74939395246042</v>
      </c>
      <c r="CX55" s="59">
        <f t="shared" si="14"/>
        <v>788.08272728579368</v>
      </c>
      <c r="CY55" s="59">
        <f ca="1">AVERAGE(OFFSET($CX$3,0,0,'Données projet'!$E$13+1,1))-AVERAGE(OFFSET($H$3,0,0,'Données projet'!$E$13+1,1))</f>
        <v>314.6300257056194</v>
      </c>
      <c r="CZ55" s="59">
        <f t="shared" si="42"/>
        <v>298.00555477466668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10.133750429921429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10.133750429921429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8.4</v>
      </c>
      <c r="DO55" s="12">
        <f>IF('Données projet'!$A$166&gt;35,DO54+DN55-DW54,IF(A55&lt;'Données projet'!$A$166,$DL$205^A55,IF(A55='Données projet'!$A$166,'Données projet'!$B$166,DO54+DN55-DW54)))</f>
        <v>286.7999999999999</v>
      </c>
      <c r="DP55" s="17">
        <f>DO55*VLOOKUP('Données projet'!$B$14,Paramètres!$A$1:$I$89,3,0)*VLOOKUP('Données projet'!$B$14,Paramètres!$A$1:$I$89,5,0)</f>
        <v>228.17807999999991</v>
      </c>
      <c r="DQ55" s="13">
        <f t="shared" si="43"/>
        <v>55.888557676053935</v>
      </c>
      <c r="DR55" s="20">
        <f t="shared" si="16"/>
        <v>494.74939395246042</v>
      </c>
      <c r="DS55" s="59">
        <f t="shared" si="17"/>
        <v>788.08272728579368</v>
      </c>
      <c r="DT55" s="59">
        <f ca="1">AVERAGE(OFFSET($DS$3,0,0,'Données projet'!$E$14+1,1))-AVERAGE(OFFSET($H$3,0,0,'Données projet'!$E$14+1,1))</f>
        <v>314.6300257056194</v>
      </c>
      <c r="DU55" s="59">
        <f t="shared" si="44"/>
        <v>298.00555477466668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10.133750429921429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10.133750429921429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>
        <f>VLOOKUP(A55,'Données projet'!$A$191:$I$211,2,0)</f>
        <v>330.1307692307692</v>
      </c>
      <c r="EH55" s="12">
        <f>VLOOKUP(A55,'Données projet'!$A$191:$I$211,9,0)</f>
        <v>18.983516483516489</v>
      </c>
      <c r="EI55" s="12">
        <f t="array" ref="EI55">INDEX(EH:EH,MIN(IF(ISNUMBER(EH55:EH251),ROW(EH55:EH251),"")))</f>
        <v>18.983516483516489</v>
      </c>
      <c r="EJ55" s="12">
        <f>IF('Données projet'!$A$192&gt;35,EJ54+EI55-ER54,IF(A55&lt;'Données projet'!$A$192,$EG$205^A55,IF(A55='Données projet'!$A$192,'Données projet'!$B$192,EJ54+EI55-ER54)))</f>
        <v>330.13076923076926</v>
      </c>
      <c r="EK55" s="17">
        <f>EJ55*VLOOKUP('Données projet'!$B$15,Paramètres!$A$1:$I$89,3,0)*VLOOKUP('Données projet'!$B$15,Paramètres!$A$1:$I$89,5,0)</f>
        <v>158.79290000000003</v>
      </c>
      <c r="EL55" s="13">
        <f t="shared" si="45"/>
        <v>40.570130748570222</v>
      </c>
      <c r="EM55" s="20">
        <f t="shared" si="19"/>
        <v>347.22394522042651</v>
      </c>
      <c r="EN55" s="59">
        <f t="shared" si="20"/>
        <v>640.55727855375983</v>
      </c>
      <c r="EO55" s="59">
        <f ca="1">AVERAGE(OFFSET($EN$3,0,0,'Données projet'!$E$15+1,1))-AVERAGE(OFFSET($H$3,0,0,'Données projet'!$E$15+1,1))</f>
        <v>238.83604534181978</v>
      </c>
      <c r="EP55" s="59">
        <f t="shared" si="46"/>
        <v>114.85152559837792</v>
      </c>
      <c r="EQ55" s="15">
        <f>IF(ISNA(VLOOKUP(A55,'Données projet'!$A$191:$I$211,3,0)),0,VLOOKUP(A55,'Données projet'!$A$191:$I$211,3,0))</f>
        <v>2</v>
      </c>
      <c r="ER55" s="15">
        <f>IF(ISNA(VLOOKUP(A55,'Données projet'!$A$191:$I$211,4,0)),0,VLOOKUP(A55,'Données projet'!$A$191:$I$211,4,0))</f>
        <v>75.523076923076928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6.8</v>
      </c>
      <c r="FE55" s="12">
        <f>IF('Données projet'!$A$218&gt;35,FE54+FD55-FM54,IF(A55&lt;'Données projet'!$A$218,$FB$205^A55,IF(A55='Données projet'!$A$218,'Données projet'!$B$218,FE54+FD55-FM54)))</f>
        <v>198.59999999999997</v>
      </c>
      <c r="FF55" s="17">
        <f>FE55*VLOOKUP('Données projet'!$B$16,Paramètres!$A$1:$I$89,3,0)*VLOOKUP('Données projet'!$B$16,Paramètres!$A$1:$I$89,5,0)</f>
        <v>161.10432</v>
      </c>
      <c r="FG55" s="13">
        <f t="shared" si="47"/>
        <v>41.09149806574888</v>
      </c>
      <c r="FH55" s="20">
        <f t="shared" si="22"/>
        <v>352.15771646451259</v>
      </c>
      <c r="FI55" s="59">
        <f t="shared" si="23"/>
        <v>645.4910497978459</v>
      </c>
      <c r="FJ55" s="59">
        <f ca="1">AVERAGE(OFFSET($FI$3,0,0,'Données projet'!$E$16+1,1))-AVERAGE(OFFSET($H$3,0,0,'Données projet'!$E$16+1,1))</f>
        <v>196.95467273423861</v>
      </c>
      <c r="FK55" s="59">
        <f t="shared" si="48"/>
        <v>173.8709326829258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8.9728920496539359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3.355276761741024</v>
      </c>
      <c r="FT55" s="22">
        <f t="shared" si="24"/>
        <v>12.32816881139496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6.8</v>
      </c>
      <c r="FZ55" s="12">
        <f>IF('Données projet'!$A$244&gt;35,FZ54+FY55-GH54,IF(A55&lt;'Données projet'!$A$244,$FW$205^A55,IF(A55='Données projet'!$A$244,'Données projet'!$B$244,FZ54+FY55-GH54)))</f>
        <v>198.59999999999997</v>
      </c>
      <c r="GA55" s="17">
        <f>FZ55*VLOOKUP('Données projet'!$B$17,Paramètres!$A$1:$I$89,3,0)*VLOOKUP('Données projet'!$B$17,Paramètres!$A$1:$I$89,5,0)</f>
        <v>213.77303999999995</v>
      </c>
      <c r="GB55" s="13">
        <f t="shared" si="49"/>
        <v>52.759233416703239</v>
      </c>
      <c r="GC55" s="20">
        <f t="shared" si="25"/>
        <v>464.21037620075805</v>
      </c>
      <c r="GD55" s="59">
        <f t="shared" si="26"/>
        <v>757.54370953409136</v>
      </c>
      <c r="GE55" s="59">
        <f ca="1">AVERAGE(OFFSET($GD$3,0,0,'Données projet'!$E$17+1,1))-AVERAGE(OFFSET($H$3,0,0,'Données projet'!$E$17+1,1))</f>
        <v>275.5229427552884</v>
      </c>
      <c r="GF55" s="59">
        <f t="shared" si="50"/>
        <v>241.20234081716143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11.906337527425412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4.4521941646178966</v>
      </c>
      <c r="GO55" s="21">
        <f t="shared" si="27"/>
        <v>16.358531692043307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546.29230769230742</v>
      </c>
      <c r="O56" s="13">
        <f>N56*VLOOKUP('Données projet'!$B$9,Paramètres!$A$1:$I$89,3,0)*VLOOKUP('Données projet'!$B$9,Paramètres!$A$1:$I$89,5,0)</f>
        <v>305.37739999999985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274.57619581652199</v>
      </c>
      <c r="T56" s="59">
        <f t="shared" si="34"/>
        <v>366.15117322598775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 t="e">
        <f>EXP(-LN(2)/35)*Z55+(1-EXP(-LN(2)/35))/(LN(2)/35)*V56*W56*VLOOKUP('Données projet'!$B$9,Paramètres!$A$1:$I$89,3,0)*0.475*44/12</f>
        <v>#VALUE!</v>
      </c>
      <c r="AA56" s="21" t="e">
        <f>EXP(-LN(2)/25)*AA55+(1-EXP(-LN(2)/25))/(LN(2)/25)*Calculateur!V56*Calculateur!X56*VLOOKUP('Données projet'!$B$9,Paramètres!$A$1:$I$89,3,0)*0.475*44/12</f>
        <v>#VALUE!</v>
      </c>
      <c r="AB56" s="21" t="e">
        <f>EXP(-LN(2)/2)*AB55+(1-EXP(-LN(2)/2))/(LN(2)/2)*V56*Y56*VLOOKUP('Données projet'!$B$9,Paramètres!$A$1:$I$89,3,0)*0.475*44/12</f>
        <v>#VALUE!</v>
      </c>
      <c r="AC56" s="22" t="e">
        <f t="shared" si="3"/>
        <v>#VALUE!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9.75</v>
      </c>
      <c r="AI56" s="13">
        <f>IF('Données projet'!$A$62&gt;35,AI55+AH56-AQ55,IF(A56&lt;'Données projet'!$A$62,$AF$205^A56,IF(A56='Données projet'!$A$62,'Données projet'!$B$62,AI55+AH56-AQ55)))</f>
        <v>235.75</v>
      </c>
      <c r="AJ56" s="13">
        <f>AI56*VLOOKUP('Données projet'!$B$10,Paramètres!$A$1:$I$89,3,0)*VLOOKUP('Données projet'!$B$10,Paramètres!$A$1:$I$89,5,0)</f>
        <v>147.108</v>
      </c>
      <c r="AK56" s="13">
        <f t="shared" si="35"/>
        <v>37.920625436598897</v>
      </c>
      <c r="AL56" s="20">
        <f t="shared" si="4"/>
        <v>322.25818930207646</v>
      </c>
      <c r="AM56" s="59">
        <f t="shared" si="5"/>
        <v>615.59152263540977</v>
      </c>
      <c r="AN56" s="59">
        <f ca="1">AVERAGE(OFFSET($AM$3,0,0,'Données projet'!$E$10+1,1))-AVERAGE(OFFSET($H$3,0,0,'Données projet'!$E$10+1,1))</f>
        <v>175.05987582828078</v>
      </c>
      <c r="AO56" s="59">
        <f t="shared" si="36"/>
        <v>268.54782308462387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71.95718949606902</v>
      </c>
      <c r="AV56" s="21">
        <f>EXP(-LN(2)/25)*AV55+(1-EXP(-LN(2)/25))/(LN(2)/25)*Calculateur!AQ56*Calculateur!AS56*VLOOKUP('Données projet'!$B$10,Paramètres!$A$1:$I$89,3,0)*0.475*44/12</f>
        <v>20.496227809605003</v>
      </c>
      <c r="AW56" s="21">
        <f>EXP(-LN(2)/2)*AW55+(1-EXP(-LN(2)/2))/(LN(2)/2)*AQ56*AT56*VLOOKUP('Données projet'!$B$10,Paramètres!$A$1:$I$89,3,0)*0.475*44/12</f>
        <v>1.2276218842954645</v>
      </c>
      <c r="AX56" s="21">
        <f t="shared" si="6"/>
        <v>93.681039189969482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13.5</v>
      </c>
      <c r="BD56" s="12">
        <f>IF('Données projet'!$A$88&gt;35,BD55+BC56-BL55,IF(A56&lt;'Données projet'!$A$88,$BA$205^A56,IF(A56='Données projet'!$A$88,'Données projet'!$B$88,BD55+BC56-BL55)))</f>
        <v>308.32079999999991</v>
      </c>
      <c r="BE56" s="13">
        <f>BD56*VLOOKUP('Données projet'!$B$11,Paramètres!$A$1:$I$89,3,0)*VLOOKUP('Données projet'!$B$11,Paramètres!$A$1:$I$89,5,0)</f>
        <v>144.29413439999996</v>
      </c>
      <c r="BF56" s="13">
        <f t="shared" si="37"/>
        <v>37.278995029360537</v>
      </c>
      <c r="BG56" s="20">
        <f t="shared" si="7"/>
        <v>316.23986708946956</v>
      </c>
      <c r="BH56" s="59">
        <f t="shared" si="8"/>
        <v>609.57320042280287</v>
      </c>
      <c r="BI56" s="59">
        <f ca="1">AVERAGE(OFFSET($BH$3,0,0,'Données projet'!$E$11+1,1))-AVERAGE(OFFSET($H$3,0,0,'Données projet'!$E$11+1,1))</f>
        <v>252.70779718608964</v>
      </c>
      <c r="BJ56" s="59">
        <f t="shared" si="38"/>
        <v>187.86969111712705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31.852964129503501</v>
      </c>
      <c r="BQ56" s="21">
        <f>EXP(-LN(2)/25)*BQ55+(1-EXP(-LN(2)/25))/(LN(2)/25)*Calculateur!BL56*Calculateur!BN56*VLOOKUP('Données projet'!$B$11,Paramètres!$A$1:$I$89,3,0)*0.475*44/12</f>
        <v>9.4395211664492589</v>
      </c>
      <c r="BR56" s="21">
        <f>EXP(-LN(2)/2)*BR55+(1-EXP(-LN(2)/2))/(LN(2)/2)*BL56*BO56*VLOOKUP('Données projet'!$B$11,Paramètres!$A$1:$I$89,3,0)*0.475*44/12</f>
        <v>1.6993439447683036</v>
      </c>
      <c r="BS56" s="22">
        <f t="shared" si="9"/>
        <v>42.99182924072106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19.2</v>
      </c>
      <c r="BY56" s="12">
        <f>IF('Données projet'!$A$114&gt;35,BY55+BX56-CG55,IF(A56&lt;'Données projet'!$A$114,$BV$205^A56,IF(A56='Données projet'!$A$114,'Données projet'!$B$114,BY55+BX56-CG55)))</f>
        <v>424.59999999999991</v>
      </c>
      <c r="BZ56" s="13">
        <f>BY56*VLOOKUP('Données projet'!$B$12,Paramètres!$A$1:$I$89,3,0)*VLOOKUP('Données projet'!$B$12,Paramètres!$A$1:$I$89,5,0)</f>
        <v>253.91079999999997</v>
      </c>
      <c r="CA56" s="13">
        <f t="shared" si="39"/>
        <v>61.422621781167194</v>
      </c>
      <c r="CB56" s="20">
        <f t="shared" si="10"/>
        <v>549.20570960219936</v>
      </c>
      <c r="CC56" s="59">
        <f t="shared" si="11"/>
        <v>842.53904293553273</v>
      </c>
      <c r="CD56" s="59">
        <f ca="1">AVERAGE(OFFSET($CC$3,0,0,'Données projet'!$E$12+1,1))-AVERAGE(OFFSET($H$3,0,0,'Données projet'!$E$12+1,1))</f>
        <v>279.86432710889352</v>
      </c>
      <c r="CE56" s="59">
        <f t="shared" si="40"/>
        <v>297.01680128882509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8.2163417816245374</v>
      </c>
      <c r="CL56" s="21">
        <f>EXP(-LN(2)/25)*CL55+(1-EXP(-LN(2)/25))/(LN(2)/25)*Calculateur!CG56*Calculateur!CI56*VLOOKUP('Données projet'!$B$12,Paramètres!$A$1:$I$89,3,0)*0.475*44/12</f>
        <v>38.994291492500736</v>
      </c>
      <c r="CM56" s="21">
        <f>EXP(-LN(2)/2)*CM55+(1-EXP(-LN(2)/2))/(LN(2)/2)*CG56*CJ56*VLOOKUP('Données projet'!$B$12,Paramètres!$A$1:$I$89,3,0)*0.475*44/12</f>
        <v>4.5185460295316418</v>
      </c>
      <c r="CN56" s="22">
        <f t="shared" si="12"/>
        <v>51.729179303656913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8.4</v>
      </c>
      <c r="CT56" s="12">
        <f>IF('Données projet'!$A$140&gt;35,CT55+CS56-DB55,IF(A56&lt;'Données projet'!$A$140,$CQ$205^A56,IF(A56='Données projet'!$A$140,'Données projet'!$B$140,CT55+CS56-DB55)))</f>
        <v>295.19999999999987</v>
      </c>
      <c r="CU56" s="17">
        <f>CT56*VLOOKUP('Données projet'!$B$13,Paramètres!$A$1:$I$89,3,0)*VLOOKUP('Données projet'!$B$13,Paramètres!$A$1:$I$89,5,0)</f>
        <v>234.86111999999991</v>
      </c>
      <c r="CV56" s="13">
        <f t="shared" si="41"/>
        <v>57.33248646836968</v>
      </c>
      <c r="CW56" s="20">
        <f t="shared" si="13"/>
        <v>508.903864599077</v>
      </c>
      <c r="CX56" s="59">
        <f t="shared" si="14"/>
        <v>802.23719793241025</v>
      </c>
      <c r="CY56" s="59">
        <f ca="1">AVERAGE(OFFSET($CX$3,0,0,'Données projet'!$E$13+1,1))-AVERAGE(OFFSET($H$3,0,0,'Données projet'!$E$13+1,1))</f>
        <v>314.6300257056194</v>
      </c>
      <c r="CZ56" s="59">
        <f t="shared" si="42"/>
        <v>298.00555477466668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9.9350337649681109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9.9350337649681109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8.4</v>
      </c>
      <c r="DO56" s="12">
        <f>IF('Données projet'!$A$166&gt;35,DO55+DN56-DW55,IF(A56&lt;'Données projet'!$A$166,$DL$205^A56,IF(A56='Données projet'!$A$166,'Données projet'!$B$166,DO55+DN56-DW55)))</f>
        <v>295.19999999999987</v>
      </c>
      <c r="DP56" s="17">
        <f>DO56*VLOOKUP('Données projet'!$B$14,Paramètres!$A$1:$I$89,3,0)*VLOOKUP('Données projet'!$B$14,Paramètres!$A$1:$I$89,5,0)</f>
        <v>234.86111999999991</v>
      </c>
      <c r="DQ56" s="13">
        <f t="shared" si="43"/>
        <v>57.33248646836968</v>
      </c>
      <c r="DR56" s="20">
        <f t="shared" si="16"/>
        <v>508.903864599077</v>
      </c>
      <c r="DS56" s="59">
        <f t="shared" si="17"/>
        <v>802.23719793241025</v>
      </c>
      <c r="DT56" s="59">
        <f ca="1">AVERAGE(OFFSET($DS$3,0,0,'Données projet'!$E$14+1,1))-AVERAGE(OFFSET($H$3,0,0,'Données projet'!$E$14+1,1))</f>
        <v>314.6300257056194</v>
      </c>
      <c r="DU56" s="59">
        <f t="shared" si="44"/>
        <v>298.00555477466668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9.9350337649681109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9.9350337649681109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18.026373626373623</v>
      </c>
      <c r="EJ56" s="12">
        <f>IF('Données projet'!$A$192&gt;35,EJ55+EI56-ER55,IF(A56&lt;'Données projet'!$A$192,$EG$205^A56,IF(A56='Données projet'!$A$192,'Données projet'!$B$192,EJ55+EI56-ER55)))</f>
        <v>272.63406593406597</v>
      </c>
      <c r="EK56" s="17">
        <f>EJ56*VLOOKUP('Données projet'!$B$15,Paramètres!$A$1:$I$89,3,0)*VLOOKUP('Données projet'!$B$15,Paramètres!$A$1:$I$89,5,0)</f>
        <v>131.13698571428574</v>
      </c>
      <c r="EL56" s="13">
        <f t="shared" si="45"/>
        <v>34.258950049736669</v>
      </c>
      <c r="EM56" s="20">
        <f t="shared" si="19"/>
        <v>288.06458812233899</v>
      </c>
      <c r="EN56" s="59">
        <f t="shared" si="20"/>
        <v>581.3979214556723</v>
      </c>
      <c r="EO56" s="59">
        <f ca="1">AVERAGE(OFFSET($EN$3,0,0,'Données projet'!$E$15+1,1))-AVERAGE(OFFSET($H$3,0,0,'Données projet'!$E$15+1,1))</f>
        <v>238.83604534181978</v>
      </c>
      <c r="EP56" s="59">
        <f t="shared" si="46"/>
        <v>114.85152559837792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6.8</v>
      </c>
      <c r="FE56" s="12">
        <f>IF('Données projet'!$A$218&gt;35,FE55+FD56-FM55,IF(A56&lt;'Données projet'!$A$218,$FB$205^A56,IF(A56='Données projet'!$A$218,'Données projet'!$B$218,FE55+FD56-FM55)))</f>
        <v>205.39999999999998</v>
      </c>
      <c r="FF56" s="17">
        <f>FE56*VLOOKUP('Données projet'!$B$16,Paramètres!$A$1:$I$89,3,0)*VLOOKUP('Données projet'!$B$16,Paramètres!$A$1:$I$89,5,0)</f>
        <v>166.62047999999999</v>
      </c>
      <c r="FG56" s="13">
        <f t="shared" si="47"/>
        <v>42.332241255018722</v>
      </c>
      <c r="FH56" s="20">
        <f t="shared" si="22"/>
        <v>363.92598951915755</v>
      </c>
      <c r="FI56" s="59">
        <f t="shared" si="23"/>
        <v>657.25932285249087</v>
      </c>
      <c r="FJ56" s="59">
        <f ca="1">AVERAGE(OFFSET($FI$3,0,0,'Données projet'!$E$16+1,1))-AVERAGE(OFFSET($H$3,0,0,'Données projet'!$E$16+1,1))</f>
        <v>196.95467273423861</v>
      </c>
      <c r="FK56" s="59">
        <f t="shared" si="48"/>
        <v>173.8709326829258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8.7969391094839668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2.3725389509847181</v>
      </c>
      <c r="FT56" s="22">
        <f t="shared" si="24"/>
        <v>11.169478060468684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6.8</v>
      </c>
      <c r="FZ56" s="12">
        <f>IF('Données projet'!$A$244&gt;35,FZ55+FY56-GH55,IF(A56&lt;'Données projet'!$A$244,$FW$205^A56,IF(A56='Données projet'!$A$244,'Données projet'!$B$244,FZ55+FY56-GH55)))</f>
        <v>205.39999999999998</v>
      </c>
      <c r="GA56" s="17">
        <f>FZ56*VLOOKUP('Données projet'!$B$17,Paramètres!$A$1:$I$89,3,0)*VLOOKUP('Données projet'!$B$17,Paramètres!$A$1:$I$89,5,0)</f>
        <v>221.09255999999996</v>
      </c>
      <c r="GB56" s="13">
        <f t="shared" si="49"/>
        <v>54.352279730763904</v>
      </c>
      <c r="GC56" s="20">
        <f t="shared" si="25"/>
        <v>479.73309586441366</v>
      </c>
      <c r="GD56" s="59">
        <f t="shared" si="26"/>
        <v>773.06642919774697</v>
      </c>
      <c r="GE56" s="59">
        <f ca="1">AVERAGE(OFFSET($GD$3,0,0,'Données projet'!$E$17+1,1))-AVERAGE(OFFSET($H$3,0,0,'Données projet'!$E$17+1,1))</f>
        <v>275.5229427552884</v>
      </c>
      <c r="GF56" s="59">
        <f t="shared" si="50"/>
        <v>241.20234081716143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11.672861510661415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3.1481766849604909</v>
      </c>
      <c r="GO56" s="21">
        <f t="shared" si="27"/>
        <v>14.821038195621906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566.79999999999973</v>
      </c>
      <c r="O57" s="13">
        <f>N57*VLOOKUP('Données projet'!$B$9,Paramètres!$A$1:$I$89,3,0)*VLOOKUP('Données projet'!$B$9,Paramètres!$A$1:$I$89,5,0)</f>
        <v>316.84119999999984</v>
      </c>
      <c r="P57" s="13">
        <f t="shared" si="33"/>
        <v>74.695724902330795</v>
      </c>
      <c r="Q57" s="20">
        <f t="shared" si="53"/>
        <v>681.92681087155916</v>
      </c>
      <c r="R57" s="59">
        <f t="shared" si="0"/>
        <v>975.26014420489241</v>
      </c>
      <c r="S57" s="59">
        <f ca="1">AVERAGE(OFFSET($R$3,0,0,'Données projet'!$E$9+1,1))-AVERAGE(OFFSET($H$3,0,0,'Données projet'!$E$9+1,1))</f>
        <v>274.57619581652199</v>
      </c>
      <c r="T57" s="59">
        <f t="shared" si="34"/>
        <v>366.15117322598775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 t="e">
        <f>IF(ISNA(VLOOKUP(A57,'Données projet'!$A$35:$I$55,5,0)),0%,VLOOKUP(A57,'Données projet'!$A$35:$I$55,5,0)*VLOOKUP('Données projet'!$B$9,Paramètres!$A$1:$I$89,7,0))</f>
        <v>#VALUE!</v>
      </c>
      <c r="X57" s="16" t="e">
        <f>IF(ISNA(VLOOKUP(A57,'Données projet'!$A$35:$I$55,6,0)),0%,VLOOKUP(A57,'Données projet'!$A$35:$I$55,6,0)*VLOOKUP('Données projet'!$B$9,Paramètres!$A$1:$I$89,7,0))</f>
        <v>#VALUE!</v>
      </c>
      <c r="Y57" s="16" t="str">
        <f>IF(ISNA(VLOOKUP(A57,'Données projet'!$A$35:$I$55,7,0)),0%,VLOOKUP(A57,'Données projet'!$A$35:$I$55,7,0))</f>
        <v/>
      </c>
      <c r="Z57" s="21" t="e">
        <f>EXP(-LN(2)/35)*Z56+(1-EXP(-LN(2)/35))/(LN(2)/35)*V57*W57*VLOOKUP('Données projet'!$B$9,Paramètres!$A$1:$I$89,3,0)*0.475*44/12</f>
        <v>#VALUE!</v>
      </c>
      <c r="AA57" s="21" t="e">
        <f>EXP(-LN(2)/25)*AA56+(1-EXP(-LN(2)/25))/(LN(2)/25)*Calculateur!V57*Calculateur!X57*VLOOKUP('Données projet'!$B$9,Paramètres!$A$1:$I$89,3,0)*0.475*44/12</f>
        <v>#VALUE!</v>
      </c>
      <c r="AB57" s="21" t="e">
        <f>EXP(-LN(2)/2)*AB56+(1-EXP(-LN(2)/2))/(LN(2)/2)*V57*Y57*VLOOKUP('Données projet'!$B$9,Paramètres!$A$1:$I$89,3,0)*0.475*44/12</f>
        <v>#VALUE!</v>
      </c>
      <c r="AC57" s="22" t="e">
        <f t="shared" si="3"/>
        <v>#VALUE!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9.75</v>
      </c>
      <c r="AI57" s="13">
        <f>IF('Données projet'!$A$62&gt;35,AI56+AH57-AQ56,IF(A57&lt;'Données projet'!$A$62,$AF$205^A57,IF(A57='Données projet'!$A$62,'Données projet'!$B$62,AI56+AH57-AQ56)))</f>
        <v>245.5</v>
      </c>
      <c r="AJ57" s="13">
        <f>AI57*VLOOKUP('Données projet'!$B$10,Paramètres!$A$1:$I$89,3,0)*VLOOKUP('Données projet'!$B$10,Paramètres!$A$1:$I$89,5,0)</f>
        <v>153.19199999999998</v>
      </c>
      <c r="AK57" s="13">
        <f t="shared" si="35"/>
        <v>39.303087713366921</v>
      </c>
      <c r="AL57" s="20">
        <f t="shared" si="4"/>
        <v>335.2622777674473</v>
      </c>
      <c r="AM57" s="59">
        <f t="shared" si="5"/>
        <v>628.59561110078062</v>
      </c>
      <c r="AN57" s="59">
        <f ca="1">AVERAGE(OFFSET($AM$3,0,0,'Données projet'!$E$10+1,1))-AVERAGE(OFFSET($H$3,0,0,'Données projet'!$E$10+1,1))</f>
        <v>175.05987582828078</v>
      </c>
      <c r="AO57" s="59">
        <f t="shared" si="36"/>
        <v>268.54782308462387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70.546152899602973</v>
      </c>
      <c r="AV57" s="21">
        <f>EXP(-LN(2)/25)*AV56+(1-EXP(-LN(2)/25))/(LN(2)/25)*Calculateur!AQ57*Calculateur!AS57*VLOOKUP('Données projet'!$B$10,Paramètres!$A$1:$I$89,3,0)*0.475*44/12</f>
        <v>19.935757382301578</v>
      </c>
      <c r="AW57" s="21">
        <f>EXP(-LN(2)/2)*AW56+(1-EXP(-LN(2)/2))/(LN(2)/2)*AQ57*AT57*VLOOKUP('Données projet'!$B$10,Paramètres!$A$1:$I$89,3,0)*0.475*44/12</f>
        <v>0.86805975911833022</v>
      </c>
      <c r="AX57" s="21">
        <f t="shared" si="6"/>
        <v>91.349970041022871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13.5</v>
      </c>
      <c r="BD57" s="12">
        <f>IF('Données projet'!$A$88&gt;35,BD56+BC57-BL56,IF(A57&lt;'Données projet'!$A$88,$BA$205^A57,IF(A57='Données projet'!$A$88,'Données projet'!$B$88,BD56+BC57-BL56)))</f>
        <v>321.82079999999991</v>
      </c>
      <c r="BE57" s="13">
        <f>BD57*VLOOKUP('Données projet'!$B$11,Paramètres!$A$1:$I$89,3,0)*VLOOKUP('Données projet'!$B$11,Paramètres!$A$1:$I$89,5,0)</f>
        <v>150.61213439999997</v>
      </c>
      <c r="BF57" s="13">
        <f t="shared" si="37"/>
        <v>38.71766237018555</v>
      </c>
      <c r="BG57" s="20">
        <f t="shared" si="7"/>
        <v>329.74939604140644</v>
      </c>
      <c r="BH57" s="59">
        <f t="shared" si="8"/>
        <v>623.08272937473976</v>
      </c>
      <c r="BI57" s="59">
        <f ca="1">AVERAGE(OFFSET($BH$3,0,0,'Données projet'!$E$11+1,1))-AVERAGE(OFFSET($H$3,0,0,'Données projet'!$E$11+1,1))</f>
        <v>252.70779718608964</v>
      </c>
      <c r="BJ57" s="59">
        <f t="shared" si="38"/>
        <v>187.86969111712705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31.228346931313663</v>
      </c>
      <c r="BQ57" s="21">
        <f>EXP(-LN(2)/25)*BQ56+(1-EXP(-LN(2)/25))/(LN(2)/25)*Calculateur!BL57*Calculateur!BN57*VLOOKUP('Données projet'!$B$11,Paramètres!$A$1:$I$89,3,0)*0.475*44/12</f>
        <v>9.1813969637498598</v>
      </c>
      <c r="BR57" s="21">
        <f>EXP(-LN(2)/2)*BR56+(1-EXP(-LN(2)/2))/(LN(2)/2)*BL57*BO57*VLOOKUP('Données projet'!$B$11,Paramètres!$A$1:$I$89,3,0)*0.475*44/12</f>
        <v>1.2016176269139656</v>
      </c>
      <c r="BS57" s="22">
        <f t="shared" si="9"/>
        <v>41.611361521977486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19.2</v>
      </c>
      <c r="BY57" s="12">
        <f>IF('Données projet'!$A$114&gt;35,BY56+BX57-CG56,IF(A57&lt;'Données projet'!$A$114,$BV$205^A57,IF(A57='Données projet'!$A$114,'Données projet'!$B$114,BY56+BX57-CG56)))</f>
        <v>443.7999999999999</v>
      </c>
      <c r="BZ57" s="13">
        <f>BY57*VLOOKUP('Données projet'!$B$12,Paramètres!$A$1:$I$89,3,0)*VLOOKUP('Données projet'!$B$12,Paramètres!$A$1:$I$89,5,0)</f>
        <v>265.39239999999995</v>
      </c>
      <c r="CA57" s="13">
        <f t="shared" si="39"/>
        <v>63.870442862391762</v>
      </c>
      <c r="CB57" s="20">
        <f t="shared" si="10"/>
        <v>573.46611798533218</v>
      </c>
      <c r="CC57" s="59">
        <f t="shared" si="11"/>
        <v>866.79945131866543</v>
      </c>
      <c r="CD57" s="59">
        <f ca="1">AVERAGE(OFFSET($CC$3,0,0,'Données projet'!$E$12+1,1))-AVERAGE(OFFSET($H$3,0,0,'Données projet'!$E$12+1,1))</f>
        <v>279.86432710889352</v>
      </c>
      <c r="CE57" s="59">
        <f t="shared" si="40"/>
        <v>297.01680128882509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8.0552243307605256</v>
      </c>
      <c r="CL57" s="21">
        <f>EXP(-LN(2)/25)*CL56+(1-EXP(-LN(2)/25))/(LN(2)/25)*Calculateur!CG57*Calculateur!CI57*VLOOKUP('Données projet'!$B$12,Paramètres!$A$1:$I$89,3,0)*0.475*44/12</f>
        <v>37.927990541017635</v>
      </c>
      <c r="CM57" s="21">
        <f>EXP(-LN(2)/2)*CM56+(1-EXP(-LN(2)/2))/(LN(2)/2)*CG57*CJ57*VLOOKUP('Données projet'!$B$12,Paramètres!$A$1:$I$89,3,0)*0.475*44/12</f>
        <v>3.1950945385853737</v>
      </c>
      <c r="CN57" s="22">
        <f t="shared" si="12"/>
        <v>49.178309410363532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8.4</v>
      </c>
      <c r="CT57" s="12">
        <f>IF('Données projet'!$A$140&gt;35,CT56+CS57-DB56,IF(A57&lt;'Données projet'!$A$140,$CQ$205^A57,IF(A57='Données projet'!$A$140,'Données projet'!$B$140,CT56+CS57-DB56)))</f>
        <v>303.59999999999985</v>
      </c>
      <c r="CU57" s="17">
        <f>CT57*VLOOKUP('Données projet'!$B$13,Paramètres!$A$1:$I$89,3,0)*VLOOKUP('Données projet'!$B$13,Paramètres!$A$1:$I$89,5,0)</f>
        <v>241.54415999999989</v>
      </c>
      <c r="CV57" s="13">
        <f t="shared" si="41"/>
        <v>58.771639917508466</v>
      </c>
      <c r="CW57" s="20">
        <f t="shared" si="13"/>
        <v>523.05001818966036</v>
      </c>
      <c r="CX57" s="59">
        <f t="shared" si="14"/>
        <v>816.38335152299373</v>
      </c>
      <c r="CY57" s="59">
        <f ca="1">AVERAGE(OFFSET($CX$3,0,0,'Données projet'!$E$13+1,1))-AVERAGE(OFFSET($H$3,0,0,'Données projet'!$E$13+1,1))</f>
        <v>314.6300257056194</v>
      </c>
      <c r="CZ57" s="59">
        <f t="shared" si="42"/>
        <v>298.00555477466668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9.7402138126093298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9.7402138126093298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8.4</v>
      </c>
      <c r="DO57" s="12">
        <f>IF('Données projet'!$A$166&gt;35,DO56+DN57-DW56,IF(A57&lt;'Données projet'!$A$166,$DL$205^A57,IF(A57='Données projet'!$A$166,'Données projet'!$B$166,DO56+DN57-DW56)))</f>
        <v>303.59999999999985</v>
      </c>
      <c r="DP57" s="17">
        <f>DO57*VLOOKUP('Données projet'!$B$14,Paramètres!$A$1:$I$89,3,0)*VLOOKUP('Données projet'!$B$14,Paramètres!$A$1:$I$89,5,0)</f>
        <v>241.54415999999989</v>
      </c>
      <c r="DQ57" s="13">
        <f t="shared" si="43"/>
        <v>58.771639917508466</v>
      </c>
      <c r="DR57" s="20">
        <f t="shared" si="16"/>
        <v>523.05001818966036</v>
      </c>
      <c r="DS57" s="59">
        <f t="shared" si="17"/>
        <v>816.38335152299373</v>
      </c>
      <c r="DT57" s="59">
        <f ca="1">AVERAGE(OFFSET($DS$3,0,0,'Données projet'!$E$14+1,1))-AVERAGE(OFFSET($H$3,0,0,'Données projet'!$E$14+1,1))</f>
        <v>314.6300257056194</v>
      </c>
      <c r="DU57" s="59">
        <f t="shared" si="44"/>
        <v>298.00555477466668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9.7402138126093298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9.7402138126093298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18.026373626373623</v>
      </c>
      <c r="EJ57" s="12">
        <f>IF('Données projet'!$A$192&gt;35,EJ56+EI57-ER56,IF(A57&lt;'Données projet'!$A$192,$EG$205^A57,IF(A57='Données projet'!$A$192,'Données projet'!$B$192,EJ56+EI57-ER56)))</f>
        <v>290.66043956043961</v>
      </c>
      <c r="EK57" s="17">
        <f>EJ57*VLOOKUP('Données projet'!$B$15,Paramètres!$A$1:$I$89,3,0)*VLOOKUP('Données projet'!$B$15,Paramètres!$A$1:$I$89,5,0)</f>
        <v>139.80767142857147</v>
      </c>
      <c r="EL57" s="13">
        <f t="shared" si="45"/>
        <v>36.252942195514514</v>
      </c>
      <c r="EM57" s="20">
        <f t="shared" si="19"/>
        <v>306.63890206194975</v>
      </c>
      <c r="EN57" s="59">
        <f t="shared" si="20"/>
        <v>599.97223539528306</v>
      </c>
      <c r="EO57" s="59">
        <f ca="1">AVERAGE(OFFSET($EN$3,0,0,'Données projet'!$E$15+1,1))-AVERAGE(OFFSET($H$3,0,0,'Données projet'!$E$15+1,1))</f>
        <v>238.83604534181978</v>
      </c>
      <c r="EP57" s="59">
        <f t="shared" si="46"/>
        <v>114.85152559837792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6.8</v>
      </c>
      <c r="FE57" s="12">
        <f>IF('Données projet'!$A$218&gt;35,FE56+FD57-FM56,IF(A57&lt;'Données projet'!$A$218,$FB$205^A57,IF(A57='Données projet'!$A$218,'Données projet'!$B$218,FE56+FD57-FM56)))</f>
        <v>212.2</v>
      </c>
      <c r="FF57" s="17">
        <f>FE57*VLOOKUP('Données projet'!$B$16,Paramètres!$A$1:$I$89,3,0)*VLOOKUP('Données projet'!$B$16,Paramètres!$A$1:$I$89,5,0)</f>
        <v>172.13664</v>
      </c>
      <c r="FG57" s="13">
        <f t="shared" si="47"/>
        <v>43.56821145288778</v>
      </c>
      <c r="FH57" s="20">
        <f t="shared" si="22"/>
        <v>375.68594961377954</v>
      </c>
      <c r="FI57" s="59">
        <f t="shared" si="23"/>
        <v>669.01928294711286</v>
      </c>
      <c r="FJ57" s="59">
        <f ca="1">AVERAGE(OFFSET($FI$3,0,0,'Données projet'!$E$16+1,1))-AVERAGE(OFFSET($H$3,0,0,'Données projet'!$E$16+1,1))</f>
        <v>196.95467273423861</v>
      </c>
      <c r="FK57" s="59">
        <f t="shared" si="48"/>
        <v>173.8709326829258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8.6244364991500344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1.6776383808705122</v>
      </c>
      <c r="FT57" s="22">
        <f t="shared" si="24"/>
        <v>10.302074880020546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6.8</v>
      </c>
      <c r="FZ57" s="12">
        <f>IF('Données projet'!$A$244&gt;35,FZ56+FY57-GH56,IF(A57&lt;'Données projet'!$A$244,$FW$205^A57,IF(A57='Données projet'!$A$244,'Données projet'!$B$244,FZ56+FY57-GH56)))</f>
        <v>212.2</v>
      </c>
      <c r="GA57" s="17">
        <f>FZ57*VLOOKUP('Données projet'!$B$17,Paramètres!$A$1:$I$89,3,0)*VLOOKUP('Données projet'!$B$17,Paramètres!$A$1:$I$89,5,0)</f>
        <v>228.41207999999997</v>
      </c>
      <c r="GB57" s="13">
        <f t="shared" si="49"/>
        <v>55.939197785226767</v>
      </c>
      <c r="GC57" s="20">
        <f t="shared" si="25"/>
        <v>495.24514214260324</v>
      </c>
      <c r="GD57" s="59">
        <f t="shared" si="26"/>
        <v>788.57847547593656</v>
      </c>
      <c r="GE57" s="59">
        <f ca="1">AVERAGE(OFFSET($GD$3,0,0,'Données projet'!$E$17+1,1))-AVERAGE(OFFSET($H$3,0,0,'Données projet'!$E$17+1,1))</f>
        <v>275.5229427552884</v>
      </c>
      <c r="GF57" s="59">
        <f t="shared" si="50"/>
        <v>241.20234081716143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11.443963816179849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2.2260970823089483</v>
      </c>
      <c r="GO57" s="21">
        <f t="shared" si="27"/>
        <v>13.670060898488797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-1.2710188457276673E-13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274.57619581652199</v>
      </c>
      <c r="T58" s="59">
        <f t="shared" si="34"/>
        <v>366.15117322598775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 t="e">
        <f>EXP(-LN(2)/35)*Z57+(1-EXP(-LN(2)/35))/(LN(2)/35)*V58*W58*VLOOKUP('Données projet'!$B$9,Paramètres!$A$1:$I$89,3,0)*0.475*44/12</f>
        <v>#VALUE!</v>
      </c>
      <c r="AA58" s="21" t="e">
        <f>EXP(-LN(2)/25)*AA57+(1-EXP(-LN(2)/25))/(LN(2)/25)*Calculateur!V58*Calculateur!X58*VLOOKUP('Données projet'!$B$9,Paramètres!$A$1:$I$89,3,0)*0.475*44/12</f>
        <v>#VALUE!</v>
      </c>
      <c r="AB58" s="21" t="e">
        <f>EXP(-LN(2)/2)*AB57+(1-EXP(-LN(2)/2))/(LN(2)/2)*V58*Y58*VLOOKUP('Données projet'!$B$9,Paramètres!$A$1:$I$89,3,0)*0.475*44/12</f>
        <v>#VALUE!</v>
      </c>
      <c r="AC58" s="22" t="e">
        <f t="shared" si="3"/>
        <v>#VALUE!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9.75</v>
      </c>
      <c r="AI58" s="13">
        <f>IF('Données projet'!$A$62&gt;35,AI57+AH58-AQ57,IF(A58&lt;'Données projet'!$A$62,$AF$205^A58,IF(A58='Données projet'!$A$62,'Données projet'!$B$62,AI57+AH58-AQ57)))</f>
        <v>255.25</v>
      </c>
      <c r="AJ58" s="13">
        <f>AI58*VLOOKUP('Données projet'!$B$10,Paramètres!$A$1:$I$89,3,0)*VLOOKUP('Données projet'!$B$10,Paramètres!$A$1:$I$89,5,0)</f>
        <v>159.27600000000001</v>
      </c>
      <c r="AK58" s="13">
        <f t="shared" si="35"/>
        <v>40.679172107249002</v>
      </c>
      <c r="AL58" s="20">
        <f t="shared" si="4"/>
        <v>348.25525808679203</v>
      </c>
      <c r="AM58" s="59">
        <f t="shared" si="5"/>
        <v>641.58859142012534</v>
      </c>
      <c r="AN58" s="59">
        <f ca="1">AVERAGE(OFFSET($AM$3,0,0,'Données projet'!$E$10+1,1))-AVERAGE(OFFSET($H$3,0,0,'Données projet'!$E$10+1,1))</f>
        <v>175.05987582828078</v>
      </c>
      <c r="AO58" s="59">
        <f t="shared" si="36"/>
        <v>268.54782308462387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69.16278587014628</v>
      </c>
      <c r="AV58" s="21">
        <f>EXP(-LN(2)/25)*AV57+(1-EXP(-LN(2)/25))/(LN(2)/25)*Calculateur!AQ58*Calculateur!AS58*VLOOKUP('Données projet'!$B$10,Paramètres!$A$1:$I$89,3,0)*0.475*44/12</f>
        <v>19.390613048306623</v>
      </c>
      <c r="AW58" s="21">
        <f>EXP(-LN(2)/2)*AW57+(1-EXP(-LN(2)/2))/(LN(2)/2)*AQ58*AT58*VLOOKUP('Données projet'!$B$10,Paramètres!$A$1:$I$89,3,0)*0.475*44/12</f>
        <v>0.61381094214773235</v>
      </c>
      <c r="AX58" s="21">
        <f t="shared" si="6"/>
        <v>89.167209860600636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13.5</v>
      </c>
      <c r="BD58" s="12">
        <f>IF('Données projet'!$A$88&gt;35,BD57+BC58-BL57,IF(A58&lt;'Données projet'!$A$88,$BA$205^A58,IF(A58='Données projet'!$A$88,'Données projet'!$B$88,BD57+BC58-BL57)))</f>
        <v>335.32079999999991</v>
      </c>
      <c r="BE58" s="13">
        <f>BD58*VLOOKUP('Données projet'!$B$11,Paramètres!$A$1:$I$89,3,0)*VLOOKUP('Données projet'!$B$11,Paramètres!$A$1:$I$89,5,0)</f>
        <v>156.93013439999996</v>
      </c>
      <c r="BF58" s="13">
        <f t="shared" si="37"/>
        <v>40.149319877659416</v>
      </c>
      <c r="BG58" s="20">
        <f t="shared" si="7"/>
        <v>343.24671620025674</v>
      </c>
      <c r="BH58" s="59">
        <f t="shared" si="8"/>
        <v>636.58004953359</v>
      </c>
      <c r="BI58" s="59">
        <f ca="1">AVERAGE(OFFSET($BH$3,0,0,'Données projet'!$E$11+1,1))-AVERAGE(OFFSET($H$3,0,0,'Données projet'!$E$11+1,1))</f>
        <v>252.70779718608964</v>
      </c>
      <c r="BJ58" s="59">
        <f t="shared" si="38"/>
        <v>187.86969111712705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30.615978095401456</v>
      </c>
      <c r="BQ58" s="21">
        <f>EXP(-LN(2)/25)*BQ57+(1-EXP(-LN(2)/25))/(LN(2)/25)*Calculateur!BL58*Calculateur!BN58*VLOOKUP('Données projet'!$B$11,Paramètres!$A$1:$I$89,3,0)*0.475*44/12</f>
        <v>8.9303311809474373</v>
      </c>
      <c r="BR58" s="21">
        <f>EXP(-LN(2)/2)*BR57+(1-EXP(-LN(2)/2))/(LN(2)/2)*BL58*BO58*VLOOKUP('Données projet'!$B$11,Paramètres!$A$1:$I$89,3,0)*0.475*44/12</f>
        <v>0.84967197238415204</v>
      </c>
      <c r="BS58" s="22">
        <f t="shared" si="9"/>
        <v>40.395981248733044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463</v>
      </c>
      <c r="BW58" s="12">
        <f>VLOOKUP(A58,'Données projet'!$A$113:$I$133,9,0)</f>
        <v>19.2</v>
      </c>
      <c r="BX58" s="12">
        <f t="array" ref="BX58">INDEX(BW:BW,MIN(IF(ISNUMBER(BW58:BW254),ROW(BW58:BW254),"")))</f>
        <v>19.2</v>
      </c>
      <c r="BY58" s="12">
        <f>IF('Données projet'!$A$114&gt;35,BY57+BX58-CG57,IF(A58&lt;'Données projet'!$A$114,$BV$205^A58,IF(A58='Données projet'!$A$114,'Données projet'!$B$114,BY57+BX58-CG57)))</f>
        <v>462.99999999999989</v>
      </c>
      <c r="BZ58" s="13">
        <f>BY58*VLOOKUP('Données projet'!$B$12,Paramètres!$A$1:$I$89,3,0)*VLOOKUP('Données projet'!$B$12,Paramètres!$A$1:$I$89,5,0)</f>
        <v>276.87399999999997</v>
      </c>
      <c r="CA58" s="13">
        <f t="shared" si="39"/>
        <v>66.305964184031993</v>
      </c>
      <c r="CB58" s="20">
        <f t="shared" si="10"/>
        <v>597.70510428718899</v>
      </c>
      <c r="CC58" s="59">
        <f t="shared" si="11"/>
        <v>891.03843762052225</v>
      </c>
      <c r="CD58" s="59">
        <f ca="1">AVERAGE(OFFSET($CC$3,0,0,'Données projet'!$E$12+1,1))-AVERAGE(OFFSET($H$3,0,0,'Données projet'!$E$12+1,1))</f>
        <v>279.86432710889352</v>
      </c>
      <c r="CE58" s="59">
        <f t="shared" si="40"/>
        <v>297.01680128882509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48</v>
      </c>
      <c r="CH58" s="16">
        <f>IF(ISNA(VLOOKUP(A58,'Données projet'!$A$113:$I$133,5,0)),0%,VLOOKUP(A58,'Données projet'!$A$113:$I$133,5,0)*VLOOKUP('Données projet'!$B$12,Paramètres!$A$1:$I$89,7,0))</f>
        <v>0.13500000000000001</v>
      </c>
      <c r="CI58" s="16">
        <f>IF(ISNA(VLOOKUP(A58,'Données projet'!$A$113:$I$133,6,0)),0%,VLOOKUP(A58,'Données projet'!$A$113:$I$133,6,0)*VLOOKUP('Données projet'!$B$12,Paramètres!$A$1:$I$89,7,0))</f>
        <v>0.18000000000000002</v>
      </c>
      <c r="CJ58" s="16">
        <f>IF(ISNA(VLOOKUP(A58,'Données projet'!$A$113:$I$133,7,0)),0%,VLOOKUP(A58,'Données projet'!$A$113:$I$133,7,0))</f>
        <v>0.3</v>
      </c>
      <c r="CK58" s="21">
        <f>EXP(-LN(2)/35)*CK57+(1-EXP(-LN(2)/35))/(LN(2)/35)*CG58*CH58*VLOOKUP('Données projet'!$B$12,Paramètres!$A$1:$I$89,3,0)*0.475*44/12</f>
        <v>13.037756622242451</v>
      </c>
      <c r="CL58" s="21">
        <f>EXP(-LN(2)/25)*CL57+(1-EXP(-LN(2)/25))/(LN(2)/25)*Calculateur!CG58*Calculateur!CI58*VLOOKUP('Données projet'!$B$12,Paramètres!$A$1:$I$89,3,0)*0.475*44/12</f>
        <v>43.717847989536594</v>
      </c>
      <c r="CM58" s="21">
        <f>EXP(-LN(2)/2)*CM57+(1-EXP(-LN(2)/2))/(LN(2)/2)*CG58*CJ58*VLOOKUP('Données projet'!$B$12,Paramètres!$A$1:$I$89,3,0)*0.475*44/12</f>
        <v>12.009151775225723</v>
      </c>
      <c r="CN58" s="22">
        <f t="shared" si="12"/>
        <v>68.764756387004766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324</v>
      </c>
      <c r="CR58" s="12">
        <f>VLOOKUP(A58,'Données projet'!$A$139:$I$159,9,0)</f>
        <v>8.4</v>
      </c>
      <c r="CS58" s="12">
        <f t="array" ref="CS58">INDEX(CR:CR,MIN(IF(ISNUMBER(CR58:CR254),ROW(CR58:CR254),"")))</f>
        <v>8.4</v>
      </c>
      <c r="CT58" s="12">
        <f>IF('Données projet'!$A$140&gt;35,CT57+CS58-DB57,IF(A58&lt;'Données projet'!$A$140,$CQ$205^A58,IF(A58='Données projet'!$A$140,'Données projet'!$B$140,CT57+CS58-DB57)))</f>
        <v>311.99999999999983</v>
      </c>
      <c r="CU58" s="17">
        <f>CT58*VLOOKUP('Données projet'!$B$13,Paramètres!$A$1:$I$89,3,0)*VLOOKUP('Données projet'!$B$13,Paramètres!$A$1:$I$89,5,0)</f>
        <v>248.22719999999987</v>
      </c>
      <c r="CV58" s="13">
        <f t="shared" si="41"/>
        <v>60.20616532763993</v>
      </c>
      <c r="CW58" s="20">
        <f t="shared" si="13"/>
        <v>537.18811127897254</v>
      </c>
      <c r="CX58" s="59">
        <f t="shared" si="14"/>
        <v>830.52144461230591</v>
      </c>
      <c r="CY58" s="59">
        <f ca="1">AVERAGE(OFFSET($CX$3,0,0,'Données projet'!$E$13+1,1))-AVERAGE(OFFSET($H$3,0,0,'Données projet'!$E$13+1,1))</f>
        <v>314.6300257056194</v>
      </c>
      <c r="CZ58" s="59">
        <f t="shared" si="42"/>
        <v>298.00555477466668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18</v>
      </c>
      <c r="DC58" s="16">
        <f>IF(ISNA(VLOOKUP(A58,'Données projet'!$A$139:$I$159,5,0)),0%,VLOOKUP(A58,'Données projet'!$A$139:$I$159,5,0)*VLOOKUP('Données projet'!$B$13,Paramètres!$A$1:$I$89,7,0))</f>
        <v>0.1855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12.485905509868338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12.485905509868338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324</v>
      </c>
      <c r="DM58" s="12">
        <f>VLOOKUP(A58,'Données projet'!$A$165:$I$185,9,0)</f>
        <v>8.4</v>
      </c>
      <c r="DN58" s="12">
        <f t="array" ref="DN58">INDEX(DM:DM,MIN(IF(ISNUMBER(DM58:DM254),ROW(DM58:DM254),"")))</f>
        <v>8.4</v>
      </c>
      <c r="DO58" s="12">
        <f>IF('Données projet'!$A$166&gt;35,DO57+DN58-DW57,IF(A58&lt;'Données projet'!$A$166,$DL$205^A58,IF(A58='Données projet'!$A$166,'Données projet'!$B$166,DO57+DN58-DW57)))</f>
        <v>311.99999999999983</v>
      </c>
      <c r="DP58" s="17">
        <f>DO58*VLOOKUP('Données projet'!$B$14,Paramètres!$A$1:$I$89,3,0)*VLOOKUP('Données projet'!$B$14,Paramètres!$A$1:$I$89,5,0)</f>
        <v>248.22719999999987</v>
      </c>
      <c r="DQ58" s="13">
        <f t="shared" si="43"/>
        <v>60.20616532763993</v>
      </c>
      <c r="DR58" s="20">
        <f t="shared" si="16"/>
        <v>537.18811127897254</v>
      </c>
      <c r="DS58" s="59">
        <f t="shared" si="17"/>
        <v>830.52144461230591</v>
      </c>
      <c r="DT58" s="59">
        <f ca="1">AVERAGE(OFFSET($DS$3,0,0,'Données projet'!$E$14+1,1))-AVERAGE(OFFSET($H$3,0,0,'Données projet'!$E$14+1,1))</f>
        <v>314.6300257056194</v>
      </c>
      <c r="DU58" s="59">
        <f t="shared" si="44"/>
        <v>298.00555477466668</v>
      </c>
      <c r="DV58" s="15">
        <f>IF(ISNA(VLOOKUP(A58,'Données projet'!$A$165:$I$185,3,0)),0,VLOOKUP(A58,'Données projet'!$A$165:$I$185,3,0))</f>
        <v>7</v>
      </c>
      <c r="DW58" s="15">
        <f>IF(ISNA(VLOOKUP(A58,'Données projet'!$A$165:$I$185,4,0)),0,VLOOKUP(A58,'Données projet'!$A$165:$I$185,4,0))</f>
        <v>18</v>
      </c>
      <c r="DX58" s="16">
        <f>IF(ISNA(VLOOKUP(A58,'Données projet'!$A$165:$I$185,5,0)),0%,VLOOKUP(A58,'Données projet'!$A$165:$I$185,5,0)*VLOOKUP('Données projet'!$B$14,Paramètres!$A$1:$I$89,7,0))</f>
        <v>0.1855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12.485905509868338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12.485905509868338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18.026373626373623</v>
      </c>
      <c r="EJ58" s="12">
        <f>IF('Données projet'!$A$192&gt;35,EJ57+EI58-ER57,IF(A58&lt;'Données projet'!$A$192,$EG$205^A58,IF(A58='Données projet'!$A$192,'Données projet'!$B$192,EJ57+EI58-ER57)))</f>
        <v>308.68681318681325</v>
      </c>
      <c r="EK58" s="17">
        <f>EJ58*VLOOKUP('Données projet'!$B$15,Paramètres!$A$1:$I$89,3,0)*VLOOKUP('Données projet'!$B$15,Paramètres!$A$1:$I$89,5,0)</f>
        <v>148.47835714285716</v>
      </c>
      <c r="EL58" s="13">
        <f t="shared" si="45"/>
        <v>38.232581887770017</v>
      </c>
      <c r="EM58" s="20">
        <f t="shared" si="19"/>
        <v>325.18821881167565</v>
      </c>
      <c r="EN58" s="59">
        <f t="shared" si="20"/>
        <v>618.52155214500897</v>
      </c>
      <c r="EO58" s="59">
        <f ca="1">AVERAGE(OFFSET($EN$3,0,0,'Données projet'!$E$15+1,1))-AVERAGE(OFFSET($H$3,0,0,'Données projet'!$E$15+1,1))</f>
        <v>238.83604534181978</v>
      </c>
      <c r="EP58" s="59">
        <f t="shared" si="46"/>
        <v>114.85152559837792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219</v>
      </c>
      <c r="FC58" s="12">
        <f>VLOOKUP(A58,'Données projet'!$A$217:$I$237,9,0)</f>
        <v>6.8</v>
      </c>
      <c r="FD58" s="12">
        <f t="array" ref="FD58">INDEX(FC:FC,MIN(IF(ISNUMBER(FC58:FC254),ROW(FC58:FC254),"")))</f>
        <v>6.8</v>
      </c>
      <c r="FE58" s="12">
        <f>IF('Données projet'!$A$218&gt;35,FE57+FD58-FM57,IF(A58&lt;'Données projet'!$A$218,$FB$205^A58,IF(A58='Données projet'!$A$218,'Données projet'!$B$218,FE57+FD58-FM57)))</f>
        <v>219</v>
      </c>
      <c r="FF58" s="17">
        <f>FE58*VLOOKUP('Données projet'!$B$16,Paramètres!$A$1:$I$89,3,0)*VLOOKUP('Données projet'!$B$16,Paramètres!$A$1:$I$89,5,0)</f>
        <v>177.65280000000001</v>
      </c>
      <c r="FG58" s="13">
        <f t="shared" si="47"/>
        <v>44.799579155749747</v>
      </c>
      <c r="FH58" s="20">
        <f t="shared" si="22"/>
        <v>387.43789369626415</v>
      </c>
      <c r="FI58" s="59">
        <f t="shared" si="23"/>
        <v>680.77122702959741</v>
      </c>
      <c r="FJ58" s="59">
        <f ca="1">AVERAGE(OFFSET($FI$3,0,0,'Données projet'!$E$16+1,1))-AVERAGE(OFFSET($H$3,0,0,'Données projet'!$E$16+1,1))</f>
        <v>196.95467273423861</v>
      </c>
      <c r="FK58" s="59">
        <f t="shared" si="48"/>
        <v>173.8709326829258</v>
      </c>
      <c r="FL58" s="15">
        <f>IF(ISNA(VLOOKUP(A58,'Données projet'!$A$217:$I$237,3,0)),0,VLOOKUP(A58,'Données projet'!$A$217:$I$237,3,0))</f>
        <v>8</v>
      </c>
      <c r="FM58" s="15">
        <f>IF(ISNA(VLOOKUP(A58,'Données projet'!$A$217:$I$237,4,0)),0,VLOOKUP(A58,'Données projet'!$A$217:$I$237,4,0))</f>
        <v>13</v>
      </c>
      <c r="FN58" s="16">
        <f>IF(ISNA(VLOOKUP(A58,'Données projet'!$A$217:$I$237,5,0)),0%,VLOOKUP(A58,'Données projet'!$A$217:$I$237,5,0)*VLOOKUP('Données projet'!$B$16,Paramètres!$A$1:$I$89,7,0))</f>
        <v>0.215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0.3</v>
      </c>
      <c r="FQ58" s="21">
        <f>EXP(-LN(2)/35)*FQ57+(1-EXP(-LN(2)/35))/(LN(2)/35)*FM58*FN58*VLOOKUP('Données projet'!$B$16,Paramètres!$A$1:$I$89,3,0)*0.475*44/12</f>
        <v>10.961753973185122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4.1712867046911333</v>
      </c>
      <c r="FT58" s="22">
        <f t="shared" si="24"/>
        <v>15.133040677876256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219</v>
      </c>
      <c r="FX58" s="12">
        <f>VLOOKUP(A58,'Données projet'!$A$243:$I$263,9,0)</f>
        <v>6.8</v>
      </c>
      <c r="FY58" s="12">
        <f t="array" ref="FY58">INDEX(FX:FX,MIN(IF(ISNUMBER(FX58:FX254),ROW(FX58:FX254),"")))</f>
        <v>6.8</v>
      </c>
      <c r="FZ58" s="12">
        <f>IF('Données projet'!$A$244&gt;35,FZ57+FY58-GH57,IF(A58&lt;'Données projet'!$A$244,$FW$205^A58,IF(A58='Données projet'!$A$244,'Données projet'!$B$244,FZ57+FY58-GH57)))</f>
        <v>219</v>
      </c>
      <c r="GA58" s="17">
        <f>FZ58*VLOOKUP('Données projet'!$B$17,Paramètres!$A$1:$I$89,3,0)*VLOOKUP('Données projet'!$B$17,Paramètres!$A$1:$I$89,5,0)</f>
        <v>235.73159999999999</v>
      </c>
      <c r="GB58" s="13">
        <f t="shared" si="49"/>
        <v>57.520206488125218</v>
      </c>
      <c r="GC58" s="20">
        <f t="shared" si="25"/>
        <v>510.74689630015138</v>
      </c>
      <c r="GD58" s="59">
        <f t="shared" si="26"/>
        <v>804.08022963348469</v>
      </c>
      <c r="GE58" s="59">
        <f ca="1">AVERAGE(OFFSET($GD$3,0,0,'Données projet'!$E$17+1,1))-AVERAGE(OFFSET($H$3,0,0,'Données projet'!$E$17+1,1))</f>
        <v>275.5229427552884</v>
      </c>
      <c r="GF58" s="59">
        <f t="shared" si="50"/>
        <v>241.20234081716143</v>
      </c>
      <c r="GG58" s="15">
        <f>IF(ISNA(VLOOKUP(A58,'Données projet'!$A$243:$I$263,3,0)),0,VLOOKUP(A58,'Données projet'!$A$243:$I$263,3,0))</f>
        <v>8</v>
      </c>
      <c r="GH58" s="15">
        <f>IF(ISNA(VLOOKUP(A58,'Données projet'!$A$243:$I$263,4,0)),0,VLOOKUP(A58,'Données projet'!$A$243:$I$263,4,0))</f>
        <v>13</v>
      </c>
      <c r="GI58" s="16">
        <f>IF(ISNA(VLOOKUP(A58,'Données projet'!$A$243:$I$263,5,0)),0%,VLOOKUP(A58,'Données projet'!$A$243:$I$263,5,0)*VLOOKUP('Données projet'!$B$17,Paramètres!$A$1:$I$89,7,0))</f>
        <v>0.215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0.3</v>
      </c>
      <c r="GL58" s="21">
        <f>EXP(-LN(2)/35)*GL57+(1-EXP(-LN(2)/35))/(LN(2)/35)*GH58*GI58*VLOOKUP('Données projet'!$B$17,Paramètres!$A$1:$I$89,3,0)*0.475*44/12</f>
        <v>14.545404310572563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5.5349765889170799</v>
      </c>
      <c r="GO58" s="21">
        <f t="shared" si="27"/>
        <v>20.080380899489644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-1.2710188457276673E-13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274.57619581652199</v>
      </c>
      <c r="T59" s="59">
        <f t="shared" si="34"/>
        <v>366.15117322598775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 t="e">
        <f>EXP(-LN(2)/35)*Z58+(1-EXP(-LN(2)/35))/(LN(2)/35)*V59*W59*VLOOKUP('Données projet'!$B$9,Paramètres!$A$1:$I$89,3,0)*0.475*44/12</f>
        <v>#VALUE!</v>
      </c>
      <c r="AA59" s="21" t="e">
        <f>EXP(-LN(2)/25)*AA58+(1-EXP(-LN(2)/25))/(LN(2)/25)*Calculateur!V59*Calculateur!X59*VLOOKUP('Données projet'!$B$9,Paramètres!$A$1:$I$89,3,0)*0.475*44/12</f>
        <v>#VALUE!</v>
      </c>
      <c r="AB59" s="21" t="e">
        <f>EXP(-LN(2)/2)*AB58+(1-EXP(-LN(2)/2))/(LN(2)/2)*V59*Y59*VLOOKUP('Données projet'!$B$9,Paramètres!$A$1:$I$89,3,0)*0.475*44/12</f>
        <v>#VALUE!</v>
      </c>
      <c r="AC59" s="22" t="e">
        <f t="shared" si="3"/>
        <v>#VALUE!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9.75</v>
      </c>
      <c r="AI59" s="13">
        <f>IF('Données projet'!$A$62&gt;35,AI58+AH59-AQ58,IF(A59&lt;'Données projet'!$A$62,$AF$205^A59,IF(A59='Données projet'!$A$62,'Données projet'!$B$62,AI58+AH59-AQ58)))</f>
        <v>265</v>
      </c>
      <c r="AJ59" s="13">
        <f>AI59*VLOOKUP('Données projet'!$B$10,Paramètres!$A$1:$I$89,3,0)*VLOOKUP('Données projet'!$B$10,Paramètres!$A$1:$I$89,5,0)</f>
        <v>165.35999999999999</v>
      </c>
      <c r="AK59" s="13">
        <f t="shared" si="35"/>
        <v>42.04915012784209</v>
      </c>
      <c r="AL59" s="20">
        <f t="shared" si="4"/>
        <v>361.2376031393249</v>
      </c>
      <c r="AM59" s="59">
        <f t="shared" si="5"/>
        <v>654.57093647265822</v>
      </c>
      <c r="AN59" s="59">
        <f ca="1">AVERAGE(OFFSET($AM$3,0,0,'Données projet'!$E$10+1,1))-AVERAGE(OFFSET($H$3,0,0,'Données projet'!$E$10+1,1))</f>
        <v>175.05987582828078</v>
      </c>
      <c r="AO59" s="59">
        <f t="shared" si="36"/>
        <v>268.54782308462387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67.806545824366651</v>
      </c>
      <c r="AV59" s="21">
        <f>EXP(-LN(2)/25)*AV58+(1-EXP(-LN(2)/25))/(LN(2)/25)*Calculateur!AQ59*Calculateur!AS59*VLOOKUP('Données projet'!$B$10,Paramètres!$A$1:$I$89,3,0)*0.475*44/12</f>
        <v>18.860375714792657</v>
      </c>
      <c r="AW59" s="21">
        <f>EXP(-LN(2)/2)*AW58+(1-EXP(-LN(2)/2))/(LN(2)/2)*AQ59*AT59*VLOOKUP('Données projet'!$B$10,Paramètres!$A$1:$I$89,3,0)*0.475*44/12</f>
        <v>0.43402987955916517</v>
      </c>
      <c r="AX59" s="21">
        <f t="shared" si="6"/>
        <v>87.100951418718466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13.5</v>
      </c>
      <c r="BD59" s="12">
        <f>IF('Données projet'!$A$88&gt;35,BD58+BC59-BL58,IF(A59&lt;'Données projet'!$A$88,$BA$205^A59,IF(A59='Données projet'!$A$88,'Données projet'!$B$88,BD58+BC59-BL58)))</f>
        <v>348.82079999999991</v>
      </c>
      <c r="BE59" s="13">
        <f>BD59*VLOOKUP('Données projet'!$B$11,Paramètres!$A$1:$I$89,3,0)*VLOOKUP('Données projet'!$B$11,Paramètres!$A$1:$I$89,5,0)</f>
        <v>163.24813439999997</v>
      </c>
      <c r="BF59" s="13">
        <f t="shared" si="37"/>
        <v>41.574282053315187</v>
      </c>
      <c r="BG59" s="20">
        <f t="shared" si="7"/>
        <v>356.73237532285719</v>
      </c>
      <c r="BH59" s="59">
        <f t="shared" si="8"/>
        <v>650.06570865619051</v>
      </c>
      <c r="BI59" s="59">
        <f ca="1">AVERAGE(OFFSET($BH$3,0,0,'Données projet'!$E$11+1,1))-AVERAGE(OFFSET($H$3,0,0,'Données projet'!$E$11+1,1))</f>
        <v>252.70779718608964</v>
      </c>
      <c r="BJ59" s="59">
        <f t="shared" si="38"/>
        <v>187.86969111712705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30.015617438853376</v>
      </c>
      <c r="BQ59" s="21">
        <f>EXP(-LN(2)/25)*BQ58+(1-EXP(-LN(2)/25))/(LN(2)/25)*Calculateur!BL59*Calculateur!BN59*VLOOKUP('Données projet'!$B$11,Paramètres!$A$1:$I$89,3,0)*0.475*44/12</f>
        <v>8.686130805178724</v>
      </c>
      <c r="BR59" s="21">
        <f>EXP(-LN(2)/2)*BR58+(1-EXP(-LN(2)/2))/(LN(2)/2)*BL59*BO59*VLOOKUP('Données projet'!$B$11,Paramètres!$A$1:$I$89,3,0)*0.475*44/12</f>
        <v>0.60080881345698289</v>
      </c>
      <c r="BS59" s="22">
        <f t="shared" si="9"/>
        <v>39.302557057489089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17</v>
      </c>
      <c r="BY59" s="12">
        <f>IF('Données projet'!$A$114&gt;35,BY58+BX59-CG58,IF(A59&lt;'Données projet'!$A$114,$BV$205^A59,IF(A59='Données projet'!$A$114,'Données projet'!$B$114,BY58+BX59-CG58)))</f>
        <v>431.99999999999989</v>
      </c>
      <c r="BZ59" s="13">
        <f>BY59*VLOOKUP('Données projet'!$B$12,Paramètres!$A$1:$I$89,3,0)*VLOOKUP('Données projet'!$B$12,Paramètres!$A$1:$I$89,5,0)</f>
        <v>258.33599999999996</v>
      </c>
      <c r="CA59" s="13">
        <f t="shared" si="39"/>
        <v>62.367547966451262</v>
      </c>
      <c r="CB59" s="20">
        <f t="shared" si="10"/>
        <v>558.55867937490245</v>
      </c>
      <c r="CC59" s="59">
        <f t="shared" si="11"/>
        <v>851.89201270823582</v>
      </c>
      <c r="CD59" s="59">
        <f ca="1">AVERAGE(OFFSET($CC$3,0,0,'Données projet'!$E$12+1,1))-AVERAGE(OFFSET($H$3,0,0,'Données projet'!$E$12+1,1))</f>
        <v>279.86432710889352</v>
      </c>
      <c r="CE59" s="59">
        <f t="shared" si="40"/>
        <v>297.01680128882509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12.782094167126598</v>
      </c>
      <c r="CL59" s="21">
        <f>EXP(-LN(2)/25)*CL58+(1-EXP(-LN(2)/25))/(LN(2)/25)*Calculateur!CG59*Calculateur!CI59*VLOOKUP('Données projet'!$B$12,Paramètres!$A$1:$I$89,3,0)*0.475*44/12</f>
        <v>42.522381137241005</v>
      </c>
      <c r="CM59" s="21">
        <f>EXP(-LN(2)/2)*CM58+(1-EXP(-LN(2)/2))/(LN(2)/2)*CG59*CJ59*VLOOKUP('Données projet'!$B$12,Paramètres!$A$1:$I$89,3,0)*0.475*44/12</f>
        <v>8.4917526565605748</v>
      </c>
      <c r="CN59" s="22">
        <f t="shared" si="12"/>
        <v>63.796227960928178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7.4</v>
      </c>
      <c r="CT59" s="12">
        <f>IF('Données projet'!$A$140&gt;35,CT58+CS59-DB58,IF(A59&lt;'Données projet'!$A$140,$CQ$205^A59,IF(A59='Données projet'!$A$140,'Données projet'!$B$140,CT58+CS59-DB58)))</f>
        <v>301.39999999999981</v>
      </c>
      <c r="CU59" s="17">
        <f>CT59*VLOOKUP('Données projet'!$B$13,Paramètres!$A$1:$I$89,3,0)*VLOOKUP('Données projet'!$B$13,Paramètres!$A$1:$I$89,5,0)</f>
        <v>239.79383999999988</v>
      </c>
      <c r="CV59" s="13">
        <f t="shared" si="41"/>
        <v>58.395171935677716</v>
      </c>
      <c r="CW59" s="20">
        <f t="shared" si="13"/>
        <v>519.34586245463845</v>
      </c>
      <c r="CX59" s="59">
        <f t="shared" si="14"/>
        <v>812.67919578797182</v>
      </c>
      <c r="CY59" s="59">
        <f ca="1">AVERAGE(OFFSET($CX$3,0,0,'Données projet'!$E$13+1,1))-AVERAGE(OFFSET($H$3,0,0,'Données projet'!$E$13+1,1))</f>
        <v>314.6300257056194</v>
      </c>
      <c r="CZ59" s="59">
        <f t="shared" si="42"/>
        <v>298.00555477466668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12.241064518470198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12.241064518470198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7.4</v>
      </c>
      <c r="DO59" s="12">
        <f>IF('Données projet'!$A$166&gt;35,DO58+DN59-DW58,IF(A59&lt;'Données projet'!$A$166,$DL$205^A59,IF(A59='Données projet'!$A$166,'Données projet'!$B$166,DO58+DN59-DW58)))</f>
        <v>301.39999999999981</v>
      </c>
      <c r="DP59" s="17">
        <f>DO59*VLOOKUP('Données projet'!$B$14,Paramètres!$A$1:$I$89,3,0)*VLOOKUP('Données projet'!$B$14,Paramètres!$A$1:$I$89,5,0)</f>
        <v>239.79383999999988</v>
      </c>
      <c r="DQ59" s="13">
        <f t="shared" si="43"/>
        <v>58.395171935677716</v>
      </c>
      <c r="DR59" s="20">
        <f t="shared" si="16"/>
        <v>519.34586245463845</v>
      </c>
      <c r="DS59" s="59">
        <f t="shared" si="17"/>
        <v>812.67919578797182</v>
      </c>
      <c r="DT59" s="59">
        <f ca="1">AVERAGE(OFFSET($DS$3,0,0,'Données projet'!$E$14+1,1))-AVERAGE(OFFSET($H$3,0,0,'Données projet'!$E$14+1,1))</f>
        <v>314.6300257056194</v>
      </c>
      <c r="DU59" s="59">
        <f t="shared" si="44"/>
        <v>298.00555477466668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12.241064518470198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12.241064518470198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18.026373626373623</v>
      </c>
      <c r="EJ59" s="12">
        <f>IF('Données projet'!$A$192&gt;35,EJ58+EI59-ER58,IF(A59&lt;'Données projet'!$A$192,$EG$205^A59,IF(A59='Données projet'!$A$192,'Données projet'!$B$192,EJ58+EI59-ER58)))</f>
        <v>326.71318681318689</v>
      </c>
      <c r="EK59" s="17">
        <f>EJ59*VLOOKUP('Données projet'!$B$15,Paramètres!$A$1:$I$89,3,0)*VLOOKUP('Données projet'!$B$15,Paramètres!$A$1:$I$89,5,0)</f>
        <v>157.14904285714289</v>
      </c>
      <c r="EL59" s="13">
        <f t="shared" si="45"/>
        <v>40.198802744364968</v>
      </c>
      <c r="EM59" s="20">
        <f t="shared" si="19"/>
        <v>343.7141644226262</v>
      </c>
      <c r="EN59" s="59">
        <f t="shared" si="20"/>
        <v>637.04749775595951</v>
      </c>
      <c r="EO59" s="59">
        <f ca="1">AVERAGE(OFFSET($EN$3,0,0,'Données projet'!$E$15+1,1))-AVERAGE(OFFSET($H$3,0,0,'Données projet'!$E$15+1,1))</f>
        <v>238.83604534181978</v>
      </c>
      <c r="EP59" s="59">
        <f t="shared" si="46"/>
        <v>114.85152559837792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5.4</v>
      </c>
      <c r="FE59" s="12">
        <f>IF('Données projet'!$A$218&gt;35,FE58+FD59-FM58,IF(A59&lt;'Données projet'!$A$218,$FB$205^A59,IF(A59='Données projet'!$A$218,'Données projet'!$B$218,FE58+FD59-FM58)))</f>
        <v>211.4</v>
      </c>
      <c r="FF59" s="17">
        <f>FE59*VLOOKUP('Données projet'!$B$16,Paramètres!$A$1:$I$89,3,0)*VLOOKUP('Données projet'!$B$16,Paramètres!$A$1:$I$89,5,0)</f>
        <v>171.48768000000001</v>
      </c>
      <c r="FG59" s="13">
        <f t="shared" si="47"/>
        <v>43.423045268797694</v>
      </c>
      <c r="FH59" s="20">
        <f t="shared" si="22"/>
        <v>374.30284650982259</v>
      </c>
      <c r="FI59" s="59">
        <f t="shared" si="23"/>
        <v>667.6361798431559</v>
      </c>
      <c r="FJ59" s="59">
        <f ca="1">AVERAGE(OFFSET($FI$3,0,0,'Données projet'!$E$16+1,1))-AVERAGE(OFFSET($H$3,0,0,'Données projet'!$E$16+1,1))</f>
        <v>196.95467273423861</v>
      </c>
      <c r="FK59" s="59">
        <f t="shared" si="48"/>
        <v>173.8709326829258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10.746800663780697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2.9495451151603884</v>
      </c>
      <c r="FT59" s="22">
        <f t="shared" si="24"/>
        <v>13.696345778941085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5.4</v>
      </c>
      <c r="FZ59" s="12">
        <f>IF('Données projet'!$A$244&gt;35,FZ58+FY59-GH58,IF(A59&lt;'Données projet'!$A$244,$FW$205^A59,IF(A59='Données projet'!$A$244,'Données projet'!$B$244,FZ58+FY59-GH58)))</f>
        <v>211.4</v>
      </c>
      <c r="GA59" s="17">
        <f>FZ59*VLOOKUP('Données projet'!$B$17,Paramètres!$A$1:$I$89,3,0)*VLOOKUP('Données projet'!$B$17,Paramètres!$A$1:$I$89,5,0)</f>
        <v>227.55095999999998</v>
      </c>
      <c r="GB59" s="13">
        <f t="shared" si="49"/>
        <v>55.752812353905455</v>
      </c>
      <c r="GC59" s="20">
        <f t="shared" si="25"/>
        <v>493.42073684971859</v>
      </c>
      <c r="GD59" s="59">
        <f t="shared" si="26"/>
        <v>786.75407018305191</v>
      </c>
      <c r="GE59" s="59">
        <f ca="1">AVERAGE(OFFSET($GD$3,0,0,'Données projet'!$E$17+1,1))-AVERAGE(OFFSET($H$3,0,0,'Données projet'!$E$17+1,1))</f>
        <v>275.5229427552884</v>
      </c>
      <c r="GF59" s="59">
        <f t="shared" si="50"/>
        <v>241.20234081716143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14.260177803862845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3.9138194797320529</v>
      </c>
      <c r="GO59" s="21">
        <f t="shared" si="27"/>
        <v>18.173997283594897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-1.2710188457276673E-13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274.57619581652199</v>
      </c>
      <c r="T60" s="59">
        <f t="shared" si="34"/>
        <v>366.15117322598775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 t="e">
        <f>EXP(-LN(2)/35)*Z59+(1-EXP(-LN(2)/35))/(LN(2)/35)*V60*W60*VLOOKUP('Données projet'!$B$9,Paramètres!$A$1:$I$89,3,0)*0.475*44/12</f>
        <v>#VALUE!</v>
      </c>
      <c r="AA60" s="21" t="e">
        <f>EXP(-LN(2)/25)*AA59+(1-EXP(-LN(2)/25))/(LN(2)/25)*Calculateur!V60*Calculateur!X60*VLOOKUP('Données projet'!$B$9,Paramètres!$A$1:$I$89,3,0)*0.475*44/12</f>
        <v>#VALUE!</v>
      </c>
      <c r="AB60" s="21" t="e">
        <f>EXP(-LN(2)/2)*AB59+(1-EXP(-LN(2)/2))/(LN(2)/2)*V60*Y60*VLOOKUP('Données projet'!$B$9,Paramètres!$A$1:$I$89,3,0)*0.475*44/12</f>
        <v>#VALUE!</v>
      </c>
      <c r="AC60" s="22" t="e">
        <f t="shared" si="3"/>
        <v>#VALUE!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9.75</v>
      </c>
      <c r="AI60" s="13">
        <f>IF('Données projet'!$A$62&gt;35,AI59+AH60-AQ59,IF(A60&lt;'Données projet'!$A$62,$AF$205^A60,IF(A60='Données projet'!$A$62,'Données projet'!$B$62,AI59+AH60-AQ59)))</f>
        <v>274.75</v>
      </c>
      <c r="AJ60" s="13">
        <f>AI60*VLOOKUP('Données projet'!$B$10,Paramètres!$A$1:$I$89,3,0)*VLOOKUP('Données projet'!$B$10,Paramètres!$A$1:$I$89,5,0)</f>
        <v>171.44399999999999</v>
      </c>
      <c r="AK60" s="13">
        <f t="shared" si="35"/>
        <v>43.413272173627242</v>
      </c>
      <c r="AL60" s="20">
        <f t="shared" si="4"/>
        <v>374.20974903573409</v>
      </c>
      <c r="AM60" s="59">
        <f t="shared" si="5"/>
        <v>667.54308236906741</v>
      </c>
      <c r="AN60" s="59">
        <f ca="1">AVERAGE(OFFSET($AM$3,0,0,'Données projet'!$E$10+1,1))-AVERAGE(OFFSET($H$3,0,0,'Données projet'!$E$10+1,1))</f>
        <v>175.05987582828078</v>
      </c>
      <c r="AO60" s="59">
        <f t="shared" si="36"/>
        <v>268.54782308462387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66.476900818660013</v>
      </c>
      <c r="AV60" s="21">
        <f>EXP(-LN(2)/25)*AV59+(1-EXP(-LN(2)/25))/(LN(2)/25)*Calculateur!AQ60*Calculateur!AS60*VLOOKUP('Données projet'!$B$10,Paramètres!$A$1:$I$89,3,0)*0.475*44/12</f>
        <v>18.3446377490476</v>
      </c>
      <c r="AW60" s="21">
        <f>EXP(-LN(2)/2)*AW59+(1-EXP(-LN(2)/2))/(LN(2)/2)*AQ60*AT60*VLOOKUP('Données projet'!$B$10,Paramètres!$A$1:$I$89,3,0)*0.475*44/12</f>
        <v>0.30690547107386618</v>
      </c>
      <c r="AX60" s="21">
        <f t="shared" si="6"/>
        <v>85.128444038781481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13.5</v>
      </c>
      <c r="BD60" s="12">
        <f>IF('Données projet'!$A$88&gt;35,BD59+BC60-BL59,IF(A60&lt;'Données projet'!$A$88,$BA$205^A60,IF(A60='Données projet'!$A$88,'Données projet'!$B$88,BD59+BC60-BL59)))</f>
        <v>362.32079999999991</v>
      </c>
      <c r="BE60" s="13">
        <f>BD60*VLOOKUP('Données projet'!$B$11,Paramètres!$A$1:$I$89,3,0)*VLOOKUP('Données projet'!$B$11,Paramètres!$A$1:$I$89,5,0)</f>
        <v>169.56613439999995</v>
      </c>
      <c r="BF60" s="13">
        <f t="shared" si="37"/>
        <v>42.992837676626557</v>
      </c>
      <c r="BG60" s="20">
        <f t="shared" si="7"/>
        <v>370.20687636679116</v>
      </c>
      <c r="BH60" s="59">
        <f t="shared" si="8"/>
        <v>663.54020970012448</v>
      </c>
      <c r="BI60" s="59">
        <f ca="1">AVERAGE(OFFSET($BH$3,0,0,'Données projet'!$E$11+1,1))-AVERAGE(OFFSET($H$3,0,0,'Données projet'!$E$11+1,1))</f>
        <v>252.70779718608964</v>
      </c>
      <c r="BJ60" s="59">
        <f t="shared" si="38"/>
        <v>187.86969111712705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29.427029488596361</v>
      </c>
      <c r="BQ60" s="21">
        <f>EXP(-LN(2)/25)*BQ59+(1-EXP(-LN(2)/25))/(LN(2)/25)*Calculateur!BL60*Calculateur!BN60*VLOOKUP('Données projet'!$B$11,Paramètres!$A$1:$I$89,3,0)*0.475*44/12</f>
        <v>8.4486081015273449</v>
      </c>
      <c r="BR60" s="21">
        <f>EXP(-LN(2)/2)*BR59+(1-EXP(-LN(2)/2))/(LN(2)/2)*BL60*BO60*VLOOKUP('Données projet'!$B$11,Paramètres!$A$1:$I$89,3,0)*0.475*44/12</f>
        <v>0.42483598619207608</v>
      </c>
      <c r="BS60" s="22">
        <f t="shared" si="9"/>
        <v>38.300473576315781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17</v>
      </c>
      <c r="BY60" s="12">
        <f>IF('Données projet'!$A$114&gt;35,BY59+BX60-CG59,IF(A60&lt;'Données projet'!$A$114,$BV$205^A60,IF(A60='Données projet'!$A$114,'Données projet'!$B$114,BY59+BX60-CG59)))</f>
        <v>448.99999999999989</v>
      </c>
      <c r="BZ60" s="13">
        <f>BY60*VLOOKUP('Données projet'!$B$12,Paramètres!$A$1:$I$89,3,0)*VLOOKUP('Données projet'!$B$12,Paramètres!$A$1:$I$89,5,0)</f>
        <v>268.50199999999995</v>
      </c>
      <c r="CA60" s="13">
        <f t="shared" si="39"/>
        <v>64.531253013339168</v>
      </c>
      <c r="CB60" s="20">
        <f t="shared" si="10"/>
        <v>580.03291566489895</v>
      </c>
      <c r="CC60" s="59">
        <f t="shared" si="11"/>
        <v>873.36624899823232</v>
      </c>
      <c r="CD60" s="59">
        <f ca="1">AVERAGE(OFFSET($CC$3,0,0,'Données projet'!$E$12+1,1))-AVERAGE(OFFSET($H$3,0,0,'Données projet'!$E$12+1,1))</f>
        <v>279.86432710889352</v>
      </c>
      <c r="CE60" s="59">
        <f t="shared" si="40"/>
        <v>297.01680128882509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12.531445096816865</v>
      </c>
      <c r="CL60" s="21">
        <f>EXP(-LN(2)/25)*CL59+(1-EXP(-LN(2)/25))/(LN(2)/25)*Calculateur!CG60*Calculateur!CI60*VLOOKUP('Données projet'!$B$12,Paramètres!$A$1:$I$89,3,0)*0.475*44/12</f>
        <v>41.359604388888314</v>
      </c>
      <c r="CM60" s="21">
        <f>EXP(-LN(2)/2)*CM59+(1-EXP(-LN(2)/2))/(LN(2)/2)*CG60*CJ60*VLOOKUP('Données projet'!$B$12,Paramètres!$A$1:$I$89,3,0)*0.475*44/12</f>
        <v>6.0045758876128623</v>
      </c>
      <c r="CN60" s="22">
        <f t="shared" si="12"/>
        <v>59.89562537331804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7.4</v>
      </c>
      <c r="CT60" s="12">
        <f>IF('Données projet'!$A$140&gt;35,CT59+CS60-DB59,IF(A60&lt;'Données projet'!$A$140,$CQ$205^A60,IF(A60='Données projet'!$A$140,'Données projet'!$B$140,CT59+CS60-DB59)))</f>
        <v>308.79999999999978</v>
      </c>
      <c r="CU60" s="17">
        <f>CT60*VLOOKUP('Données projet'!$B$13,Paramètres!$A$1:$I$89,3,0)*VLOOKUP('Données projet'!$B$13,Paramètres!$A$1:$I$89,5,0)</f>
        <v>245.68127999999982</v>
      </c>
      <c r="CV60" s="13">
        <f t="shared" si="41"/>
        <v>59.660216150602118</v>
      </c>
      <c r="CW60" s="20">
        <f t="shared" si="13"/>
        <v>531.80310579563172</v>
      </c>
      <c r="CX60" s="59">
        <f t="shared" si="14"/>
        <v>825.13643912896509</v>
      </c>
      <c r="CY60" s="59">
        <f ca="1">AVERAGE(OFFSET($CX$3,0,0,'Données projet'!$E$13+1,1))-AVERAGE(OFFSET($H$3,0,0,'Données projet'!$E$13+1,1))</f>
        <v>314.6300257056194</v>
      </c>
      <c r="CZ60" s="59">
        <f t="shared" si="42"/>
        <v>298.00555477466668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12.001024709575116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12.001024709575116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7.4</v>
      </c>
      <c r="DO60" s="12">
        <f>IF('Données projet'!$A$166&gt;35,DO59+DN60-DW59,IF(A60&lt;'Données projet'!$A$166,$DL$205^A60,IF(A60='Données projet'!$A$166,'Données projet'!$B$166,DO59+DN60-DW59)))</f>
        <v>308.79999999999978</v>
      </c>
      <c r="DP60" s="17">
        <f>DO60*VLOOKUP('Données projet'!$B$14,Paramètres!$A$1:$I$89,3,0)*VLOOKUP('Données projet'!$B$14,Paramètres!$A$1:$I$89,5,0)</f>
        <v>245.68127999999982</v>
      </c>
      <c r="DQ60" s="13">
        <f t="shared" si="43"/>
        <v>59.660216150602118</v>
      </c>
      <c r="DR60" s="20">
        <f t="shared" si="16"/>
        <v>531.80310579563172</v>
      </c>
      <c r="DS60" s="59">
        <f t="shared" si="17"/>
        <v>825.13643912896509</v>
      </c>
      <c r="DT60" s="59">
        <f ca="1">AVERAGE(OFFSET($DS$3,0,0,'Données projet'!$E$14+1,1))-AVERAGE(OFFSET($H$3,0,0,'Données projet'!$E$14+1,1))</f>
        <v>314.6300257056194</v>
      </c>
      <c r="DU60" s="59">
        <f t="shared" si="44"/>
        <v>298.00555477466668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12.001024709575116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12.001024709575116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18.026373626373623</v>
      </c>
      <c r="EJ60" s="12">
        <f>IF('Données projet'!$A$192&gt;35,EJ59+EI60-ER59,IF(A60&lt;'Données projet'!$A$192,$EG$205^A60,IF(A60='Données projet'!$A$192,'Données projet'!$B$192,EJ59+EI60-ER59)))</f>
        <v>344.73956043956053</v>
      </c>
      <c r="EK60" s="17">
        <f>EJ60*VLOOKUP('Données projet'!$B$15,Paramètres!$A$1:$I$89,3,0)*VLOOKUP('Données projet'!$B$15,Paramètres!$A$1:$I$89,5,0)</f>
        <v>165.81972857142864</v>
      </c>
      <c r="EL60" s="13">
        <f t="shared" si="45"/>
        <v>42.152429539913044</v>
      </c>
      <c r="EM60" s="20">
        <f t="shared" si="19"/>
        <v>362.21817537725337</v>
      </c>
      <c r="EN60" s="59">
        <f t="shared" si="20"/>
        <v>655.55150871058663</v>
      </c>
      <c r="EO60" s="59">
        <f ca="1">AVERAGE(OFFSET($EN$3,0,0,'Données projet'!$E$15+1,1))-AVERAGE(OFFSET($H$3,0,0,'Données projet'!$E$15+1,1))</f>
        <v>238.83604534181978</v>
      </c>
      <c r="EP60" s="59">
        <f t="shared" si="46"/>
        <v>114.85152559837792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5.4</v>
      </c>
      <c r="FE60" s="12">
        <f>IF('Données projet'!$A$218&gt;35,FE59+FD60-FM59,IF(A60&lt;'Données projet'!$A$218,$FB$205^A60,IF(A60='Données projet'!$A$218,'Données projet'!$B$218,FE59+FD60-FM59)))</f>
        <v>216.8</v>
      </c>
      <c r="FF60" s="17">
        <f>FE60*VLOOKUP('Données projet'!$B$16,Paramètres!$A$1:$I$89,3,0)*VLOOKUP('Données projet'!$B$16,Paramètres!$A$1:$I$89,5,0)</f>
        <v>175.86816000000002</v>
      </c>
      <c r="FG60" s="13">
        <f t="shared" si="47"/>
        <v>44.401689177560407</v>
      </c>
      <c r="FH60" s="20">
        <f t="shared" si="22"/>
        <v>383.63665398425104</v>
      </c>
      <c r="FI60" s="59">
        <f t="shared" si="23"/>
        <v>676.96998731758435</v>
      </c>
      <c r="FJ60" s="59">
        <f ca="1">AVERAGE(OFFSET($FI$3,0,0,'Données projet'!$E$16+1,1))-AVERAGE(OFFSET($H$3,0,0,'Données projet'!$E$16+1,1))</f>
        <v>196.95467273423861</v>
      </c>
      <c r="FK60" s="59">
        <f t="shared" si="48"/>
        <v>173.8709326829258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10.536062457665119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2.0856433523455671</v>
      </c>
      <c r="FT60" s="22">
        <f t="shared" si="24"/>
        <v>12.621705810010686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5.4</v>
      </c>
      <c r="FZ60" s="12">
        <f>IF('Données projet'!$A$244&gt;35,FZ59+FY60-GH59,IF(A60&lt;'Données projet'!$A$244,$FW$205^A60,IF(A60='Données projet'!$A$244,'Données projet'!$B$244,FZ59+FY60-GH59)))</f>
        <v>216.8</v>
      </c>
      <c r="GA60" s="17">
        <f>FZ60*VLOOKUP('Données projet'!$B$17,Paramètres!$A$1:$I$89,3,0)*VLOOKUP('Données projet'!$B$17,Paramètres!$A$1:$I$89,5,0)</f>
        <v>233.36351999999999</v>
      </c>
      <c r="GB60" s="13">
        <f t="shared" si="49"/>
        <v>57.009337543900571</v>
      </c>
      <c r="GC60" s="20">
        <f t="shared" si="25"/>
        <v>505.73272688896014</v>
      </c>
      <c r="GD60" s="59">
        <f t="shared" si="26"/>
        <v>799.06606022229346</v>
      </c>
      <c r="GE60" s="59">
        <f ca="1">AVERAGE(OFFSET($GD$3,0,0,'Données projet'!$E$17+1,1))-AVERAGE(OFFSET($H$3,0,0,'Données projet'!$E$17+1,1))</f>
        <v>275.5229427552884</v>
      </c>
      <c r="GF60" s="59">
        <f t="shared" si="50"/>
        <v>241.20234081716143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13.980544414978715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2.7674882944585404</v>
      </c>
      <c r="GO60" s="21">
        <f t="shared" si="27"/>
        <v>16.748032709437254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-1.2710188457276673E-13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274.57619581652199</v>
      </c>
      <c r="T61" s="59">
        <f t="shared" si="34"/>
        <v>366.15117322598775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 t="e">
        <f>EXP(-LN(2)/35)*Z60+(1-EXP(-LN(2)/35))/(LN(2)/35)*V61*W61*VLOOKUP('Données projet'!$B$9,Paramètres!$A$1:$I$89,3,0)*0.475*44/12</f>
        <v>#VALUE!</v>
      </c>
      <c r="AA61" s="21" t="e">
        <f>EXP(-LN(2)/25)*AA60+(1-EXP(-LN(2)/25))/(LN(2)/25)*Calculateur!V61*Calculateur!X61*VLOOKUP('Données projet'!$B$9,Paramètres!$A$1:$I$89,3,0)*0.475*44/12</f>
        <v>#VALUE!</v>
      </c>
      <c r="AB61" s="21" t="e">
        <f>EXP(-LN(2)/2)*AB60+(1-EXP(-LN(2)/2))/(LN(2)/2)*V61*Y61*VLOOKUP('Données projet'!$B$9,Paramètres!$A$1:$I$89,3,0)*0.475*44/12</f>
        <v>#VALUE!</v>
      </c>
      <c r="AC61" s="22" t="e">
        <f t="shared" si="3"/>
        <v>#VALUE!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9.75</v>
      </c>
      <c r="AI61" s="13">
        <f>IF('Données projet'!$A$62&gt;35,AI60+AH61-AQ60,IF(A61&lt;'Données projet'!$A$62,$AF$205^A61,IF(A61='Données projet'!$A$62,'Données projet'!$B$62,AI60+AH61-AQ60)))</f>
        <v>284.5</v>
      </c>
      <c r="AJ61" s="13">
        <f>AI61*VLOOKUP('Données projet'!$B$10,Paramètres!$A$1:$I$89,3,0)*VLOOKUP('Données projet'!$B$10,Paramètres!$A$1:$I$89,5,0)</f>
        <v>177.52800000000002</v>
      </c>
      <c r="AK61" s="13">
        <f t="shared" si="35"/>
        <v>44.771769863863661</v>
      </c>
      <c r="AL61" s="20">
        <f t="shared" si="4"/>
        <v>387.17209917956257</v>
      </c>
      <c r="AM61" s="59">
        <f t="shared" si="5"/>
        <v>680.50543251289582</v>
      </c>
      <c r="AN61" s="59">
        <f ca="1">AVERAGE(OFFSET($AM$3,0,0,'Données projet'!$E$10+1,1))-AVERAGE(OFFSET($H$3,0,0,'Données projet'!$E$10+1,1))</f>
        <v>175.05987582828078</v>
      </c>
      <c r="AO61" s="59">
        <f t="shared" si="36"/>
        <v>268.54782308462387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65.173329340511913</v>
      </c>
      <c r="AV61" s="21">
        <f>EXP(-LN(2)/25)*AV60+(1-EXP(-LN(2)/25))/(LN(2)/25)*Calculateur!AQ61*Calculateur!AS61*VLOOKUP('Données projet'!$B$10,Paramètres!$A$1:$I$89,3,0)*0.475*44/12</f>
        <v>17.84300266509732</v>
      </c>
      <c r="AW61" s="21">
        <f>EXP(-LN(2)/2)*AW60+(1-EXP(-LN(2)/2))/(LN(2)/2)*AQ61*AT61*VLOOKUP('Données projet'!$B$10,Paramètres!$A$1:$I$89,3,0)*0.475*44/12</f>
        <v>0.21701493977958258</v>
      </c>
      <c r="AX61" s="21">
        <f t="shared" si="6"/>
        <v>83.233346945388817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13.5</v>
      </c>
      <c r="BD61" s="12">
        <f>IF('Données projet'!$A$88&gt;35,BD60+BC61-BL60,IF(A61&lt;'Données projet'!$A$88,$BA$205^A61,IF(A61='Données projet'!$A$88,'Données projet'!$B$88,BD60+BC61-BL60)))</f>
        <v>375.82079999999991</v>
      </c>
      <c r="BE61" s="13">
        <f>BD61*VLOOKUP('Données projet'!$B$11,Paramètres!$A$1:$I$89,3,0)*VLOOKUP('Données projet'!$B$11,Paramètres!$A$1:$I$89,5,0)</f>
        <v>175.88413439999994</v>
      </c>
      <c r="BF61" s="13">
        <f t="shared" si="37"/>
        <v>44.40525278813422</v>
      </c>
      <c r="BG61" s="20">
        <f t="shared" si="7"/>
        <v>383.67068268600025</v>
      </c>
      <c r="BH61" s="59">
        <f t="shared" si="8"/>
        <v>677.00401601933356</v>
      </c>
      <c r="BI61" s="59">
        <f ca="1">AVERAGE(OFFSET($BH$3,0,0,'Données projet'!$E$11+1,1))-AVERAGE(OFFSET($H$3,0,0,'Données projet'!$E$11+1,1))</f>
        <v>252.70779718608964</v>
      </c>
      <c r="BJ61" s="59">
        <f t="shared" si="38"/>
        <v>187.86969111712705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28.849983389040684</v>
      </c>
      <c r="BQ61" s="21">
        <f>EXP(-LN(2)/25)*BQ60+(1-EXP(-LN(2)/25))/(LN(2)/25)*Calculateur!BL61*Calculateur!BN61*VLOOKUP('Données projet'!$B$11,Paramètres!$A$1:$I$89,3,0)*0.475*44/12</f>
        <v>8.21758046869809</v>
      </c>
      <c r="BR61" s="21">
        <f>EXP(-LN(2)/2)*BR60+(1-EXP(-LN(2)/2))/(LN(2)/2)*BL61*BO61*VLOOKUP('Données projet'!$B$11,Paramètres!$A$1:$I$89,3,0)*0.475*44/12</f>
        <v>0.3004044067284915</v>
      </c>
      <c r="BS61" s="22">
        <f t="shared" si="9"/>
        <v>37.367968264467265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17</v>
      </c>
      <c r="BY61" s="12">
        <f>IF('Données projet'!$A$114&gt;35,BY60+BX61-CG60,IF(A61&lt;'Données projet'!$A$114,$BV$205^A61,IF(A61='Données projet'!$A$114,'Données projet'!$B$114,BY60+BX61-CG60)))</f>
        <v>465.99999999999989</v>
      </c>
      <c r="BZ61" s="13">
        <f>BY61*VLOOKUP('Données projet'!$B$12,Paramètres!$A$1:$I$89,3,0)*VLOOKUP('Données projet'!$B$12,Paramètres!$A$1:$I$89,5,0)</f>
        <v>278.66799999999995</v>
      </c>
      <c r="CA61" s="13">
        <f t="shared" si="39"/>
        <v>66.685440917424486</v>
      </c>
      <c r="CB61" s="20">
        <f t="shared" si="10"/>
        <v>601.49057626451429</v>
      </c>
      <c r="CC61" s="59">
        <f t="shared" si="11"/>
        <v>894.82390959784766</v>
      </c>
      <c r="CD61" s="59">
        <f ca="1">AVERAGE(OFFSET($CC$3,0,0,'Données projet'!$E$12+1,1))-AVERAGE(OFFSET($H$3,0,0,'Données projet'!$E$12+1,1))</f>
        <v>279.86432710889352</v>
      </c>
      <c r="CE61" s="59">
        <f t="shared" si="40"/>
        <v>297.01680128882509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12.285711101895069</v>
      </c>
      <c r="CL61" s="21">
        <f>EXP(-LN(2)/25)*CL60+(1-EXP(-LN(2)/25))/(LN(2)/25)*Calculateur!CG61*Calculateur!CI61*VLOOKUP('Données projet'!$B$12,Paramètres!$A$1:$I$89,3,0)*0.475*44/12</f>
        <v>40.228623831867097</v>
      </c>
      <c r="CM61" s="21">
        <f>EXP(-LN(2)/2)*CM60+(1-EXP(-LN(2)/2))/(LN(2)/2)*CG61*CJ61*VLOOKUP('Données projet'!$B$12,Paramètres!$A$1:$I$89,3,0)*0.475*44/12</f>
        <v>4.2458763282802883</v>
      </c>
      <c r="CN61" s="22">
        <f t="shared" si="12"/>
        <v>56.760211262042453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7.4</v>
      </c>
      <c r="CT61" s="12">
        <f>IF('Données projet'!$A$140&gt;35,CT60+CS61-DB60,IF(A61&lt;'Données projet'!$A$140,$CQ$205^A61,IF(A61='Données projet'!$A$140,'Données projet'!$B$140,CT60+CS61-DB60)))</f>
        <v>316.19999999999976</v>
      </c>
      <c r="CU61" s="17">
        <f>CT61*VLOOKUP('Données projet'!$B$13,Paramètres!$A$1:$I$89,3,0)*VLOOKUP('Données projet'!$B$13,Paramètres!$A$1:$I$89,5,0)</f>
        <v>251.56871999999984</v>
      </c>
      <c r="CV61" s="13">
        <f t="shared" si="41"/>
        <v>60.921736239094351</v>
      </c>
      <c r="CW61" s="20">
        <f t="shared" si="13"/>
        <v>544.25421128308915</v>
      </c>
      <c r="CX61" s="59">
        <f t="shared" si="14"/>
        <v>837.58754461642252</v>
      </c>
      <c r="CY61" s="59">
        <f ca="1">AVERAGE(OFFSET($CX$3,0,0,'Données projet'!$E$13+1,1))-AVERAGE(OFFSET($H$3,0,0,'Données projet'!$E$13+1,1))</f>
        <v>314.6300257056194</v>
      </c>
      <c r="CZ61" s="59">
        <f t="shared" si="42"/>
        <v>298.00555477466668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11.765691934922641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11.765691934922641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7.4</v>
      </c>
      <c r="DO61" s="12">
        <f>IF('Données projet'!$A$166&gt;35,DO60+DN61-DW60,IF(A61&lt;'Données projet'!$A$166,$DL$205^A61,IF(A61='Données projet'!$A$166,'Données projet'!$B$166,DO60+DN61-DW60)))</f>
        <v>316.19999999999976</v>
      </c>
      <c r="DP61" s="17">
        <f>DO61*VLOOKUP('Données projet'!$B$14,Paramètres!$A$1:$I$89,3,0)*VLOOKUP('Données projet'!$B$14,Paramètres!$A$1:$I$89,5,0)</f>
        <v>251.56871999999984</v>
      </c>
      <c r="DQ61" s="13">
        <f t="shared" si="43"/>
        <v>60.921736239094351</v>
      </c>
      <c r="DR61" s="20">
        <f t="shared" si="16"/>
        <v>544.25421128308915</v>
      </c>
      <c r="DS61" s="59">
        <f t="shared" si="17"/>
        <v>837.58754461642252</v>
      </c>
      <c r="DT61" s="59">
        <f ca="1">AVERAGE(OFFSET($DS$3,0,0,'Données projet'!$E$14+1,1))-AVERAGE(OFFSET($H$3,0,0,'Données projet'!$E$14+1,1))</f>
        <v>314.6300257056194</v>
      </c>
      <c r="DU61" s="59">
        <f t="shared" si="44"/>
        <v>298.00555477466668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11.765691934922641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11.765691934922641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18.026373626373623</v>
      </c>
      <c r="EJ61" s="12">
        <f>IF('Données projet'!$A$192&gt;35,EJ60+EI61-ER60,IF(A61&lt;'Données projet'!$A$192,$EG$205^A61,IF(A61='Données projet'!$A$192,'Données projet'!$B$192,EJ60+EI61-ER60)))</f>
        <v>362.76593406593418</v>
      </c>
      <c r="EK61" s="17">
        <f>EJ61*VLOOKUP('Données projet'!$B$15,Paramètres!$A$1:$I$89,3,0)*VLOOKUP('Données projet'!$B$15,Paramètres!$A$1:$I$89,5,0)</f>
        <v>174.49041428571434</v>
      </c>
      <c r="EL61" s="13">
        <f t="shared" si="45"/>
        <v>44.094195922668717</v>
      </c>
      <c r="EM61" s="20">
        <f t="shared" si="19"/>
        <v>380.70152944626716</v>
      </c>
      <c r="EN61" s="59">
        <f t="shared" si="20"/>
        <v>674.03486277960042</v>
      </c>
      <c r="EO61" s="59">
        <f ca="1">AVERAGE(OFFSET($EN$3,0,0,'Données projet'!$E$15+1,1))-AVERAGE(OFFSET($H$3,0,0,'Données projet'!$E$15+1,1))</f>
        <v>238.83604534181978</v>
      </c>
      <c r="EP61" s="59">
        <f t="shared" si="46"/>
        <v>114.85152559837792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5.4</v>
      </c>
      <c r="FE61" s="12">
        <f>IF('Données projet'!$A$218&gt;35,FE60+FD61-FM60,IF(A61&lt;'Données projet'!$A$218,$FB$205^A61,IF(A61='Données projet'!$A$218,'Données projet'!$B$218,FE60+FD61-FM60)))</f>
        <v>222.20000000000002</v>
      </c>
      <c r="FF61" s="17">
        <f>FE61*VLOOKUP('Données projet'!$B$16,Paramètres!$A$1:$I$89,3,0)*VLOOKUP('Données projet'!$B$16,Paramètres!$A$1:$I$89,5,0)</f>
        <v>180.24864000000002</v>
      </c>
      <c r="FG61" s="13">
        <f t="shared" si="47"/>
        <v>45.377499540729588</v>
      </c>
      <c r="FH61" s="20">
        <f t="shared" si="22"/>
        <v>392.96552636677075</v>
      </c>
      <c r="FI61" s="59">
        <f t="shared" si="23"/>
        <v>686.298859700104</v>
      </c>
      <c r="FJ61" s="59">
        <f ca="1">AVERAGE(OFFSET($FI$3,0,0,'Données projet'!$E$16+1,1))-AVERAGE(OFFSET($H$3,0,0,'Données projet'!$E$16+1,1))</f>
        <v>196.95467273423861</v>
      </c>
      <c r="FK61" s="59">
        <f t="shared" si="48"/>
        <v>173.8709326829258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10.329456699233855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1.4747725575801944</v>
      </c>
      <c r="FT61" s="22">
        <f t="shared" si="24"/>
        <v>11.80422925681405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5.4</v>
      </c>
      <c r="FZ61" s="12">
        <f>IF('Données projet'!$A$244&gt;35,FZ60+FY61-GH60,IF(A61&lt;'Données projet'!$A$244,$FW$205^A61,IF(A61='Données projet'!$A$244,'Données projet'!$B$244,FZ60+FY61-GH60)))</f>
        <v>222.20000000000002</v>
      </c>
      <c r="GA61" s="17">
        <f>FZ61*VLOOKUP('Données projet'!$B$17,Paramètres!$A$1:$I$89,3,0)*VLOOKUP('Données projet'!$B$17,Paramètres!$A$1:$I$89,5,0)</f>
        <v>239.17608000000001</v>
      </c>
      <c r="GB61" s="13">
        <f t="shared" si="49"/>
        <v>58.26222461651362</v>
      </c>
      <c r="GC61" s="20">
        <f t="shared" si="25"/>
        <v>518.03838054042774</v>
      </c>
      <c r="GD61" s="59">
        <f t="shared" si="26"/>
        <v>811.37171387376111</v>
      </c>
      <c r="GE61" s="59">
        <f ca="1">AVERAGE(OFFSET($GD$3,0,0,'Données projet'!$E$17+1,1))-AVERAGE(OFFSET($H$3,0,0,'Données projet'!$E$17+1,1))</f>
        <v>275.5229427552884</v>
      </c>
      <c r="GF61" s="59">
        <f t="shared" si="50"/>
        <v>241.20234081716143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13.706394466291075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1.9569097398660269</v>
      </c>
      <c r="GO61" s="21">
        <f t="shared" si="27"/>
        <v>15.663304206157102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-1.2710188457276673E-13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274.57619581652199</v>
      </c>
      <c r="T62" s="59">
        <f t="shared" si="34"/>
        <v>366.15117322598775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 t="e">
        <f>EXP(-LN(2)/35)*Z61+(1-EXP(-LN(2)/35))/(LN(2)/35)*V62*W62*VLOOKUP('Données projet'!$B$9,Paramètres!$A$1:$I$89,3,0)*0.475*44/12</f>
        <v>#VALUE!</v>
      </c>
      <c r="AA62" s="21" t="e">
        <f>EXP(-LN(2)/25)*AA61+(1-EXP(-LN(2)/25))/(LN(2)/25)*Calculateur!V62*Calculateur!X62*VLOOKUP('Données projet'!$B$9,Paramètres!$A$1:$I$89,3,0)*0.475*44/12</f>
        <v>#VALUE!</v>
      </c>
      <c r="AB62" s="21" t="e">
        <f>EXP(-LN(2)/2)*AB61+(1-EXP(-LN(2)/2))/(LN(2)/2)*V62*Y62*VLOOKUP('Données projet'!$B$9,Paramètres!$A$1:$I$89,3,0)*0.475*44/12</f>
        <v>#VALUE!</v>
      </c>
      <c r="AC62" s="22" t="e">
        <f t="shared" si="3"/>
        <v>#VALUE!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294.25</v>
      </c>
      <c r="AJ62" s="13">
        <f>AI62*VLOOKUP('Données projet'!$B$10,Paramètres!$A$1:$I$89,3,0)*VLOOKUP('Données projet'!$B$10,Paramètres!$A$1:$I$89,5,0)</f>
        <v>183.61199999999999</v>
      </c>
      <c r="AK62" s="13">
        <f t="shared" si="35"/>
        <v>46.124858041839339</v>
      </c>
      <c r="AL62" s="20">
        <f t="shared" si="4"/>
        <v>400.12502775620351</v>
      </c>
      <c r="AM62" s="59">
        <f t="shared" si="5"/>
        <v>693.45836108953677</v>
      </c>
      <c r="AN62" s="59">
        <f ca="1">AVERAGE(OFFSET($AM$3,0,0,'Données projet'!$E$10+1,1))-AVERAGE(OFFSET($H$3,0,0,'Données projet'!$E$10+1,1))</f>
        <v>175.05987582828078</v>
      </c>
      <c r="AO62" s="59">
        <f t="shared" si="36"/>
        <v>268.54782308462387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63.895320103950205</v>
      </c>
      <c r="AV62" s="21">
        <f>EXP(-LN(2)/25)*AV61+(1-EXP(-LN(2)/25))/(LN(2)/25)*Calculateur!AQ62*Calculateur!AS62*VLOOKUP('Données projet'!$B$10,Paramètres!$A$1:$I$89,3,0)*0.475*44/12</f>
        <v>17.355084818897502</v>
      </c>
      <c r="AW62" s="21">
        <f>EXP(-LN(2)/2)*AW61+(1-EXP(-LN(2)/2))/(LN(2)/2)*AQ62*AT62*VLOOKUP('Données projet'!$B$10,Paramètres!$A$1:$I$89,3,0)*0.475*44/12</f>
        <v>0.15345273553693309</v>
      </c>
      <c r="AX62" s="21">
        <f t="shared" si="6"/>
        <v>81.403857658384638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13.5</v>
      </c>
      <c r="BD62" s="12">
        <f>IF('Données projet'!$A$88&gt;35,BD61+BC62-BL61,IF(A62&lt;'Données projet'!$A$88,$BA$205^A62,IF(A62='Données projet'!$A$88,'Données projet'!$B$88,BD61+BC62-BL61)))</f>
        <v>389.32079999999991</v>
      </c>
      <c r="BE62" s="13">
        <f>BD62*VLOOKUP('Données projet'!$B$11,Paramètres!$A$1:$I$89,3,0)*VLOOKUP('Données projet'!$B$11,Paramètres!$A$1:$I$89,5,0)</f>
        <v>182.20213439999995</v>
      </c>
      <c r="BF62" s="13">
        <f t="shared" si="37"/>
        <v>45.811773231894605</v>
      </c>
      <c r="BG62" s="20">
        <f t="shared" si="7"/>
        <v>397.12422245888297</v>
      </c>
      <c r="BH62" s="59">
        <f t="shared" si="8"/>
        <v>690.45755579221623</v>
      </c>
      <c r="BI62" s="59">
        <f ca="1">AVERAGE(OFFSET($BH$3,0,0,'Données projet'!$E$11+1,1))-AVERAGE(OFFSET($H$3,0,0,'Données projet'!$E$11+1,1))</f>
        <v>252.70779718608964</v>
      </c>
      <c r="BJ62" s="59">
        <f t="shared" si="38"/>
        <v>187.86969111712705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28.284252811533928</v>
      </c>
      <c r="BQ62" s="21">
        <f>EXP(-LN(2)/25)*BQ61+(1-EXP(-LN(2)/25))/(LN(2)/25)*Calculateur!BL62*Calculateur!BN62*VLOOKUP('Données projet'!$B$11,Paramètres!$A$1:$I$89,3,0)*0.475*44/12</f>
        <v>7.9928702986377651</v>
      </c>
      <c r="BR62" s="21">
        <f>EXP(-LN(2)/2)*BR61+(1-EXP(-LN(2)/2))/(LN(2)/2)*BL62*BO62*VLOOKUP('Données projet'!$B$11,Paramètres!$A$1:$I$89,3,0)*0.475*44/12</f>
        <v>0.21241799309603809</v>
      </c>
      <c r="BS62" s="22">
        <f t="shared" si="9"/>
        <v>36.489541103267733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17</v>
      </c>
      <c r="BY62" s="12">
        <f>IF('Données projet'!$A$114&gt;35,BY61+BX62-CG61,IF(A62&lt;'Données projet'!$A$114,$BV$205^A62,IF(A62='Données projet'!$A$114,'Données projet'!$B$114,BY61+BX62-CG61)))</f>
        <v>482.99999999999989</v>
      </c>
      <c r="BZ62" s="13">
        <f>BY62*VLOOKUP('Données projet'!$B$12,Paramètres!$A$1:$I$89,3,0)*VLOOKUP('Données projet'!$B$12,Paramètres!$A$1:$I$89,5,0)</f>
        <v>288.83399999999995</v>
      </c>
      <c r="CA62" s="13">
        <f t="shared" si="39"/>
        <v>68.83049863656332</v>
      </c>
      <c r="CB62" s="20">
        <f t="shared" si="10"/>
        <v>622.93233512534766</v>
      </c>
      <c r="CC62" s="59">
        <f t="shared" si="11"/>
        <v>916.26566845868092</v>
      </c>
      <c r="CD62" s="59">
        <f ca="1">AVERAGE(OFFSET($CC$3,0,0,'Données projet'!$E$12+1,1))-AVERAGE(OFFSET($H$3,0,0,'Données projet'!$E$12+1,1))</f>
        <v>279.86432710889352</v>
      </c>
      <c r="CE62" s="59">
        <f t="shared" si="40"/>
        <v>297.01680128882509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12.044795800730753</v>
      </c>
      <c r="CL62" s="21">
        <f>EXP(-LN(2)/25)*CL61+(1-EXP(-LN(2)/25))/(LN(2)/25)*Calculateur!CG62*Calculateur!CI62*VLOOKUP('Données projet'!$B$12,Paramètres!$A$1:$I$89,3,0)*0.475*44/12</f>
        <v>39.128569997653308</v>
      </c>
      <c r="CM62" s="21">
        <f>EXP(-LN(2)/2)*CM61+(1-EXP(-LN(2)/2))/(LN(2)/2)*CG62*CJ62*VLOOKUP('Données projet'!$B$12,Paramètres!$A$1:$I$89,3,0)*0.475*44/12</f>
        <v>3.002287943806432</v>
      </c>
      <c r="CN62" s="22">
        <f t="shared" si="12"/>
        <v>54.175653742190491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7.4</v>
      </c>
      <c r="CT62" s="12">
        <f>IF('Données projet'!$A$140&gt;35,CT61+CS62-DB61,IF(A62&lt;'Données projet'!$A$140,$CQ$205^A62,IF(A62='Données projet'!$A$140,'Données projet'!$B$140,CT61+CS62-DB61)))</f>
        <v>323.59999999999974</v>
      </c>
      <c r="CU62" s="17">
        <f>CT62*VLOOKUP('Données projet'!$B$13,Paramètres!$A$1:$I$89,3,0)*VLOOKUP('Données projet'!$B$13,Paramètres!$A$1:$I$89,5,0)</f>
        <v>257.45615999999978</v>
      </c>
      <c r="CV62" s="13">
        <f t="shared" si="41"/>
        <v>62.179824167708126</v>
      </c>
      <c r="CW62" s="20">
        <f t="shared" si="13"/>
        <v>556.69933909209135</v>
      </c>
      <c r="CX62" s="59">
        <f t="shared" si="14"/>
        <v>850.03267242542461</v>
      </c>
      <c r="CY62" s="59">
        <f ca="1">AVERAGE(OFFSET($CX$3,0,0,'Données projet'!$E$13+1,1))-AVERAGE(OFFSET($H$3,0,0,'Données projet'!$E$13+1,1))</f>
        <v>314.6300257056194</v>
      </c>
      <c r="CZ62" s="59">
        <f t="shared" si="42"/>
        <v>298.00555477466668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11.534973892442281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11.534973892442281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7.4</v>
      </c>
      <c r="DO62" s="12">
        <f>IF('Données projet'!$A$166&gt;35,DO61+DN62-DW61,IF(A62&lt;'Données projet'!$A$166,$DL$205^A62,IF(A62='Données projet'!$A$166,'Données projet'!$B$166,DO61+DN62-DW61)))</f>
        <v>323.59999999999974</v>
      </c>
      <c r="DP62" s="17">
        <f>DO62*VLOOKUP('Données projet'!$B$14,Paramètres!$A$1:$I$89,3,0)*VLOOKUP('Données projet'!$B$14,Paramètres!$A$1:$I$89,5,0)</f>
        <v>257.45615999999978</v>
      </c>
      <c r="DQ62" s="13">
        <f t="shared" si="43"/>
        <v>62.179824167708126</v>
      </c>
      <c r="DR62" s="20">
        <f t="shared" si="16"/>
        <v>556.69933909209135</v>
      </c>
      <c r="DS62" s="59">
        <f t="shared" si="17"/>
        <v>850.03267242542461</v>
      </c>
      <c r="DT62" s="59">
        <f ca="1">AVERAGE(OFFSET($DS$3,0,0,'Données projet'!$E$14+1,1))-AVERAGE(OFFSET($H$3,0,0,'Données projet'!$E$14+1,1))</f>
        <v>314.6300257056194</v>
      </c>
      <c r="DU62" s="59">
        <f t="shared" si="44"/>
        <v>298.00555477466668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11.534973892442281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11.534973892442281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>
        <f>VLOOKUP(A62,'Données projet'!$A$191:$I$211,2,0)</f>
        <v>380.79230769230765</v>
      </c>
      <c r="EH62" s="12">
        <f>VLOOKUP(A62,'Données projet'!$A$191:$I$211,9,0)</f>
        <v>18.026373626373623</v>
      </c>
      <c r="EI62" s="12">
        <f t="array" ref="EI62">INDEX(EH:EH,MIN(IF(ISNUMBER(EH62:EH258),ROW(EH62:EH258),"")))</f>
        <v>18.026373626373623</v>
      </c>
      <c r="EJ62" s="12">
        <f>IF('Données projet'!$A$192&gt;35,EJ61+EI62-ER61,IF(A62&lt;'Données projet'!$A$192,$EG$205^A62,IF(A62='Données projet'!$A$192,'Données projet'!$B$192,EJ61+EI62-ER61)))</f>
        <v>380.79230769230782</v>
      </c>
      <c r="EK62" s="17">
        <f>EJ62*VLOOKUP('Données projet'!$B$15,Paramètres!$A$1:$I$89,3,0)*VLOOKUP('Données projet'!$B$15,Paramètres!$A$1:$I$89,5,0)</f>
        <v>183.16110000000006</v>
      </c>
      <c r="EL62" s="13">
        <f t="shared" si="45"/>
        <v>46.024758509868249</v>
      </c>
      <c r="EM62" s="20">
        <f t="shared" si="19"/>
        <v>399.16537023802061</v>
      </c>
      <c r="EN62" s="59">
        <f t="shared" si="20"/>
        <v>692.49870357135387</v>
      </c>
      <c r="EO62" s="59">
        <f ca="1">AVERAGE(OFFSET($EN$3,0,0,'Données projet'!$E$15+1,1))-AVERAGE(OFFSET($H$3,0,0,'Données projet'!$E$15+1,1))</f>
        <v>238.83604534181978</v>
      </c>
      <c r="EP62" s="59">
        <f t="shared" si="46"/>
        <v>114.85152559837792</v>
      </c>
      <c r="EQ62" s="15">
        <f>IF(ISNA(VLOOKUP(A62,'Données projet'!$A$191:$I$211,3,0)),0,VLOOKUP(A62,'Données projet'!$A$191:$I$211,3,0))</f>
        <v>3</v>
      </c>
      <c r="ER62" s="15">
        <f>IF(ISNA(VLOOKUP(A62,'Données projet'!$A$191:$I$211,4,0)),0,VLOOKUP(A62,'Données projet'!$A$191:$I$211,4,0))</f>
        <v>93.91538461538461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5.4</v>
      </c>
      <c r="FE62" s="12">
        <f>IF('Données projet'!$A$218&gt;35,FE61+FD62-FM61,IF(A62&lt;'Données projet'!$A$218,$FB$205^A62,IF(A62='Données projet'!$A$218,'Données projet'!$B$218,FE61+FD62-FM61)))</f>
        <v>227.60000000000002</v>
      </c>
      <c r="FF62" s="17">
        <f>FE62*VLOOKUP('Données projet'!$B$16,Paramètres!$A$1:$I$89,3,0)*VLOOKUP('Données projet'!$B$16,Paramètres!$A$1:$I$89,5,0)</f>
        <v>184.62912000000003</v>
      </c>
      <c r="FG62" s="13">
        <f t="shared" si="47"/>
        <v>46.350553142543291</v>
      </c>
      <c r="FH62" s="20">
        <f t="shared" si="22"/>
        <v>402.28959738992967</v>
      </c>
      <c r="FI62" s="59">
        <f t="shared" si="23"/>
        <v>695.62293072326293</v>
      </c>
      <c r="FJ62" s="59">
        <f ca="1">AVERAGE(OFFSET($FI$3,0,0,'Données projet'!$E$16+1,1))-AVERAGE(OFFSET($H$3,0,0,'Données projet'!$E$16+1,1))</f>
        <v>196.95467273423861</v>
      </c>
      <c r="FK62" s="59">
        <f t="shared" si="48"/>
        <v>173.8709326829258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10.126902353708358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1.0428216761727838</v>
      </c>
      <c r="FT62" s="22">
        <f t="shared" si="24"/>
        <v>11.169724029881142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5.4</v>
      </c>
      <c r="FZ62" s="12">
        <f>IF('Données projet'!$A$244&gt;35,FZ61+FY62-GH61,IF(A62&lt;'Données projet'!$A$244,$FW$205^A62,IF(A62='Données projet'!$A$244,'Données projet'!$B$244,FZ61+FY62-GH61)))</f>
        <v>227.60000000000002</v>
      </c>
      <c r="GA62" s="17">
        <f>FZ62*VLOOKUP('Données projet'!$B$17,Paramètres!$A$1:$I$89,3,0)*VLOOKUP('Données projet'!$B$17,Paramètres!$A$1:$I$89,5,0)</f>
        <v>244.98864000000003</v>
      </c>
      <c r="GB62" s="13">
        <f t="shared" si="49"/>
        <v>59.511572158501735</v>
      </c>
      <c r="GC62" s="20">
        <f t="shared" si="25"/>
        <v>530.33786950939054</v>
      </c>
      <c r="GD62" s="59">
        <f t="shared" si="26"/>
        <v>823.67120284272391</v>
      </c>
      <c r="GE62" s="59">
        <f ca="1">AVERAGE(OFFSET($GD$3,0,0,'Données projet'!$E$17+1,1))-AVERAGE(OFFSET($H$3,0,0,'Données projet'!$E$17+1,1))</f>
        <v>275.5229427552884</v>
      </c>
      <c r="GF62" s="59">
        <f t="shared" si="50"/>
        <v>241.20234081716143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13.437620430882243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1.3837441472292704</v>
      </c>
      <c r="GO62" s="21">
        <f t="shared" si="27"/>
        <v>14.821364578111513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-1.2710188457276673E-13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274.57619581652199</v>
      </c>
      <c r="T63" s="59">
        <f t="shared" si="34"/>
        <v>366.15117322598775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 t="e">
        <f>EXP(-LN(2)/35)*Z62+(1-EXP(-LN(2)/35))/(LN(2)/35)*V63*W63*VLOOKUP('Données projet'!$B$9,Paramètres!$A$1:$I$89,3,0)*0.475*44/12</f>
        <v>#VALUE!</v>
      </c>
      <c r="AA63" s="21" t="e">
        <f>EXP(-LN(2)/25)*AA62+(1-EXP(-LN(2)/25))/(LN(2)/25)*Calculateur!V63*Calculateur!X63*VLOOKUP('Données projet'!$B$9,Paramètres!$A$1:$I$89,3,0)*0.475*44/12</f>
        <v>#VALUE!</v>
      </c>
      <c r="AB63" s="21" t="e">
        <f>EXP(-LN(2)/2)*AB62+(1-EXP(-LN(2)/2))/(LN(2)/2)*V63*Y63*VLOOKUP('Données projet'!$B$9,Paramètres!$A$1:$I$89,3,0)*0.475*44/12</f>
        <v>#VALUE!</v>
      </c>
      <c r="AC63" s="22" t="e">
        <f t="shared" si="3"/>
        <v>#VALUE!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304</v>
      </c>
      <c r="AG63" s="12">
        <f>VLOOKUP(A63,'Données projet'!$A$61:$I$81,9,0)</f>
        <v>9.75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304</v>
      </c>
      <c r="AJ63" s="13">
        <f>AI63*VLOOKUP('Données projet'!$B$10,Paramètres!$A$1:$I$89,3,0)*VLOOKUP('Données projet'!$B$10,Paramètres!$A$1:$I$89,5,0)</f>
        <v>189.696</v>
      </c>
      <c r="AK63" s="13">
        <f t="shared" si="35"/>
        <v>47.472736505152469</v>
      </c>
      <c r="AL63" s="20">
        <f t="shared" si="4"/>
        <v>413.06888274647389</v>
      </c>
      <c r="AM63" s="59">
        <f t="shared" si="5"/>
        <v>706.4022160798072</v>
      </c>
      <c r="AN63" s="59">
        <f ca="1">AVERAGE(OFFSET($AM$3,0,0,'Données projet'!$E$10+1,1))-AVERAGE(OFFSET($H$3,0,0,'Données projet'!$E$10+1,1))</f>
        <v>175.05987582828078</v>
      </c>
      <c r="AO63" s="59">
        <f t="shared" si="36"/>
        <v>268.54782308462387</v>
      </c>
      <c r="AP63" s="15" t="str">
        <f>IF(ISNA(VLOOKUP(A63,'Données projet'!$A$61:$I$81,3,0)),0,VLOOKUP(A63,'Données projet'!$A$61:$I$81,3,0))</f>
        <v>CR</v>
      </c>
      <c r="AQ63" s="15">
        <f>IF(ISNA(VLOOKUP(A63,'Données projet'!$A$61:$I$81,4,0)),0,VLOOKUP(A63,'Données projet'!$A$61:$I$81,4,0))</f>
        <v>304</v>
      </c>
      <c r="AR63" s="16">
        <f>IF(ISNA(VLOOKUP(A63,'Données projet'!$A$61:$I$81,5,0)),0%,VLOOKUP(A63,'Données projet'!$A$61:$I$81,5,0)*VLOOKUP('Données projet'!$B$10,Paramètres!$A$1:$I$89,7,0))</f>
        <v>0.42</v>
      </c>
      <c r="AS63" s="16">
        <f>IF(ISNA(VLOOKUP(A63,'Données projet'!$A$61:$I$81,6,0)),0%,VLOOKUP(A63,'Données projet'!$A$61:$I$81,6,0)*VLOOKUP('Données projet'!$B$10,Paramètres!$A$1:$I$89,7,0))</f>
        <v>0.1008</v>
      </c>
      <c r="AT63" s="16">
        <f>IF(ISNA(VLOOKUP(A63,'Données projet'!$A$61:$I$81,7,0)),0%,VLOOKUP(A63,'Données projet'!$A$61:$I$81,7,0))</f>
        <v>0.13200000000000001</v>
      </c>
      <c r="AU63" s="21">
        <f>EXP(-LN(2)/35)*AU62+(1-EXP(-LN(2)/35))/(LN(2)/35)*AQ63*AR63*VLOOKUP('Données projet'!$B$10,Paramètres!$A$1:$I$89,3,0)*0.475*44/12</f>
        <v>168.33283964341359</v>
      </c>
      <c r="AV63" s="21">
        <f>EXP(-LN(2)/25)*AV62+(1-EXP(-LN(2)/25))/(LN(2)/25)*Calculateur!AQ63*Calculateur!AS63*VLOOKUP('Données projet'!$B$10,Paramètres!$A$1:$I$89,3,0)*0.475*44/12</f>
        <v>42.146346908213971</v>
      </c>
      <c r="AW63" s="21">
        <f>EXP(-LN(2)/2)*AW62+(1-EXP(-LN(2)/2))/(LN(2)/2)*AQ63*AT63*VLOOKUP('Données projet'!$B$10,Paramètres!$A$1:$I$89,3,0)*0.475*44/12</f>
        <v>28.45945927421841</v>
      </c>
      <c r="AX63" s="21">
        <f t="shared" si="6"/>
        <v>238.93864582584595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402.82080000000002</v>
      </c>
      <c r="BB63" s="12">
        <f>VLOOKUP(A63,'Données projet'!$A$87:$I$107,9,0)</f>
        <v>13.5</v>
      </c>
      <c r="BC63" s="12">
        <f t="array" ref="BC63">INDEX(BB:BB,MIN(IF(ISNUMBER(BB63:BB259),ROW(BB63:BB259),"")))</f>
        <v>13.5</v>
      </c>
      <c r="BD63" s="12">
        <f>IF('Données projet'!$A$88&gt;35,BD62+BC63-BL62,IF(A63&lt;'Données projet'!$A$88,$BA$205^A63,IF(A63='Données projet'!$A$88,'Données projet'!$B$88,BD62+BC63-BL62)))</f>
        <v>402.82079999999991</v>
      </c>
      <c r="BE63" s="13">
        <f>BD63*VLOOKUP('Données projet'!$B$11,Paramètres!$A$1:$I$89,3,0)*VLOOKUP('Données projet'!$B$11,Paramètres!$A$1:$I$89,5,0)</f>
        <v>188.52013439999993</v>
      </c>
      <c r="BF63" s="13">
        <f t="shared" si="37"/>
        <v>47.21262683537536</v>
      </c>
      <c r="BG63" s="20">
        <f t="shared" si="7"/>
        <v>410.56789248494528</v>
      </c>
      <c r="BH63" s="59">
        <f t="shared" si="8"/>
        <v>703.90122581827859</v>
      </c>
      <c r="BI63" s="59">
        <f ca="1">AVERAGE(OFFSET($BH$3,0,0,'Données projet'!$E$11+1,1))-AVERAGE(OFFSET($H$3,0,0,'Données projet'!$E$11+1,1))</f>
        <v>252.70779718608964</v>
      </c>
      <c r="BJ63" s="59">
        <f t="shared" si="38"/>
        <v>187.86969111712705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80.564160000000015</v>
      </c>
      <c r="BM63" s="16">
        <f>IF(ISNA(VLOOKUP(A63,'Données projet'!$A$87:$I$107,5,0)),0%,VLOOKUP(A63,'Données projet'!$A$87:$I$107,5,0)*VLOOKUP('Données projet'!$B$11,Paramètres!$A$1:$I$89,7,0))</f>
        <v>0.38500000000000001</v>
      </c>
      <c r="BN63" s="16">
        <f>IF(ISNA(VLOOKUP(A63,'Données projet'!$A$87:$I$107,6,0)),0%,VLOOKUP(A63,'Données projet'!$A$87:$I$107,6,0)*VLOOKUP('Données projet'!$B$11,Paramètres!$A$1:$I$89,7,0))</f>
        <v>9.240000000000001E-2</v>
      </c>
      <c r="BO63" s="16">
        <f>IF(ISNA(VLOOKUP(A63,'Données projet'!$A$87:$I$107,7,0)),0%,VLOOKUP(A63,'Données projet'!$A$87:$I$107,7,0))</f>
        <v>0.13200000000000001</v>
      </c>
      <c r="BP63" s="21">
        <f>EXP(-LN(2)/35)*BP62+(1-EXP(-LN(2)/35))/(LN(2)/35)*BL63*BM63*VLOOKUP('Données projet'!$B$11,Paramètres!$A$1:$I$89,3,0)*0.475*44/12</f>
        <v>46.986092291679327</v>
      </c>
      <c r="BQ63" s="21">
        <f>EXP(-LN(2)/25)*BQ62+(1-EXP(-LN(2)/25))/(LN(2)/25)*Calculateur!BL63*Calculateur!BN63*VLOOKUP('Données projet'!$B$11,Paramètres!$A$1:$I$89,3,0)*0.475*44/12</f>
        <v>12.37766236186031</v>
      </c>
      <c r="BR63" s="21">
        <f>EXP(-LN(2)/2)*BR62+(1-EXP(-LN(2)/2))/(LN(2)/2)*BL63*BO63*VLOOKUP('Données projet'!$B$11,Paramètres!$A$1:$I$89,3,0)*0.475*44/12</f>
        <v>5.7852448447693945</v>
      </c>
      <c r="BS63" s="22">
        <f t="shared" si="9"/>
        <v>65.148999498309024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500</v>
      </c>
      <c r="BW63" s="12">
        <f>VLOOKUP(A63,'Données projet'!$A$113:$I$133,9,0)</f>
        <v>17</v>
      </c>
      <c r="BX63" s="12">
        <f t="array" ref="BX63">INDEX(BW:BW,MIN(IF(ISNUMBER(BW63:BW259),ROW(BW63:BW259),"")))</f>
        <v>17</v>
      </c>
      <c r="BY63" s="12">
        <f>IF('Données projet'!$A$114&gt;35,BY62+BX63-CG62,IF(A63&lt;'Données projet'!$A$114,$BV$205^A63,IF(A63='Données projet'!$A$114,'Données projet'!$B$114,BY62+BX63-CG62)))</f>
        <v>499.99999999999989</v>
      </c>
      <c r="BZ63" s="13">
        <f>BY63*VLOOKUP('Données projet'!$B$12,Paramètres!$A$1:$I$89,3,0)*VLOOKUP('Données projet'!$B$12,Paramètres!$A$1:$I$89,5,0)</f>
        <v>299</v>
      </c>
      <c r="CA63" s="13">
        <f t="shared" si="39"/>
        <v>70.966784344875109</v>
      </c>
      <c r="CB63" s="20">
        <f t="shared" si="10"/>
        <v>644.35881606732414</v>
      </c>
      <c r="CC63" s="59">
        <f t="shared" si="11"/>
        <v>937.6921494006574</v>
      </c>
      <c r="CD63" s="59">
        <f ca="1">AVERAGE(OFFSET($CC$3,0,0,'Données projet'!$E$12+1,1))-AVERAGE(OFFSET($H$3,0,0,'Données projet'!$E$12+1,1))</f>
        <v>279.86432710889352</v>
      </c>
      <c r="CE63" s="59">
        <f t="shared" si="40"/>
        <v>297.01680128882509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32</v>
      </c>
      <c r="CH63" s="16">
        <f>IF(ISNA(VLOOKUP(A63,'Données projet'!$A$113:$I$133,5,0)),0%,VLOOKUP(A63,'Données projet'!$A$113:$I$133,5,0)*VLOOKUP('Données projet'!$B$12,Paramètres!$A$1:$I$89,7,0))</f>
        <v>0.22500000000000001</v>
      </c>
      <c r="CI63" s="16">
        <f>IF(ISNA(VLOOKUP(A63,'Données projet'!$A$113:$I$133,6,0)),0%,VLOOKUP(A63,'Données projet'!$A$113:$I$133,6,0)*VLOOKUP('Données projet'!$B$12,Paramètres!$A$1:$I$89,7,0))</f>
        <v>0.13500000000000001</v>
      </c>
      <c r="CJ63" s="16">
        <f>IF(ISNA(VLOOKUP(A63,'Données projet'!$A$113:$I$133,7,0)),0%,VLOOKUP(A63,'Données projet'!$A$113:$I$133,7,0))</f>
        <v>0.2</v>
      </c>
      <c r="CK63" s="21">
        <f>EXP(-LN(2)/35)*CK62+(1-EXP(-LN(2)/35))/(LN(2)/35)*CG63*CH63*VLOOKUP('Données projet'!$B$12,Paramètres!$A$1:$I$89,3,0)*0.475*44/12</f>
        <v>17.520260621018931</v>
      </c>
      <c r="CL63" s="21">
        <f>EXP(-LN(2)/25)*CL62+(1-EXP(-LN(2)/25))/(LN(2)/25)*Calculateur!CG63*Calculateur!CI63*VLOOKUP('Données projet'!$B$12,Paramètres!$A$1:$I$89,3,0)*0.475*44/12</f>
        <v>41.472097365590116</v>
      </c>
      <c r="CM63" s="21">
        <f>EXP(-LN(2)/2)*CM62+(1-EXP(-LN(2)/2))/(LN(2)/2)*CG63*CJ63*VLOOKUP('Données projet'!$B$12,Paramètres!$A$1:$I$89,3,0)*0.475*44/12</f>
        <v>6.4562176132334352</v>
      </c>
      <c r="CN63" s="22">
        <f t="shared" si="12"/>
        <v>65.448575599842485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343</v>
      </c>
      <c r="CR63" s="12">
        <f>VLOOKUP(A63,'Données projet'!$A$139:$I$159,9,0)</f>
        <v>7.4</v>
      </c>
      <c r="CS63" s="12">
        <f t="array" ref="CS63">INDEX(CR:CR,MIN(IF(ISNUMBER(CR63:CR259),ROW(CR63:CR259),"")))</f>
        <v>7.4</v>
      </c>
      <c r="CT63" s="12">
        <f>IF('Données projet'!$A$140&gt;35,CT62+CS63-DB62,IF(A63&lt;'Données projet'!$A$140,$CQ$205^A63,IF(A63='Données projet'!$A$140,'Données projet'!$B$140,CT62+CS63-DB62)))</f>
        <v>330.99999999999972</v>
      </c>
      <c r="CU63" s="17">
        <f>CT63*VLOOKUP('Données projet'!$B$13,Paramètres!$A$1:$I$89,3,0)*VLOOKUP('Données projet'!$B$13,Paramètres!$A$1:$I$89,5,0)</f>
        <v>263.34359999999981</v>
      </c>
      <c r="CV63" s="13">
        <f t="shared" si="41"/>
        <v>63.434567456819053</v>
      </c>
      <c r="CW63" s="20">
        <f t="shared" si="13"/>
        <v>569.13864165395955</v>
      </c>
      <c r="CX63" s="59">
        <f t="shared" si="14"/>
        <v>862.47197498729292</v>
      </c>
      <c r="CY63" s="59">
        <f ca="1">AVERAGE(OFFSET($CX$3,0,0,'Données projet'!$E$13+1,1))-AVERAGE(OFFSET($H$3,0,0,'Données projet'!$E$13+1,1))</f>
        <v>314.6300257056194</v>
      </c>
      <c r="CZ63" s="59">
        <f t="shared" si="42"/>
        <v>298.00555477466668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17</v>
      </c>
      <c r="DC63" s="16">
        <f>IF(ISNA(VLOOKUP(A63,'Données projet'!$A$139:$I$159,5,0)),0%,VLOOKUP(A63,'Données projet'!$A$139:$I$159,5,0)*VLOOKUP('Données projet'!$B$13,Paramètres!$A$1:$I$89,7,0))</f>
        <v>0.21200000000000002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14.478542181229772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14.478542181229772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343</v>
      </c>
      <c r="DM63" s="12">
        <f>VLOOKUP(A63,'Données projet'!$A$165:$I$185,9,0)</f>
        <v>7.4</v>
      </c>
      <c r="DN63" s="12">
        <f t="array" ref="DN63">INDEX(DM:DM,MIN(IF(ISNUMBER(DM63:DM259),ROW(DM63:DM259),"")))</f>
        <v>7.4</v>
      </c>
      <c r="DO63" s="12">
        <f>IF('Données projet'!$A$166&gt;35,DO62+DN63-DW62,IF(A63&lt;'Données projet'!$A$166,$DL$205^A63,IF(A63='Données projet'!$A$166,'Données projet'!$B$166,DO62+DN63-DW62)))</f>
        <v>330.99999999999972</v>
      </c>
      <c r="DP63" s="17">
        <f>DO63*VLOOKUP('Données projet'!$B$14,Paramètres!$A$1:$I$89,3,0)*VLOOKUP('Données projet'!$B$14,Paramètres!$A$1:$I$89,5,0)</f>
        <v>263.34359999999981</v>
      </c>
      <c r="DQ63" s="13">
        <f t="shared" si="43"/>
        <v>63.434567456819053</v>
      </c>
      <c r="DR63" s="20">
        <f t="shared" si="16"/>
        <v>569.13864165395955</v>
      </c>
      <c r="DS63" s="59">
        <f t="shared" si="17"/>
        <v>862.47197498729292</v>
      </c>
      <c r="DT63" s="59">
        <f ca="1">AVERAGE(OFFSET($DS$3,0,0,'Données projet'!$E$14+1,1))-AVERAGE(OFFSET($H$3,0,0,'Données projet'!$E$14+1,1))</f>
        <v>314.6300257056194</v>
      </c>
      <c r="DU63" s="59">
        <f t="shared" si="44"/>
        <v>298.00555477466668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17</v>
      </c>
      <c r="DX63" s="16">
        <f>IF(ISNA(VLOOKUP(A63,'Données projet'!$A$165:$I$185,5,0)),0%,VLOOKUP(A63,'Données projet'!$A$165:$I$185,5,0)*VLOOKUP('Données projet'!$B$14,Paramètres!$A$1:$I$89,7,0))</f>
        <v>0.21200000000000002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14.478542181229772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14.478542181229772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16.776923076923083</v>
      </c>
      <c r="EJ63" s="12">
        <f>IF('Données projet'!$A$192&gt;35,EJ62+EI63-ER62,IF(A63&lt;'Données projet'!$A$192,$EG$205^A63,IF(A63='Données projet'!$A$192,'Données projet'!$B$192,EJ62+EI63-ER62)))</f>
        <v>303.6538461538463</v>
      </c>
      <c r="EK63" s="17">
        <f>EJ63*VLOOKUP('Données projet'!$B$15,Paramètres!$A$1:$I$89,3,0)*VLOOKUP('Données projet'!$B$15,Paramètres!$A$1:$I$89,5,0)</f>
        <v>146.05750000000006</v>
      </c>
      <c r="EL63" s="13">
        <f t="shared" si="45"/>
        <v>37.681254232679713</v>
      </c>
      <c r="EM63" s="20">
        <f t="shared" si="19"/>
        <v>320.01166362191731</v>
      </c>
      <c r="EN63" s="59">
        <f t="shared" si="20"/>
        <v>613.34499695525062</v>
      </c>
      <c r="EO63" s="59">
        <f ca="1">AVERAGE(OFFSET($EN$3,0,0,'Données projet'!$E$15+1,1))-AVERAGE(OFFSET($H$3,0,0,'Données projet'!$E$15+1,1))</f>
        <v>238.83604534181978</v>
      </c>
      <c r="EP63" s="59">
        <f t="shared" si="46"/>
        <v>114.85152559837792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233</v>
      </c>
      <c r="FC63" s="12">
        <f>VLOOKUP(A63,'Données projet'!$A$217:$I$237,9,0)</f>
        <v>5.4</v>
      </c>
      <c r="FD63" s="12">
        <f t="array" ref="FD63">INDEX(FC:FC,MIN(IF(ISNUMBER(FC63:FC259),ROW(FC63:FC259),"")))</f>
        <v>5.4</v>
      </c>
      <c r="FE63" s="12">
        <f>IF('Données projet'!$A$218&gt;35,FE62+FD63-FM62,IF(A63&lt;'Données projet'!$A$218,$FB$205^A63,IF(A63='Données projet'!$A$218,'Données projet'!$B$218,FE62+FD63-FM62)))</f>
        <v>233.00000000000003</v>
      </c>
      <c r="FF63" s="17">
        <f>FE63*VLOOKUP('Données projet'!$B$16,Paramètres!$A$1:$I$89,3,0)*VLOOKUP('Données projet'!$B$16,Paramètres!$A$1:$I$89,5,0)</f>
        <v>189.00960000000003</v>
      </c>
      <c r="FG63" s="13">
        <f t="shared" si="47"/>
        <v>47.320922915876508</v>
      </c>
      <c r="FH63" s="20">
        <f t="shared" si="22"/>
        <v>411.60899407848501</v>
      </c>
      <c r="FI63" s="59">
        <f t="shared" si="23"/>
        <v>704.94232741181827</v>
      </c>
      <c r="FJ63" s="59">
        <f ca="1">AVERAGE(OFFSET($FI$3,0,0,'Données projet'!$E$16+1,1))-AVERAGE(OFFSET($H$3,0,0,'Données projet'!$E$16+1,1))</f>
        <v>196.95467273423861</v>
      </c>
      <c r="FK63" s="59">
        <f t="shared" si="48"/>
        <v>173.8709326829258</v>
      </c>
      <c r="FL63" s="15">
        <f>IF(ISNA(VLOOKUP(A63,'Données projet'!$A$217:$I$237,3,0)),0,VLOOKUP(A63,'Données projet'!$A$217:$I$237,3,0))</f>
        <v>9</v>
      </c>
      <c r="FM63" s="15">
        <f>IF(ISNA(VLOOKUP(A63,'Données projet'!$A$217:$I$237,4,0)),0,VLOOKUP(A63,'Données projet'!$A$217:$I$237,4,0))</f>
        <v>12</v>
      </c>
      <c r="FN63" s="16">
        <f>IF(ISNA(VLOOKUP(A63,'Données projet'!$A$217:$I$237,5,0)),0%,VLOOKUP(A63,'Données projet'!$A$217:$I$237,5,0)*VLOOKUP('Données projet'!$B$16,Paramètres!$A$1:$I$89,7,0))</f>
        <v>0.215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0.3</v>
      </c>
      <c r="FQ63" s="21">
        <f>EXP(-LN(2)/35)*FQ62+(1-EXP(-LN(2)/35))/(LN(2)/35)*FM63*FN63*VLOOKUP('Données projet'!$B$16,Paramètres!$A$1:$I$89,3,0)*0.475*44/12</f>
        <v>12.241954510795658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3.4927867980505045</v>
      </c>
      <c r="FT63" s="22">
        <f t="shared" si="24"/>
        <v>15.734741308846163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233</v>
      </c>
      <c r="FX63" s="12">
        <f>VLOOKUP(A63,'Données projet'!$A$243:$I$263,9,0)</f>
        <v>5.4</v>
      </c>
      <c r="FY63" s="12">
        <f t="array" ref="FY63">INDEX(FX:FX,MIN(IF(ISNUMBER(FX63:FX259),ROW(FX63:FX259),"")))</f>
        <v>5.4</v>
      </c>
      <c r="FZ63" s="12">
        <f>IF('Données projet'!$A$244&gt;35,FZ62+FY63-GH62,IF(A63&lt;'Données projet'!$A$244,$FW$205^A63,IF(A63='Données projet'!$A$244,'Données projet'!$B$244,FZ62+FY63-GH62)))</f>
        <v>233.00000000000003</v>
      </c>
      <c r="GA63" s="17">
        <f>FZ63*VLOOKUP('Données projet'!$B$17,Paramètres!$A$1:$I$89,3,0)*VLOOKUP('Données projet'!$B$17,Paramètres!$A$1:$I$89,5,0)</f>
        <v>250.80120000000002</v>
      </c>
      <c r="GB63" s="13">
        <f t="shared" si="49"/>
        <v>60.757473811682686</v>
      </c>
      <c r="GC63" s="20">
        <f t="shared" si="25"/>
        <v>542.63135688868067</v>
      </c>
      <c r="GD63" s="59">
        <f t="shared" si="26"/>
        <v>835.96469022201404</v>
      </c>
      <c r="GE63" s="59">
        <f ca="1">AVERAGE(OFFSET($GD$3,0,0,'Données projet'!$E$17+1,1))-AVERAGE(OFFSET($H$3,0,0,'Données projet'!$E$17+1,1))</f>
        <v>275.5229427552884</v>
      </c>
      <c r="GF63" s="59">
        <f t="shared" si="50"/>
        <v>241.20234081716143</v>
      </c>
      <c r="GG63" s="15">
        <f>IF(ISNA(VLOOKUP(A63,'Données projet'!$A$243:$I$263,3,0)),0,VLOOKUP(A63,'Données projet'!$A$243:$I$263,3,0))</f>
        <v>9</v>
      </c>
      <c r="GH63" s="15">
        <f>IF(ISNA(VLOOKUP(A63,'Données projet'!$A$243:$I$263,4,0)),0,VLOOKUP(A63,'Données projet'!$A$243:$I$263,4,0))</f>
        <v>12</v>
      </c>
      <c r="GI63" s="16">
        <f>IF(ISNA(VLOOKUP(A63,'Données projet'!$A$243:$I$263,5,0)),0%,VLOOKUP(A63,'Données projet'!$A$243:$I$263,5,0)*VLOOKUP('Données projet'!$B$17,Paramètres!$A$1:$I$89,7,0))</f>
        <v>0.215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0.3</v>
      </c>
      <c r="GL63" s="21">
        <f>EXP(-LN(2)/35)*GL62+(1-EXP(-LN(2)/35))/(LN(2)/35)*GH63*GI63*VLOOKUP('Données projet'!$B$17,Paramètres!$A$1:$I$89,3,0)*0.475*44/12</f>
        <v>16.244131947017312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4.6346594051054764</v>
      </c>
      <c r="GO63" s="21">
        <f t="shared" si="27"/>
        <v>20.878791352122789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274.57619581652199</v>
      </c>
      <c r="T64" s="59">
        <f t="shared" si="34"/>
        <v>366.15117322598775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 t="e">
        <f>EXP(-LN(2)/35)*Z63+(1-EXP(-LN(2)/35))/(LN(2)/35)*V64*W64*VLOOKUP('Données projet'!$B$9,Paramètres!$A$1:$I$89,3,0)*0.475*44/12</f>
        <v>#VALUE!</v>
      </c>
      <c r="AA64" s="21" t="e">
        <f>EXP(-LN(2)/25)*AA63+(1-EXP(-LN(2)/25))/(LN(2)/25)*Calculateur!V64*Calculateur!X64*VLOOKUP('Données projet'!$B$9,Paramètres!$A$1:$I$89,3,0)*0.475*44/12</f>
        <v>#VALUE!</v>
      </c>
      <c r="AB64" s="21" t="e">
        <f>EXP(-LN(2)/2)*AB63+(1-EXP(-LN(2)/2))/(LN(2)/2)*V64*Y64*VLOOKUP('Données projet'!$B$9,Paramètres!$A$1:$I$89,3,0)*0.475*44/12</f>
        <v>#VALUE!</v>
      </c>
      <c r="AC64" s="22" t="e">
        <f t="shared" si="3"/>
        <v>#VALUE!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175.05987582828078</v>
      </c>
      <c r="AO64" s="59">
        <f t="shared" si="36"/>
        <v>268.54782308462387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165.03193533090032</v>
      </c>
      <c r="AV64" s="21">
        <f>EXP(-LN(2)/25)*AV63+(1-EXP(-LN(2)/25))/(LN(2)/25)*Calculateur!AQ64*Calculateur!AS64*VLOOKUP('Données projet'!$B$10,Paramètres!$A$1:$I$89,3,0)*0.475*44/12</f>
        <v>40.9938528356288</v>
      </c>
      <c r="AW64" s="21">
        <f>EXP(-LN(2)/2)*AW63+(1-EXP(-LN(2)/2))/(LN(2)/2)*AQ64*AT64*VLOOKUP('Données projet'!$B$10,Paramètres!$A$1:$I$89,3,0)*0.475*44/12</f>
        <v>20.123876641702221</v>
      </c>
      <c r="AX64" s="21">
        <f t="shared" si="6"/>
        <v>226.14966480823136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15.5</v>
      </c>
      <c r="BD64" s="12">
        <f>IF('Données projet'!$A$88&gt;35,BD63+BC64-BL63,IF(A64&lt;'Données projet'!$A$88,$BA$205^A64,IF(A64='Données projet'!$A$88,'Données projet'!$B$88,BD63+BC64-BL63)))</f>
        <v>337.75663999999989</v>
      </c>
      <c r="BE64" s="13">
        <f>BD64*VLOOKUP('Données projet'!$B$11,Paramètres!$A$1:$I$89,3,0)*VLOOKUP('Données projet'!$B$11,Paramètres!$A$1:$I$89,5,0)</f>
        <v>158.07010751999994</v>
      </c>
      <c r="BF64" s="13">
        <f t="shared" si="37"/>
        <v>40.406915815703918</v>
      </c>
      <c r="BG64" s="20">
        <f t="shared" si="7"/>
        <v>345.68081564301752</v>
      </c>
      <c r="BH64" s="59">
        <f t="shared" si="8"/>
        <v>639.01414897635084</v>
      </c>
      <c r="BI64" s="59">
        <f ca="1">AVERAGE(OFFSET($BH$3,0,0,'Données projet'!$E$11+1,1))-AVERAGE(OFFSET($H$3,0,0,'Données projet'!$E$11+1,1))</f>
        <v>252.70779718608964</v>
      </c>
      <c r="BJ64" s="59">
        <f t="shared" si="38"/>
        <v>187.86969111712705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46.064723680525987</v>
      </c>
      <c r="BQ64" s="21">
        <f>EXP(-LN(2)/25)*BQ63+(1-EXP(-LN(2)/25))/(LN(2)/25)*Calculateur!BL64*Calculateur!BN64*VLOOKUP('Données projet'!$B$11,Paramètres!$A$1:$I$89,3,0)*0.475*44/12</f>
        <v>12.039194533662265</v>
      </c>
      <c r="BR64" s="21">
        <f>EXP(-LN(2)/2)*BR63+(1-EXP(-LN(2)/2))/(LN(2)/2)*BL64*BO64*VLOOKUP('Données projet'!$B$11,Paramètres!$A$1:$I$89,3,0)*0.475*44/12</f>
        <v>4.0907858605609544</v>
      </c>
      <c r="BS64" s="22">
        <f t="shared" si="9"/>
        <v>62.194704074749211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17.399999999999999</v>
      </c>
      <c r="BY64" s="12">
        <f>IF('Données projet'!$A$114&gt;35,BY63+BX64-CG63,IF(A64&lt;'Données projet'!$A$114,$BV$205^A64,IF(A64='Données projet'!$A$114,'Données projet'!$B$114,BY63+BX64-CG63)))</f>
        <v>485.39999999999986</v>
      </c>
      <c r="BZ64" s="13">
        <f>BY64*VLOOKUP('Données projet'!$B$12,Paramètres!$A$1:$I$89,3,0)*VLOOKUP('Données projet'!$B$12,Paramètres!$A$1:$I$89,5,0)</f>
        <v>290.2691999999999</v>
      </c>
      <c r="CA64" s="13">
        <f t="shared" si="39"/>
        <v>69.13261576818384</v>
      </c>
      <c r="CB64" s="20">
        <f t="shared" si="10"/>
        <v>625.95816246291997</v>
      </c>
      <c r="CC64" s="59">
        <f t="shared" si="11"/>
        <v>919.29149579625323</v>
      </c>
      <c r="CD64" s="59">
        <f ca="1">AVERAGE(OFFSET($CC$3,0,0,'Données projet'!$E$12+1,1))-AVERAGE(OFFSET($H$3,0,0,'Données projet'!$E$12+1,1))</f>
        <v>279.86432710889352</v>
      </c>
      <c r="CE64" s="59">
        <f t="shared" si="40"/>
        <v>297.01680128882509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17.176698996544545</v>
      </c>
      <c r="CL64" s="21">
        <f>EXP(-LN(2)/25)*CL63+(1-EXP(-LN(2)/25))/(LN(2)/25)*Calculateur!CG64*Calculateur!CI64*VLOOKUP('Données projet'!$B$12,Paramètres!$A$1:$I$89,3,0)*0.475*44/12</f>
        <v>40.338040682205239</v>
      </c>
      <c r="CM64" s="21">
        <f>EXP(-LN(2)/2)*CM63+(1-EXP(-LN(2)/2))/(LN(2)/2)*CG64*CJ64*VLOOKUP('Données projet'!$B$12,Paramètres!$A$1:$I$89,3,0)*0.475*44/12</f>
        <v>4.5652352551333895</v>
      </c>
      <c r="CN64" s="22">
        <f t="shared" si="12"/>
        <v>62.079974933883172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</v>
      </c>
      <c r="CT64" s="12">
        <f>IF('Données projet'!$A$140&gt;35,CT63+CS64-DB63,IF(A64&lt;'Données projet'!$A$140,$CQ$205^A64,IF(A64='Données projet'!$A$140,'Données projet'!$B$140,CT63+CS64-DB63)))</f>
        <v>319.99999999999972</v>
      </c>
      <c r="CU64" s="17">
        <f>CT64*VLOOKUP('Données projet'!$B$13,Paramètres!$A$1:$I$89,3,0)*VLOOKUP('Données projet'!$B$13,Paramètres!$A$1:$I$89,5,0)</f>
        <v>254.59199999999976</v>
      </c>
      <c r="CV64" s="13">
        <f t="shared" si="41"/>
        <v>61.568204482621567</v>
      </c>
      <c r="CW64" s="20">
        <f t="shared" si="13"/>
        <v>550.64568947389887</v>
      </c>
      <c r="CX64" s="59">
        <f t="shared" si="14"/>
        <v>843.97902280723224</v>
      </c>
      <c r="CY64" s="59">
        <f ca="1">AVERAGE(OFFSET($CX$3,0,0,'Données projet'!$E$13+1,1))-AVERAGE(OFFSET($H$3,0,0,'Données projet'!$E$13+1,1))</f>
        <v>314.6300257056194</v>
      </c>
      <c r="CZ64" s="59">
        <f t="shared" si="42"/>
        <v>298.00555477466668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14.194626800094595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14.194626800094595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</v>
      </c>
      <c r="DO64" s="12">
        <f>IF('Données projet'!$A$166&gt;35,DO63+DN64-DW63,IF(A64&lt;'Données projet'!$A$166,$DL$205^A64,IF(A64='Données projet'!$A$166,'Données projet'!$B$166,DO63+DN64-DW63)))</f>
        <v>319.99999999999972</v>
      </c>
      <c r="DP64" s="17">
        <f>DO64*VLOOKUP('Données projet'!$B$14,Paramètres!$A$1:$I$89,3,0)*VLOOKUP('Données projet'!$B$14,Paramètres!$A$1:$I$89,5,0)</f>
        <v>254.59199999999976</v>
      </c>
      <c r="DQ64" s="13">
        <f t="shared" si="43"/>
        <v>61.568204482621567</v>
      </c>
      <c r="DR64" s="20">
        <f t="shared" si="16"/>
        <v>550.64568947389887</v>
      </c>
      <c r="DS64" s="59">
        <f t="shared" si="17"/>
        <v>843.97902280723224</v>
      </c>
      <c r="DT64" s="59">
        <f ca="1">AVERAGE(OFFSET($DS$3,0,0,'Données projet'!$E$14+1,1))-AVERAGE(OFFSET($H$3,0,0,'Données projet'!$E$14+1,1))</f>
        <v>314.6300257056194</v>
      </c>
      <c r="DU64" s="59">
        <f t="shared" si="44"/>
        <v>298.00555477466668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14.194626800094595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14.194626800094595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16.776923076923083</v>
      </c>
      <c r="EJ64" s="12">
        <f>IF('Données projet'!$A$192&gt;35,EJ63+EI64-ER63,IF(A64&lt;'Données projet'!$A$192,$EG$205^A64,IF(A64='Données projet'!$A$192,'Données projet'!$B$192,EJ63+EI64-ER63)))</f>
        <v>320.43076923076939</v>
      </c>
      <c r="EK64" s="17">
        <f>EJ64*VLOOKUP('Données projet'!$B$15,Paramètres!$A$1:$I$89,3,0)*VLOOKUP('Données projet'!$B$15,Paramètres!$A$1:$I$89,5,0)</f>
        <v>154.12720000000007</v>
      </c>
      <c r="EL64" s="13">
        <f t="shared" si="45"/>
        <v>39.51501984603378</v>
      </c>
      <c r="EM64" s="20">
        <f t="shared" si="19"/>
        <v>337.26019956517558</v>
      </c>
      <c r="EN64" s="59">
        <f t="shared" si="20"/>
        <v>630.5935328985089</v>
      </c>
      <c r="EO64" s="59">
        <f ca="1">AVERAGE(OFFSET($EN$3,0,0,'Données projet'!$E$15+1,1))-AVERAGE(OFFSET($H$3,0,0,'Données projet'!$E$15+1,1))</f>
        <v>238.83604534181978</v>
      </c>
      <c r="EP64" s="59">
        <f t="shared" si="46"/>
        <v>114.85152559837792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4.5999999999999996</v>
      </c>
      <c r="FE64" s="12">
        <f>IF('Données projet'!$A$218&gt;35,FE63+FD64-FM63,IF(A64&lt;'Données projet'!$A$218,$FB$205^A64,IF(A64='Données projet'!$A$218,'Données projet'!$B$218,FE63+FD64-FM63)))</f>
        <v>225.60000000000002</v>
      </c>
      <c r="FF64" s="17">
        <f>FE64*VLOOKUP('Données projet'!$B$16,Paramètres!$A$1:$I$89,3,0)*VLOOKUP('Données projet'!$B$16,Paramètres!$A$1:$I$89,5,0)</f>
        <v>183.00672000000003</v>
      </c>
      <c r="FG64" s="13">
        <f t="shared" si="47"/>
        <v>45.990479653087696</v>
      </c>
      <c r="FH64" s="20">
        <f t="shared" si="22"/>
        <v>398.83678939579448</v>
      </c>
      <c r="FI64" s="59">
        <f t="shared" si="23"/>
        <v>692.1701227291278</v>
      </c>
      <c r="FJ64" s="59">
        <f ca="1">AVERAGE(OFFSET($FI$3,0,0,'Données projet'!$E$16+1,1))-AVERAGE(OFFSET($H$3,0,0,'Données projet'!$E$16+1,1))</f>
        <v>196.95467273423861</v>
      </c>
      <c r="FK64" s="59">
        <f t="shared" si="48"/>
        <v>173.8709326829258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12.001897249693917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2.4697732301403601</v>
      </c>
      <c r="FT64" s="22">
        <f t="shared" si="24"/>
        <v>14.471670479834277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4.5999999999999996</v>
      </c>
      <c r="FZ64" s="12">
        <f>IF('Données projet'!$A$244&gt;35,FZ63+FY64-GH63,IF(A64&lt;'Données projet'!$A$244,$FW$205^A64,IF(A64='Données projet'!$A$244,'Données projet'!$B$244,FZ63+FY64-GH63)))</f>
        <v>225.60000000000002</v>
      </c>
      <c r="GA64" s="17">
        <f>FZ64*VLOOKUP('Données projet'!$B$17,Paramètres!$A$1:$I$89,3,0)*VLOOKUP('Données projet'!$B$17,Paramètres!$A$1:$I$89,5,0)</f>
        <v>242.83584000000002</v>
      </c>
      <c r="GB64" s="13">
        <f t="shared" si="49"/>
        <v>59.049257515045376</v>
      </c>
      <c r="GC64" s="20">
        <f t="shared" si="25"/>
        <v>525.78321150537079</v>
      </c>
      <c r="GD64" s="59">
        <f t="shared" si="26"/>
        <v>819.11654483870416</v>
      </c>
      <c r="GE64" s="59">
        <f ca="1">AVERAGE(OFFSET($GD$3,0,0,'Données projet'!$E$17+1,1))-AVERAGE(OFFSET($H$3,0,0,'Données projet'!$E$17+1,1))</f>
        <v>275.5229427552884</v>
      </c>
      <c r="GF64" s="59">
        <f t="shared" si="50"/>
        <v>241.20234081716143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15.925594427478462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3.277199093840093</v>
      </c>
      <c r="GO64" s="21">
        <f t="shared" si="27"/>
        <v>19.202793521318554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274.57619581652199</v>
      </c>
      <c r="T65" s="59">
        <f t="shared" si="34"/>
        <v>366.15117322598775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 t="e">
        <f>EXP(-LN(2)/35)*Z64+(1-EXP(-LN(2)/35))/(LN(2)/35)*V65*W65*VLOOKUP('Données projet'!$B$9,Paramètres!$A$1:$I$89,3,0)*0.475*44/12</f>
        <v>#VALUE!</v>
      </c>
      <c r="AA65" s="21" t="e">
        <f>EXP(-LN(2)/25)*AA64+(1-EXP(-LN(2)/25))/(LN(2)/25)*Calculateur!V65*Calculateur!X65*VLOOKUP('Données projet'!$B$9,Paramètres!$A$1:$I$89,3,0)*0.475*44/12</f>
        <v>#VALUE!</v>
      </c>
      <c r="AB65" s="21" t="e">
        <f>EXP(-LN(2)/2)*AB64+(1-EXP(-LN(2)/2))/(LN(2)/2)*V65*Y65*VLOOKUP('Données projet'!$B$9,Paramètres!$A$1:$I$89,3,0)*0.475*44/12</f>
        <v>#VALUE!</v>
      </c>
      <c r="AC65" s="22" t="e">
        <f t="shared" si="3"/>
        <v>#VALUE!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175.05987582828078</v>
      </c>
      <c r="AO65" s="59">
        <f t="shared" si="36"/>
        <v>268.54782308462387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161.79575973860261</v>
      </c>
      <c r="AV65" s="21">
        <f>EXP(-LN(2)/25)*AV64+(1-EXP(-LN(2)/25))/(LN(2)/25)*Calculateur!AQ65*Calculateur!AS65*VLOOKUP('Données projet'!$B$10,Paramètres!$A$1:$I$89,3,0)*0.475*44/12</f>
        <v>39.872873774065503</v>
      </c>
      <c r="AW65" s="21">
        <f>EXP(-LN(2)/2)*AW64+(1-EXP(-LN(2)/2))/(LN(2)/2)*AQ65*AT65*VLOOKUP('Données projet'!$B$10,Paramètres!$A$1:$I$89,3,0)*0.475*44/12</f>
        <v>14.229729637109209</v>
      </c>
      <c r="AX65" s="21">
        <f t="shared" si="6"/>
        <v>215.89836314977734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15.5</v>
      </c>
      <c r="BD65" s="12">
        <f>IF('Données projet'!$A$88&gt;35,BD64+BC65-BL64,IF(A65&lt;'Données projet'!$A$88,$BA$205^A65,IF(A65='Données projet'!$A$88,'Données projet'!$B$88,BD64+BC65-BL64)))</f>
        <v>353.25663999999989</v>
      </c>
      <c r="BE65" s="13">
        <f>BD65*VLOOKUP('Données projet'!$B$11,Paramètres!$A$1:$I$89,3,0)*VLOOKUP('Données projet'!$B$11,Paramètres!$A$1:$I$89,5,0)</f>
        <v>165.32410751999996</v>
      </c>
      <c r="BF65" s="13">
        <f t="shared" si="37"/>
        <v>42.041085368358758</v>
      </c>
      <c r="BG65" s="20">
        <f t="shared" si="7"/>
        <v>361.16104428055809</v>
      </c>
      <c r="BH65" s="59">
        <f t="shared" si="8"/>
        <v>654.4943776138914</v>
      </c>
      <c r="BI65" s="59">
        <f ca="1">AVERAGE(OFFSET($BH$3,0,0,'Données projet'!$E$11+1,1))-AVERAGE(OFFSET($H$3,0,0,'Données projet'!$E$11+1,1))</f>
        <v>252.70779718608964</v>
      </c>
      <c r="BJ65" s="59">
        <f t="shared" si="38"/>
        <v>187.86969111712705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45.161422545857995</v>
      </c>
      <c r="BQ65" s="21">
        <f>EXP(-LN(2)/25)*BQ64+(1-EXP(-LN(2)/25))/(LN(2)/25)*Calculateur!BL65*Calculateur!BN65*VLOOKUP('Données projet'!$B$11,Paramètres!$A$1:$I$89,3,0)*0.475*44/12</f>
        <v>11.709982126025546</v>
      </c>
      <c r="BR65" s="21">
        <f>EXP(-LN(2)/2)*BR64+(1-EXP(-LN(2)/2))/(LN(2)/2)*BL65*BO65*VLOOKUP('Données projet'!$B$11,Paramètres!$A$1:$I$89,3,0)*0.475*44/12</f>
        <v>2.8926224223846977</v>
      </c>
      <c r="BS65" s="22">
        <f t="shared" si="9"/>
        <v>59.764027094268236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17.399999999999999</v>
      </c>
      <c r="BY65" s="12">
        <f>IF('Données projet'!$A$114&gt;35,BY64+BX65-CG64,IF(A65&lt;'Données projet'!$A$114,$BV$205^A65,IF(A65='Données projet'!$A$114,'Données projet'!$B$114,BY64+BX65-CG64)))</f>
        <v>502.79999999999984</v>
      </c>
      <c r="BZ65" s="13">
        <f>BY65*VLOOKUP('Données projet'!$B$12,Paramètres!$A$1:$I$89,3,0)*VLOOKUP('Données projet'!$B$12,Paramètres!$A$1:$I$89,5,0)</f>
        <v>300.67439999999993</v>
      </c>
      <c r="CA65" s="13">
        <f t="shared" si="39"/>
        <v>71.317825137860439</v>
      </c>
      <c r="CB65" s="20">
        <f t="shared" si="10"/>
        <v>647.88645878177351</v>
      </c>
      <c r="CC65" s="59">
        <f t="shared" si="11"/>
        <v>941.21979211510688</v>
      </c>
      <c r="CD65" s="59">
        <f ca="1">AVERAGE(OFFSET($CC$3,0,0,'Données projet'!$E$12+1,1))-AVERAGE(OFFSET($H$3,0,0,'Données projet'!$E$12+1,1))</f>
        <v>279.86432710889352</v>
      </c>
      <c r="CE65" s="59">
        <f t="shared" si="40"/>
        <v>297.01680128882509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16.8398744059742</v>
      </c>
      <c r="CL65" s="21">
        <f>EXP(-LN(2)/25)*CL64+(1-EXP(-LN(2)/25))/(LN(2)/25)*Calculateur!CG65*Calculateur!CI65*VLOOKUP('Données projet'!$B$12,Paramètres!$A$1:$I$89,3,0)*0.475*44/12</f>
        <v>39.234994838464971</v>
      </c>
      <c r="CM65" s="21">
        <f>EXP(-LN(2)/2)*CM64+(1-EXP(-LN(2)/2))/(LN(2)/2)*CG65*CJ65*VLOOKUP('Données projet'!$B$12,Paramètres!$A$1:$I$89,3,0)*0.475*44/12</f>
        <v>3.2281088066167185</v>
      </c>
      <c r="CN65" s="22">
        <f t="shared" si="12"/>
        <v>59.302978051055888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</v>
      </c>
      <c r="CT65" s="12">
        <f>IF('Données projet'!$A$140&gt;35,CT64+CS65-DB64,IF(A65&lt;'Données projet'!$A$140,$CQ$205^A65,IF(A65='Données projet'!$A$140,'Données projet'!$B$140,CT64+CS65-DB64)))</f>
        <v>325.99999999999972</v>
      </c>
      <c r="CU65" s="17">
        <f>CT65*VLOOKUP('Données projet'!$B$13,Paramètres!$A$1:$I$89,3,0)*VLOOKUP('Données projet'!$B$13,Paramètres!$A$1:$I$89,5,0)</f>
        <v>259.36559999999974</v>
      </c>
      <c r="CV65" s="13">
        <f t="shared" si="41"/>
        <v>62.587130291866927</v>
      </c>
      <c r="CW65" s="20">
        <f t="shared" si="13"/>
        <v>560.73433859166767</v>
      </c>
      <c r="CX65" s="59">
        <f t="shared" si="14"/>
        <v>854.06767192500092</v>
      </c>
      <c r="CY65" s="59">
        <f ca="1">AVERAGE(OFFSET($CX$3,0,0,'Données projet'!$E$13+1,1))-AVERAGE(OFFSET($H$3,0,0,'Données projet'!$E$13+1,1))</f>
        <v>314.6300257056194</v>
      </c>
      <c r="CZ65" s="59">
        <f t="shared" si="42"/>
        <v>298.00555477466668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13.916278826412194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13.916278826412194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</v>
      </c>
      <c r="DO65" s="12">
        <f>IF('Données projet'!$A$166&gt;35,DO64+DN65-DW64,IF(A65&lt;'Données projet'!$A$166,$DL$205^A65,IF(A65='Données projet'!$A$166,'Données projet'!$B$166,DO64+DN65-DW64)))</f>
        <v>325.99999999999972</v>
      </c>
      <c r="DP65" s="17">
        <f>DO65*VLOOKUP('Données projet'!$B$14,Paramètres!$A$1:$I$89,3,0)*VLOOKUP('Données projet'!$B$14,Paramètres!$A$1:$I$89,5,0)</f>
        <v>259.36559999999974</v>
      </c>
      <c r="DQ65" s="13">
        <f t="shared" si="43"/>
        <v>62.587130291866927</v>
      </c>
      <c r="DR65" s="20">
        <f t="shared" si="16"/>
        <v>560.73433859166767</v>
      </c>
      <c r="DS65" s="59">
        <f t="shared" si="17"/>
        <v>854.06767192500092</v>
      </c>
      <c r="DT65" s="59">
        <f ca="1">AVERAGE(OFFSET($DS$3,0,0,'Données projet'!$E$14+1,1))-AVERAGE(OFFSET($H$3,0,0,'Données projet'!$E$14+1,1))</f>
        <v>314.6300257056194</v>
      </c>
      <c r="DU65" s="59">
        <f t="shared" si="44"/>
        <v>298.00555477466668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13.916278826412194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13.916278826412194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16.776923076923083</v>
      </c>
      <c r="EJ65" s="12">
        <f>IF('Données projet'!$A$192&gt;35,EJ64+EI65-ER64,IF(A65&lt;'Données projet'!$A$192,$EG$205^A65,IF(A65='Données projet'!$A$192,'Données projet'!$B$192,EJ64+EI65-ER64)))</f>
        <v>337.20769230769247</v>
      </c>
      <c r="EK65" s="17">
        <f>EJ65*VLOOKUP('Données projet'!$B$15,Paramètres!$A$1:$I$89,3,0)*VLOOKUP('Données projet'!$B$15,Paramètres!$A$1:$I$89,5,0)</f>
        <v>162.19690000000008</v>
      </c>
      <c r="EL65" s="13">
        <f t="shared" si="45"/>
        <v>41.337638364039968</v>
      </c>
      <c r="EM65" s="20">
        <f t="shared" si="19"/>
        <v>354.4893209840364</v>
      </c>
      <c r="EN65" s="59">
        <f t="shared" si="20"/>
        <v>647.82265431736971</v>
      </c>
      <c r="EO65" s="59">
        <f ca="1">AVERAGE(OFFSET($EN$3,0,0,'Données projet'!$E$15+1,1))-AVERAGE(OFFSET($H$3,0,0,'Données projet'!$E$15+1,1))</f>
        <v>238.83604534181978</v>
      </c>
      <c r="EP65" s="59">
        <f t="shared" si="46"/>
        <v>114.85152559837792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4.5999999999999996</v>
      </c>
      <c r="FE65" s="12">
        <f>IF('Données projet'!$A$218&gt;35,FE64+FD65-FM64,IF(A65&lt;'Données projet'!$A$218,$FB$205^A65,IF(A65='Données projet'!$A$218,'Données projet'!$B$218,FE64+FD65-FM64)))</f>
        <v>230.20000000000002</v>
      </c>
      <c r="FF65" s="17">
        <f>FE65*VLOOKUP('Données projet'!$B$16,Paramètres!$A$1:$I$89,3,0)*VLOOKUP('Données projet'!$B$16,Paramètres!$A$1:$I$89,5,0)</f>
        <v>186.73824000000002</v>
      </c>
      <c r="FG65" s="13">
        <f t="shared" si="47"/>
        <v>46.81809888081083</v>
      </c>
      <c r="FH65" s="20">
        <f t="shared" si="22"/>
        <v>406.7772902174122</v>
      </c>
      <c r="FI65" s="59">
        <f t="shared" si="23"/>
        <v>700.11062355074546</v>
      </c>
      <c r="FJ65" s="59">
        <f ca="1">AVERAGE(OFFSET($FI$3,0,0,'Données projet'!$E$16+1,1))-AVERAGE(OFFSET($H$3,0,0,'Données projet'!$E$16+1,1))</f>
        <v>196.95467273423861</v>
      </c>
      <c r="FK65" s="59">
        <f t="shared" si="48"/>
        <v>173.8709326829258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11.766547365061909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1.7463933990252525</v>
      </c>
      <c r="FT65" s="22">
        <f t="shared" si="24"/>
        <v>13.512940764087162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4.5999999999999996</v>
      </c>
      <c r="FZ65" s="12">
        <f>IF('Données projet'!$A$244&gt;35,FZ64+FY65-GH64,IF(A65&lt;'Données projet'!$A$244,$FW$205^A65,IF(A65='Données projet'!$A$244,'Données projet'!$B$244,FZ64+FY65-GH64)))</f>
        <v>230.20000000000002</v>
      </c>
      <c r="GA65" s="17">
        <f>FZ65*VLOOKUP('Données projet'!$B$17,Paramètres!$A$1:$I$89,3,0)*VLOOKUP('Données projet'!$B$17,Paramètres!$A$1:$I$89,5,0)</f>
        <v>247.78728000000001</v>
      </c>
      <c r="GB65" s="13">
        <f t="shared" si="49"/>
        <v>60.111875284437247</v>
      </c>
      <c r="GC65" s="20">
        <f t="shared" si="25"/>
        <v>536.25769545372816</v>
      </c>
      <c r="GD65" s="59">
        <f t="shared" si="26"/>
        <v>829.59102878706153</v>
      </c>
      <c r="GE65" s="59">
        <f ca="1">AVERAGE(OFFSET($GD$3,0,0,'Données projet'!$E$17+1,1))-AVERAGE(OFFSET($H$3,0,0,'Données projet'!$E$17+1,1))</f>
        <v>275.5229427552884</v>
      </c>
      <c r="GF65" s="59">
        <f t="shared" si="50"/>
        <v>241.20234081716143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15.613303234409067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2.3173297025527386</v>
      </c>
      <c r="GO65" s="21">
        <f t="shared" si="27"/>
        <v>17.930632936961807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274.57619581652199</v>
      </c>
      <c r="T66" s="59">
        <f t="shared" si="34"/>
        <v>366.15117322598775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 t="e">
        <f>EXP(-LN(2)/35)*Z65+(1-EXP(-LN(2)/35))/(LN(2)/35)*V66*W66*VLOOKUP('Données projet'!$B$9,Paramètres!$A$1:$I$89,3,0)*0.475*44/12</f>
        <v>#VALUE!</v>
      </c>
      <c r="AA66" s="21" t="e">
        <f>EXP(-LN(2)/25)*AA65+(1-EXP(-LN(2)/25))/(LN(2)/25)*Calculateur!V66*Calculateur!X66*VLOOKUP('Données projet'!$B$9,Paramètres!$A$1:$I$89,3,0)*0.475*44/12</f>
        <v>#VALUE!</v>
      </c>
      <c r="AB66" s="21" t="e">
        <f>EXP(-LN(2)/2)*AB65+(1-EXP(-LN(2)/2))/(LN(2)/2)*V66*Y66*VLOOKUP('Données projet'!$B$9,Paramètres!$A$1:$I$89,3,0)*0.475*44/12</f>
        <v>#VALUE!</v>
      </c>
      <c r="AC66" s="22" t="e">
        <f t="shared" si="3"/>
        <v>#VALUE!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175.05987582828078</v>
      </c>
      <c r="AO66" s="59">
        <f t="shared" si="36"/>
        <v>268.54782308462387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158.62304357579765</v>
      </c>
      <c r="AV66" s="21">
        <f>EXP(-LN(2)/25)*AV65+(1-EXP(-LN(2)/25))/(LN(2)/25)*Calculateur!AQ66*Calculateur!AS66*VLOOKUP('Données projet'!$B$10,Paramètres!$A$1:$I$89,3,0)*0.475*44/12</f>
        <v>38.782547943890378</v>
      </c>
      <c r="AW66" s="21">
        <f>EXP(-LN(2)/2)*AW65+(1-EXP(-LN(2)/2))/(LN(2)/2)*AQ66*AT66*VLOOKUP('Données projet'!$B$10,Paramètres!$A$1:$I$89,3,0)*0.475*44/12</f>
        <v>10.061938320851112</v>
      </c>
      <c r="AX66" s="21">
        <f t="shared" si="6"/>
        <v>207.46752984053913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15.5</v>
      </c>
      <c r="BD66" s="12">
        <f>IF('Données projet'!$A$88&gt;35,BD65+BC66-BL65,IF(A66&lt;'Données projet'!$A$88,$BA$205^A66,IF(A66='Données projet'!$A$88,'Données projet'!$B$88,BD65+BC66-BL65)))</f>
        <v>368.75663999999989</v>
      </c>
      <c r="BE66" s="13">
        <f>BD66*VLOOKUP('Données projet'!$B$11,Paramètres!$A$1:$I$89,3,0)*VLOOKUP('Données projet'!$B$11,Paramètres!$A$1:$I$89,5,0)</f>
        <v>172.57810751999997</v>
      </c>
      <c r="BF66" s="13">
        <f t="shared" si="37"/>
        <v>43.666927125203792</v>
      </c>
      <c r="BG66" s="20">
        <f t="shared" si="7"/>
        <v>376.62676867372988</v>
      </c>
      <c r="BH66" s="59">
        <f t="shared" si="8"/>
        <v>669.96010200706314</v>
      </c>
      <c r="BI66" s="59">
        <f ca="1">AVERAGE(OFFSET($BH$3,0,0,'Données projet'!$E$11+1,1))-AVERAGE(OFFSET($H$3,0,0,'Données projet'!$E$11+1,1))</f>
        <v>252.70779718608964</v>
      </c>
      <c r="BJ66" s="59">
        <f t="shared" si="38"/>
        <v>187.86969111712705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44.275834595481555</v>
      </c>
      <c r="BQ66" s="21">
        <f>EXP(-LN(2)/25)*BQ65+(1-EXP(-LN(2)/25))/(LN(2)/25)*Calculateur!BL66*Calculateur!BN66*VLOOKUP('Données projet'!$B$11,Paramètres!$A$1:$I$89,3,0)*0.475*44/12</f>
        <v>11.389772048988181</v>
      </c>
      <c r="BR66" s="21">
        <f>EXP(-LN(2)/2)*BR65+(1-EXP(-LN(2)/2))/(LN(2)/2)*BL66*BO66*VLOOKUP('Données projet'!$B$11,Paramètres!$A$1:$I$89,3,0)*0.475*44/12</f>
        <v>2.0453929302804776</v>
      </c>
      <c r="BS66" s="22">
        <f t="shared" si="9"/>
        <v>57.710999574750211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17.399999999999999</v>
      </c>
      <c r="BY66" s="12">
        <f>IF('Données projet'!$A$114&gt;35,BY65+BX66-CG65,IF(A66&lt;'Données projet'!$A$114,$BV$205^A66,IF(A66='Données projet'!$A$114,'Données projet'!$B$114,BY65+BX66-CG65)))</f>
        <v>520.19999999999982</v>
      </c>
      <c r="BZ66" s="13">
        <f>BY66*VLOOKUP('Données projet'!$B$12,Paramètres!$A$1:$I$89,3,0)*VLOOKUP('Données projet'!$B$12,Paramètres!$A$1:$I$89,5,0)</f>
        <v>311.07959999999991</v>
      </c>
      <c r="CA66" s="13">
        <f t="shared" si="39"/>
        <v>73.49424798183118</v>
      </c>
      <c r="CB66" s="20">
        <f t="shared" si="10"/>
        <v>669.79945190168905</v>
      </c>
      <c r="CC66" s="59">
        <f t="shared" si="11"/>
        <v>963.13278523502231</v>
      </c>
      <c r="CD66" s="59">
        <f ca="1">AVERAGE(OFFSET($CC$3,0,0,'Données projet'!$E$12+1,1))-AVERAGE(OFFSET($H$3,0,0,'Données projet'!$E$12+1,1))</f>
        <v>279.86432710889352</v>
      </c>
      <c r="CE66" s="59">
        <f t="shared" si="40"/>
        <v>297.01680128882509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16.509654740182228</v>
      </c>
      <c r="CL66" s="21">
        <f>EXP(-LN(2)/25)*CL65+(1-EXP(-LN(2)/25))/(LN(2)/25)*Calculateur!CG66*Calculateur!CI66*VLOOKUP('Données projet'!$B$12,Paramètres!$A$1:$I$89,3,0)*0.475*44/12</f>
        <v>38.162111841328439</v>
      </c>
      <c r="CM66" s="21">
        <f>EXP(-LN(2)/2)*CM65+(1-EXP(-LN(2)/2))/(LN(2)/2)*CG66*CJ66*VLOOKUP('Données projet'!$B$12,Paramètres!$A$1:$I$89,3,0)*0.475*44/12</f>
        <v>2.2826176275666952</v>
      </c>
      <c r="CN66" s="22">
        <f t="shared" si="12"/>
        <v>56.954384209077361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</v>
      </c>
      <c r="CT66" s="12">
        <f>IF('Données projet'!$A$140&gt;35,CT65+CS66-DB65,IF(A66&lt;'Données projet'!$A$140,$CQ$205^A66,IF(A66='Données projet'!$A$140,'Données projet'!$B$140,CT65+CS66-DB65)))</f>
        <v>331.99999999999972</v>
      </c>
      <c r="CU66" s="17">
        <f>CT66*VLOOKUP('Données projet'!$B$13,Paramètres!$A$1:$I$89,3,0)*VLOOKUP('Données projet'!$B$13,Paramètres!$A$1:$I$89,5,0)</f>
        <v>264.13919999999979</v>
      </c>
      <c r="CV66" s="13">
        <f t="shared" si="41"/>
        <v>63.60387543087441</v>
      </c>
      <c r="CW66" s="20">
        <f t="shared" si="13"/>
        <v>570.81918970877257</v>
      </c>
      <c r="CX66" s="59">
        <f t="shared" si="14"/>
        <v>864.15252304210594</v>
      </c>
      <c r="CY66" s="59">
        <f ca="1">AVERAGE(OFFSET($CX$3,0,0,'Données projet'!$E$13+1,1))-AVERAGE(OFFSET($H$3,0,0,'Données projet'!$E$13+1,1))</f>
        <v>314.6300257056194</v>
      </c>
      <c r="CZ66" s="59">
        <f t="shared" si="42"/>
        <v>298.00555477466668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13.643389086718205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13.643389086718205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</v>
      </c>
      <c r="DO66" s="12">
        <f>IF('Données projet'!$A$166&gt;35,DO65+DN66-DW65,IF(A66&lt;'Données projet'!$A$166,$DL$205^A66,IF(A66='Données projet'!$A$166,'Données projet'!$B$166,DO65+DN66-DW65)))</f>
        <v>331.99999999999972</v>
      </c>
      <c r="DP66" s="17">
        <f>DO66*VLOOKUP('Données projet'!$B$14,Paramètres!$A$1:$I$89,3,0)*VLOOKUP('Données projet'!$B$14,Paramètres!$A$1:$I$89,5,0)</f>
        <v>264.13919999999979</v>
      </c>
      <c r="DQ66" s="13">
        <f t="shared" si="43"/>
        <v>63.60387543087441</v>
      </c>
      <c r="DR66" s="20">
        <f t="shared" si="16"/>
        <v>570.81918970877257</v>
      </c>
      <c r="DS66" s="59">
        <f t="shared" si="17"/>
        <v>864.15252304210594</v>
      </c>
      <c r="DT66" s="59">
        <f ca="1">AVERAGE(OFFSET($DS$3,0,0,'Données projet'!$E$14+1,1))-AVERAGE(OFFSET($H$3,0,0,'Données projet'!$E$14+1,1))</f>
        <v>314.6300257056194</v>
      </c>
      <c r="DU66" s="59">
        <f t="shared" si="44"/>
        <v>298.00555477466668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13.643389086718205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13.643389086718205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>
        <f>VLOOKUP(A66,'Données projet'!$A$191:$I$211,2,0)</f>
        <v>353.98461538461538</v>
      </c>
      <c r="EH66" s="12">
        <f>VLOOKUP(A66,'Données projet'!$A$191:$I$211,9,0)</f>
        <v>16.776923076923083</v>
      </c>
      <c r="EI66" s="12">
        <f t="array" ref="EI66">INDEX(EH:EH,MIN(IF(ISNUMBER(EH66:EH262),ROW(EH66:EH262),"")))</f>
        <v>16.776923076923083</v>
      </c>
      <c r="EJ66" s="12">
        <f>IF('Données projet'!$A$192&gt;35,EJ65+EI66-ER65,IF(A66&lt;'Données projet'!$A$192,$EG$205^A66,IF(A66='Données projet'!$A$192,'Données projet'!$B$192,EJ65+EI66-ER65)))</f>
        <v>353.98461538461555</v>
      </c>
      <c r="EK66" s="17">
        <f>EJ66*VLOOKUP('Données projet'!$B$15,Paramètres!$A$1:$I$89,3,0)*VLOOKUP('Données projet'!$B$15,Paramètres!$A$1:$I$89,5,0)</f>
        <v>170.26660000000007</v>
      </c>
      <c r="EL66" s="13">
        <f t="shared" si="45"/>
        <v>43.149727670102223</v>
      </c>
      <c r="EM66" s="20">
        <f t="shared" si="19"/>
        <v>371.70010402542817</v>
      </c>
      <c r="EN66" s="59">
        <f t="shared" si="20"/>
        <v>665.03343735876149</v>
      </c>
      <c r="EO66" s="59">
        <f ca="1">AVERAGE(OFFSET($EN$3,0,0,'Données projet'!$E$15+1,1))-AVERAGE(OFFSET($H$3,0,0,'Données projet'!$E$15+1,1))</f>
        <v>238.83604534181978</v>
      </c>
      <c r="EP66" s="59">
        <f t="shared" si="46"/>
        <v>114.85152559837792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4.5999999999999996</v>
      </c>
      <c r="FE66" s="12">
        <f>IF('Données projet'!$A$218&gt;35,FE65+FD66-FM65,IF(A66&lt;'Données projet'!$A$218,$FB$205^A66,IF(A66='Données projet'!$A$218,'Données projet'!$B$218,FE65+FD66-FM65)))</f>
        <v>234.8</v>
      </c>
      <c r="FF66" s="17">
        <f>FE66*VLOOKUP('Données projet'!$B$16,Paramètres!$A$1:$I$89,3,0)*VLOOKUP('Données projet'!$B$16,Paramètres!$A$1:$I$89,5,0)</f>
        <v>190.46976000000001</v>
      </c>
      <c r="FG66" s="13">
        <f t="shared" si="47"/>
        <v>47.643795186675625</v>
      </c>
      <c r="FH66" s="20">
        <f t="shared" si="22"/>
        <v>414.71444195012668</v>
      </c>
      <c r="FI66" s="59">
        <f t="shared" si="23"/>
        <v>708.04777528345994</v>
      </c>
      <c r="FJ66" s="59">
        <f ca="1">AVERAGE(OFFSET($FI$3,0,0,'Données projet'!$E$16+1,1))-AVERAGE(OFFSET($H$3,0,0,'Données projet'!$E$16+1,1))</f>
        <v>196.95467273423861</v>
      </c>
      <c r="FK66" s="59">
        <f t="shared" si="48"/>
        <v>173.8709326829258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11.53581254811828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1.2348866150701803</v>
      </c>
      <c r="FT66" s="22">
        <f t="shared" si="24"/>
        <v>12.770699163188461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4.5999999999999996</v>
      </c>
      <c r="FZ66" s="12">
        <f>IF('Données projet'!$A$244&gt;35,FZ65+FY66-GH65,IF(A66&lt;'Données projet'!$A$244,$FW$205^A66,IF(A66='Données projet'!$A$244,'Données projet'!$B$244,FZ65+FY66-GH65)))</f>
        <v>234.8</v>
      </c>
      <c r="GA66" s="17">
        <f>FZ66*VLOOKUP('Données projet'!$B$17,Paramètres!$A$1:$I$89,3,0)*VLOOKUP('Données projet'!$B$17,Paramètres!$A$1:$I$89,5,0)</f>
        <v>252.73872</v>
      </c>
      <c r="GB66" s="13">
        <f t="shared" si="49"/>
        <v>61.172024127458847</v>
      </c>
      <c r="GC66" s="20">
        <f t="shared" si="25"/>
        <v>546.72787935532415</v>
      </c>
      <c r="GD66" s="59">
        <f t="shared" si="26"/>
        <v>840.06121268865741</v>
      </c>
      <c r="GE66" s="59">
        <f ca="1">AVERAGE(OFFSET($GD$3,0,0,'Données projet'!$E$17+1,1))-AVERAGE(OFFSET($H$3,0,0,'Données projet'!$E$17+1,1))</f>
        <v>275.5229427552884</v>
      </c>
      <c r="GF66" s="59">
        <f t="shared" si="50"/>
        <v>241.20234081716143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15.307135881156942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1.6385995469200467</v>
      </c>
      <c r="GO66" s="21">
        <f t="shared" si="27"/>
        <v>16.94573542807699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274.57619581652199</v>
      </c>
      <c r="T67" s="59">
        <f t="shared" si="34"/>
        <v>366.15117322598775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 t="e">
        <f>EXP(-LN(2)/35)*Z66+(1-EXP(-LN(2)/35))/(LN(2)/35)*V67*W67*VLOOKUP('Données projet'!$B$9,Paramètres!$A$1:$I$89,3,0)*0.475*44/12</f>
        <v>#VALUE!</v>
      </c>
      <c r="AA67" s="21" t="e">
        <f>EXP(-LN(2)/25)*AA66+(1-EXP(-LN(2)/25))/(LN(2)/25)*Calculateur!V67*Calculateur!X67*VLOOKUP('Données projet'!$B$9,Paramètres!$A$1:$I$89,3,0)*0.475*44/12</f>
        <v>#VALUE!</v>
      </c>
      <c r="AB67" s="21" t="e">
        <f>EXP(-LN(2)/2)*AB66+(1-EXP(-LN(2)/2))/(LN(2)/2)*V67*Y67*VLOOKUP('Données projet'!$B$9,Paramètres!$A$1:$I$89,3,0)*0.475*44/12</f>
        <v>#VALUE!</v>
      </c>
      <c r="AC67" s="22" t="e">
        <f t="shared" si="3"/>
        <v>#VALUE!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175.05987582828078</v>
      </c>
      <c r="AO67" s="59">
        <f t="shared" si="36"/>
        <v>268.54782308462387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155.51254244177952</v>
      </c>
      <c r="AV67" s="21">
        <f>EXP(-LN(2)/25)*AV66+(1-EXP(-LN(2)/25))/(LN(2)/25)*Calculateur!AQ67*Calculateur!AS67*VLOOKUP('Données projet'!$B$10,Paramètres!$A$1:$I$89,3,0)*0.475*44/12</f>
        <v>37.722037130879137</v>
      </c>
      <c r="AW67" s="21">
        <f>EXP(-LN(2)/2)*AW66+(1-EXP(-LN(2)/2))/(LN(2)/2)*AQ67*AT67*VLOOKUP('Données projet'!$B$10,Paramètres!$A$1:$I$89,3,0)*0.475*44/12</f>
        <v>7.1148648185546053</v>
      </c>
      <c r="AX67" s="21">
        <f t="shared" si="6"/>
        <v>200.34944439121324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15.5</v>
      </c>
      <c r="BD67" s="12">
        <f>IF('Données projet'!$A$88&gt;35,BD66+BC67-BL66,IF(A67&lt;'Données projet'!$A$88,$BA$205^A67,IF(A67='Données projet'!$A$88,'Données projet'!$B$88,BD66+BC67-BL66)))</f>
        <v>384.25663999999989</v>
      </c>
      <c r="BE67" s="13">
        <f>BD67*VLOOKUP('Données projet'!$B$11,Paramètres!$A$1:$I$89,3,0)*VLOOKUP('Données projet'!$B$11,Paramètres!$A$1:$I$89,5,0)</f>
        <v>179.83210751999994</v>
      </c>
      <c r="BF67" s="13">
        <f t="shared" si="37"/>
        <v>45.284831154579734</v>
      </c>
      <c r="BG67" s="20">
        <f t="shared" si="7"/>
        <v>392.07866819155953</v>
      </c>
      <c r="BH67" s="59">
        <f t="shared" si="8"/>
        <v>685.41200152489284</v>
      </c>
      <c r="BI67" s="59">
        <f ca="1">AVERAGE(OFFSET($BH$3,0,0,'Données projet'!$E$11+1,1))-AVERAGE(OFFSET($H$3,0,0,'Données projet'!$E$11+1,1))</f>
        <v>252.70779718608964</v>
      </c>
      <c r="BJ67" s="59">
        <f t="shared" si="38"/>
        <v>187.86969111712705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43.407612484656681</v>
      </c>
      <c r="BQ67" s="21">
        <f>EXP(-LN(2)/25)*BQ66+(1-EXP(-LN(2)/25))/(LN(2)/25)*Calculateur!BL67*Calculateur!BN67*VLOOKUP('Données projet'!$B$11,Paramètres!$A$1:$I$89,3,0)*0.475*44/12</f>
        <v>11.078318133346519</v>
      </c>
      <c r="BR67" s="21">
        <f>EXP(-LN(2)/2)*BR66+(1-EXP(-LN(2)/2))/(LN(2)/2)*BL67*BO67*VLOOKUP('Données projet'!$B$11,Paramètres!$A$1:$I$89,3,0)*0.475*44/12</f>
        <v>1.4463112111923491</v>
      </c>
      <c r="BS67" s="22">
        <f t="shared" si="9"/>
        <v>55.932241829195554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17.399999999999999</v>
      </c>
      <c r="BY67" s="12">
        <f>IF('Données projet'!$A$114&gt;35,BY66+BX67-CG66,IF(A67&lt;'Données projet'!$A$114,$BV$205^A67,IF(A67='Données projet'!$A$114,'Données projet'!$B$114,BY66+BX67-CG66)))</f>
        <v>537.5999999999998</v>
      </c>
      <c r="BZ67" s="13">
        <f>BY67*VLOOKUP('Données projet'!$B$12,Paramètres!$A$1:$I$89,3,0)*VLOOKUP('Données projet'!$B$12,Paramètres!$A$1:$I$89,5,0)</f>
        <v>321.48479999999989</v>
      </c>
      <c r="CA67" s="13">
        <f t="shared" si="39"/>
        <v>75.662211893590367</v>
      </c>
      <c r="CB67" s="20">
        <f t="shared" si="10"/>
        <v>691.69771238133637</v>
      </c>
      <c r="CC67" s="59">
        <f t="shared" si="11"/>
        <v>985.03104571466974</v>
      </c>
      <c r="CD67" s="59">
        <f ca="1">AVERAGE(OFFSET($CC$3,0,0,'Données projet'!$E$12+1,1))-AVERAGE(OFFSET($H$3,0,0,'Données projet'!$E$12+1,1))</f>
        <v>279.86432710889352</v>
      </c>
      <c r="CE67" s="59">
        <f t="shared" si="40"/>
        <v>297.01680128882509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16.185910480622326</v>
      </c>
      <c r="CL67" s="21">
        <f>EXP(-LN(2)/25)*CL66+(1-EXP(-LN(2)/25))/(LN(2)/25)*Calculateur!CG67*Calculateur!CI67*VLOOKUP('Données projet'!$B$12,Paramètres!$A$1:$I$89,3,0)*0.475*44/12</f>
        <v>37.11856688616907</v>
      </c>
      <c r="CM67" s="21">
        <f>EXP(-LN(2)/2)*CM66+(1-EXP(-LN(2)/2))/(LN(2)/2)*CG67*CJ67*VLOOKUP('Données projet'!$B$12,Paramètres!$A$1:$I$89,3,0)*0.475*44/12</f>
        <v>1.6140544033083595</v>
      </c>
      <c r="CN67" s="22">
        <f t="shared" si="12"/>
        <v>54.918531770099754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</v>
      </c>
      <c r="CT67" s="12">
        <f>IF('Données projet'!$A$140&gt;35,CT66+CS67-DB66,IF(A67&lt;'Données projet'!$A$140,$CQ$205^A67,IF(A67='Données projet'!$A$140,'Données projet'!$B$140,CT66+CS67-DB66)))</f>
        <v>337.99999999999972</v>
      </c>
      <c r="CU67" s="17">
        <f>CT67*VLOOKUP('Données projet'!$B$13,Paramètres!$A$1:$I$89,3,0)*VLOOKUP('Données projet'!$B$13,Paramètres!$A$1:$I$89,5,0)</f>
        <v>268.91279999999978</v>
      </c>
      <c r="CV67" s="13">
        <f t="shared" si="41"/>
        <v>64.618483855217065</v>
      </c>
      <c r="CW67" s="20">
        <f t="shared" si="13"/>
        <v>580.90031938116931</v>
      </c>
      <c r="CX67" s="59">
        <f t="shared" si="14"/>
        <v>874.23365271450257</v>
      </c>
      <c r="CY67" s="59">
        <f ca="1">AVERAGE(OFFSET($CX$3,0,0,'Données projet'!$E$13+1,1))-AVERAGE(OFFSET($H$3,0,0,'Données projet'!$E$13+1,1))</f>
        <v>314.6300257056194</v>
      </c>
      <c r="CZ67" s="59">
        <f t="shared" si="42"/>
        <v>298.00555477466668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13.375850548373309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13.375850548373309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</v>
      </c>
      <c r="DO67" s="12">
        <f>IF('Données projet'!$A$166&gt;35,DO66+DN67-DW66,IF(A67&lt;'Données projet'!$A$166,$DL$205^A67,IF(A67='Données projet'!$A$166,'Données projet'!$B$166,DO66+DN67-DW66)))</f>
        <v>337.99999999999972</v>
      </c>
      <c r="DP67" s="17">
        <f>DO67*VLOOKUP('Données projet'!$B$14,Paramètres!$A$1:$I$89,3,0)*VLOOKUP('Données projet'!$B$14,Paramètres!$A$1:$I$89,5,0)</f>
        <v>268.91279999999978</v>
      </c>
      <c r="DQ67" s="13">
        <f t="shared" si="43"/>
        <v>64.618483855217065</v>
      </c>
      <c r="DR67" s="20">
        <f t="shared" si="16"/>
        <v>580.90031938116931</v>
      </c>
      <c r="DS67" s="59">
        <f t="shared" si="17"/>
        <v>874.23365271450257</v>
      </c>
      <c r="DT67" s="59">
        <f ca="1">AVERAGE(OFFSET($DS$3,0,0,'Données projet'!$E$14+1,1))-AVERAGE(OFFSET($H$3,0,0,'Données projet'!$E$14+1,1))</f>
        <v>314.6300257056194</v>
      </c>
      <c r="DU67" s="59">
        <f t="shared" si="44"/>
        <v>298.00555477466668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13.375850548373309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13.375850548373309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17.019230769230759</v>
      </c>
      <c r="EJ67" s="12">
        <f>IF('Données projet'!$A$192&gt;35,EJ66+EI67-ER66,IF(A67&lt;'Données projet'!$A$192,$EG$205^A67,IF(A67='Données projet'!$A$192,'Données projet'!$B$192,EJ66+EI67-ER66)))</f>
        <v>371.00384615384633</v>
      </c>
      <c r="EK67" s="17">
        <f>EJ67*VLOOKUP('Données projet'!$B$15,Paramètres!$A$1:$I$89,3,0)*VLOOKUP('Données projet'!$B$15,Paramètres!$A$1:$I$89,5,0)</f>
        <v>178.45285000000007</v>
      </c>
      <c r="EL67" s="13">
        <f t="shared" si="45"/>
        <v>44.977801052251614</v>
      </c>
      <c r="EM67" s="20">
        <f t="shared" si="19"/>
        <v>389.14171724933834</v>
      </c>
      <c r="EN67" s="59">
        <f t="shared" si="20"/>
        <v>682.47505058267166</v>
      </c>
      <c r="EO67" s="59">
        <f ca="1">AVERAGE(OFFSET($EN$3,0,0,'Données projet'!$E$15+1,1))-AVERAGE(OFFSET($H$3,0,0,'Données projet'!$E$15+1,1))</f>
        <v>238.83604534181978</v>
      </c>
      <c r="EP67" s="59">
        <f t="shared" si="46"/>
        <v>114.85152559837792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4.5999999999999996</v>
      </c>
      <c r="FE67" s="12">
        <f>IF('Données projet'!$A$218&gt;35,FE66+FD67-FM66,IF(A67&lt;'Données projet'!$A$218,$FB$205^A67,IF(A67='Données projet'!$A$218,'Données projet'!$B$218,FE66+FD67-FM66)))</f>
        <v>239.4</v>
      </c>
      <c r="FF67" s="17">
        <f>FE67*VLOOKUP('Données projet'!$B$16,Paramètres!$A$1:$I$89,3,0)*VLOOKUP('Données projet'!$B$16,Paramètres!$A$1:$I$89,5,0)</f>
        <v>194.20128000000003</v>
      </c>
      <c r="FG67" s="13">
        <f t="shared" si="47"/>
        <v>48.467610585469899</v>
      </c>
      <c r="FH67" s="20">
        <f t="shared" si="22"/>
        <v>422.64831776969339</v>
      </c>
      <c r="FI67" s="59">
        <f t="shared" si="23"/>
        <v>715.98165110302671</v>
      </c>
      <c r="FJ67" s="59">
        <f ca="1">AVERAGE(OFFSET($FI$3,0,0,'Données projet'!$E$16+1,1))-AVERAGE(OFFSET($H$3,0,0,'Données projet'!$E$16+1,1))</f>
        <v>196.95467273423861</v>
      </c>
      <c r="FK67" s="59">
        <f t="shared" si="48"/>
        <v>173.8709326829258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11.309602300200572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0.87319669951262635</v>
      </c>
      <c r="FT67" s="22">
        <f t="shared" si="24"/>
        <v>12.182798999713198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4.5999999999999996</v>
      </c>
      <c r="FZ67" s="12">
        <f>IF('Données projet'!$A$244&gt;35,FZ66+FY67-GH66,IF(A67&lt;'Données projet'!$A$244,$FW$205^A67,IF(A67='Données projet'!$A$244,'Données projet'!$B$244,FZ66+FY67-GH66)))</f>
        <v>239.4</v>
      </c>
      <c r="GA67" s="17">
        <f>FZ67*VLOOKUP('Données projet'!$B$17,Paramètres!$A$1:$I$89,3,0)*VLOOKUP('Données projet'!$B$17,Paramètres!$A$1:$I$89,5,0)</f>
        <v>257.69015999999999</v>
      </c>
      <c r="GB67" s="13">
        <f t="shared" si="49"/>
        <v>62.229757988797239</v>
      </c>
      <c r="GC67" s="20">
        <f t="shared" si="25"/>
        <v>557.1938571638218</v>
      </c>
      <c r="GD67" s="59">
        <f t="shared" si="26"/>
        <v>850.52719049715506</v>
      </c>
      <c r="GE67" s="59">
        <f ca="1">AVERAGE(OFFSET($GD$3,0,0,'Données projet'!$E$17+1,1))-AVERAGE(OFFSET($H$3,0,0,'Données projet'!$E$17+1,1))</f>
        <v>275.5229427552884</v>
      </c>
      <c r="GF67" s="59">
        <f t="shared" si="50"/>
        <v>241.20234081716143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15.006972282958445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1.1586648512763695</v>
      </c>
      <c r="GO67" s="21">
        <f t="shared" si="27"/>
        <v>16.165637134234814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274.57619581652199</v>
      </c>
      <c r="T68" s="59">
        <f t="shared" si="34"/>
        <v>366.15117322598775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 t="e">
        <f>EXP(-LN(2)/35)*Z67+(1-EXP(-LN(2)/35))/(LN(2)/35)*V68*W68*VLOOKUP('Données projet'!$B$9,Paramètres!$A$1:$I$89,3,0)*0.475*44/12</f>
        <v>#VALUE!</v>
      </c>
      <c r="AA68" s="21" t="e">
        <f>EXP(-LN(2)/25)*AA67+(1-EXP(-LN(2)/25))/(LN(2)/25)*Calculateur!V68*Calculateur!X68*VLOOKUP('Données projet'!$B$9,Paramètres!$A$1:$I$89,3,0)*0.475*44/12</f>
        <v>#VALUE!</v>
      </c>
      <c r="AB68" s="21" t="e">
        <f>EXP(-LN(2)/2)*AB67+(1-EXP(-LN(2)/2))/(LN(2)/2)*V68*Y68*VLOOKUP('Données projet'!$B$9,Paramètres!$A$1:$I$89,3,0)*0.475*44/12</f>
        <v>#VALUE!</v>
      </c>
      <c r="AC68" s="22" t="e">
        <f t="shared" ref="AC68:AC131" si="57">SUM(Z68:AB68)</f>
        <v>#VALUE!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175.05987582828078</v>
      </c>
      <c r="AO68" s="59">
        <f t="shared" si="36"/>
        <v>268.54782308462387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152.46303633778112</v>
      </c>
      <c r="AV68" s="21">
        <f>EXP(-LN(2)/25)*AV67+(1-EXP(-LN(2)/25))/(LN(2)/25)*Calculateur!AQ68*Calculateur!AS68*VLOOKUP('Données projet'!$B$10,Paramètres!$A$1:$I$89,3,0)*0.475*44/12</f>
        <v>36.690526041819531</v>
      </c>
      <c r="AW68" s="21">
        <f>EXP(-LN(2)/2)*AW67+(1-EXP(-LN(2)/2))/(LN(2)/2)*AQ68*AT68*VLOOKUP('Données projet'!$B$10,Paramètres!$A$1:$I$89,3,0)*0.475*44/12</f>
        <v>5.0309691604255571</v>
      </c>
      <c r="AX68" s="21">
        <f t="shared" ref="AX68:AX131" si="60">SUM(AU68:AW68)</f>
        <v>194.18453154002623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15.5</v>
      </c>
      <c r="BD68" s="12">
        <f>IF('Données projet'!$A$88&gt;35,BD67+BC68-BL67,IF(A68&lt;'Données projet'!$A$88,$BA$205^A68,IF(A68='Données projet'!$A$88,'Données projet'!$B$88,BD67+BC68-BL67)))</f>
        <v>399.75663999999989</v>
      </c>
      <c r="BE68" s="13">
        <f>BD68*VLOOKUP('Données projet'!$B$11,Paramètres!$A$1:$I$89,3,0)*VLOOKUP('Données projet'!$B$11,Paramètres!$A$1:$I$89,5,0)</f>
        <v>187.08610751999996</v>
      </c>
      <c r="BF68" s="13">
        <f t="shared" si="37"/>
        <v>46.895154274911313</v>
      </c>
      <c r="BG68" s="20">
        <f t="shared" ref="BG68:BG131" si="61">(BE68+BF68)*0.475*44/12</f>
        <v>407.51736429280373</v>
      </c>
      <c r="BH68" s="59">
        <f t="shared" ref="BH68:BH131" si="62">BG68+(AY68+AZ68)*44/12</f>
        <v>700.85069762613705</v>
      </c>
      <c r="BI68" s="59">
        <f ca="1">AVERAGE(OFFSET($BH$3,0,0,'Données projet'!$E$11+1,1))-AVERAGE(OFFSET($H$3,0,0,'Données projet'!$E$11+1,1))</f>
        <v>252.70779718608964</v>
      </c>
      <c r="BJ68" s="59">
        <f t="shared" si="38"/>
        <v>187.86969111712705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42.556415679861885</v>
      </c>
      <c r="BQ68" s="21">
        <f>EXP(-LN(2)/25)*BQ67+(1-EXP(-LN(2)/25))/(LN(2)/25)*Calculateur!BL68*Calculateur!BN68*VLOOKUP('Données projet'!$B$11,Paramètres!$A$1:$I$89,3,0)*0.475*44/12</f>
        <v>10.775380941406727</v>
      </c>
      <c r="BR68" s="21">
        <f>EXP(-LN(2)/2)*BR67+(1-EXP(-LN(2)/2))/(LN(2)/2)*BL68*BO68*VLOOKUP('Données projet'!$B$11,Paramètres!$A$1:$I$89,3,0)*0.475*44/12</f>
        <v>1.022696465140239</v>
      </c>
      <c r="BS68" s="22">
        <f t="shared" ref="BS68:BS131" si="63">SUM(BP68:BR68)</f>
        <v>54.354493086408851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555</v>
      </c>
      <c r="BW68" s="12">
        <f>VLOOKUP(A68,'Données projet'!$A$113:$I$133,9,0)</f>
        <v>17.399999999999999</v>
      </c>
      <c r="BX68" s="12">
        <f t="array" ref="BX68">INDEX(BW:BW,MIN(IF(ISNUMBER(BW68:BW264),ROW(BW68:BW264),"")))</f>
        <v>17.399999999999999</v>
      </c>
      <c r="BY68" s="12">
        <f>IF('Données projet'!$A$114&gt;35,BY67+BX68-CG67,IF(A68&lt;'Données projet'!$A$114,$BV$205^A68,IF(A68='Données projet'!$A$114,'Données projet'!$B$114,BY67+BX68-CG67)))</f>
        <v>554.99999999999977</v>
      </c>
      <c r="BZ68" s="13">
        <f>BY68*VLOOKUP('Données projet'!$B$12,Paramètres!$A$1:$I$89,3,0)*VLOOKUP('Données projet'!$B$12,Paramètres!$A$1:$I$89,5,0)</f>
        <v>331.88999999999987</v>
      </c>
      <c r="CA68" s="13">
        <f t="shared" si="39"/>
        <v>77.822022056956186</v>
      </c>
      <c r="CB68" s="20">
        <f t="shared" ref="CB68:CB131" si="64">(BZ68+CA68)*0.475*44/12</f>
        <v>713.58177174919854</v>
      </c>
      <c r="CC68" s="59">
        <f t="shared" ref="CC68:CC131" si="65">CB68+(BT68+BU68)*44/12</f>
        <v>1006.9151050825319</v>
      </c>
      <c r="CD68" s="59">
        <f ca="1">AVERAGE(OFFSET($CC$3,0,0,'Données projet'!$E$12+1,1))-AVERAGE(OFFSET($H$3,0,0,'Données projet'!$E$12+1,1))</f>
        <v>279.86432710889352</v>
      </c>
      <c r="CE68" s="59">
        <f t="shared" si="40"/>
        <v>297.01680128882509</v>
      </c>
      <c r="CF68" s="15" t="str">
        <f>IF(ISNA(VLOOKUP(A68,'Données projet'!$A$113:$I$133,3,0)),0,VLOOKUP(A68,'Données projet'!$A$113:$I$133,3,0))</f>
        <v>CR</v>
      </c>
      <c r="CG68" s="15">
        <f>IF(ISNA(VLOOKUP(A68,'Données projet'!$A$113:$I$133,4,0)),0,VLOOKUP(A68,'Données projet'!$A$113:$I$133,4,0))</f>
        <v>555</v>
      </c>
      <c r="CH68" s="16">
        <f>IF(ISNA(VLOOKUP(A68,'Données projet'!$A$113:$I$133,5,0)),0%,VLOOKUP(A68,'Données projet'!$A$113:$I$133,5,0)*VLOOKUP('Données projet'!$B$12,Paramètres!$A$1:$I$89,7,0))</f>
        <v>0.22500000000000001</v>
      </c>
      <c r="CI68" s="16">
        <f>IF(ISNA(VLOOKUP(A68,'Données projet'!$A$113:$I$133,6,0)),0%,VLOOKUP(A68,'Données projet'!$A$113:$I$133,6,0)*VLOOKUP('Données projet'!$B$12,Paramètres!$A$1:$I$89,7,0))</f>
        <v>0.13500000000000001</v>
      </c>
      <c r="CJ68" s="16">
        <f>IF(ISNA(VLOOKUP(A68,'Données projet'!$A$113:$I$133,7,0)),0%,VLOOKUP(A68,'Données projet'!$A$113:$I$133,7,0))</f>
        <v>0.2</v>
      </c>
      <c r="CK68" s="21">
        <f>EXP(-LN(2)/35)*CK67+(1-EXP(-LN(2)/35))/(LN(2)/35)*CG68*CH68*VLOOKUP('Données projet'!$B$12,Paramètres!$A$1:$I$89,3,0)*0.475*44/12</f>
        <v>114.93004699958942</v>
      </c>
      <c r="CL68" s="21">
        <f>EXP(-LN(2)/25)*CL67+(1-EXP(-LN(2)/25))/(LN(2)/25)*Calculateur!CG68*Calculateur!CI68*VLOOKUP('Données projet'!$B$12,Paramètres!$A$1:$I$89,3,0)*0.475*44/12</f>
        <v>95.306451334361611</v>
      </c>
      <c r="CM68" s="21">
        <f>EXP(-LN(2)/2)*CM67+(1-EXP(-LN(2)/2))/(LN(2)/2)*CG68*CJ68*VLOOKUP('Données projet'!$B$12,Paramètres!$A$1:$I$89,3,0)*0.475*44/12</f>
        <v>76.296624258995095</v>
      </c>
      <c r="CN68" s="22">
        <f t="shared" ref="CN68:CN131" si="66">SUM(CK68:CM68)</f>
        <v>286.53312259294614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356</v>
      </c>
      <c r="CR68" s="12">
        <f>VLOOKUP(A68,'Données projet'!$A$139:$I$159,9,0)</f>
        <v>6</v>
      </c>
      <c r="CS68" s="12">
        <f t="array" ref="CS68">INDEX(CR:CR,MIN(IF(ISNUMBER(CR68:CR264),ROW(CR68:CR264),"")))</f>
        <v>6</v>
      </c>
      <c r="CT68" s="12">
        <f>IF('Données projet'!$A$140&gt;35,CT67+CS68-DB67,IF(A68&lt;'Données projet'!$A$140,$CQ$205^A68,IF(A68='Données projet'!$A$140,'Données projet'!$B$140,CT67+CS68-DB67)))</f>
        <v>343.99999999999972</v>
      </c>
      <c r="CU68" s="17">
        <f>CT68*VLOOKUP('Données projet'!$B$13,Paramètres!$A$1:$I$89,3,0)*VLOOKUP('Données projet'!$B$13,Paramètres!$A$1:$I$89,5,0)</f>
        <v>273.68639999999976</v>
      </c>
      <c r="CV68" s="13">
        <f t="shared" si="41"/>
        <v>65.630997870536959</v>
      </c>
      <c r="CW68" s="20">
        <f t="shared" ref="CW68:CW131" si="67">(CU68+CV68)*0.475*44/12</f>
        <v>590.97780129118485</v>
      </c>
      <c r="CX68" s="59">
        <f t="shared" ref="CX68:CX131" si="68">CW68+(CO68+CP68)*44/12</f>
        <v>884.31113462451822</v>
      </c>
      <c r="CY68" s="59">
        <f ca="1">AVERAGE(OFFSET($CX$3,0,0,'Données projet'!$E$13+1,1))-AVERAGE(OFFSET($H$3,0,0,'Données projet'!$E$13+1,1))</f>
        <v>314.6300257056194</v>
      </c>
      <c r="CZ68" s="59">
        <f t="shared" si="42"/>
        <v>298.00555477466668</v>
      </c>
      <c r="DA68" s="15">
        <f>IF(ISNA(VLOOKUP(A68,'Données projet'!$A$139:$I$159,3,0)),0,VLOOKUP(A68,'Données projet'!$A$139:$I$159,3,0))</f>
        <v>9</v>
      </c>
      <c r="DB68" s="15">
        <f>IF(ISNA(VLOOKUP(A68,'Données projet'!$A$139:$I$159,4,0)),0,VLOOKUP(A68,'Données projet'!$A$139:$I$159,4,0))</f>
        <v>16</v>
      </c>
      <c r="DC68" s="16">
        <f>IF(ISNA(VLOOKUP(A68,'Données projet'!$A$139:$I$159,5,0)),0%,VLOOKUP(A68,'Données projet'!$A$139:$I$159,5,0)*VLOOKUP('Données projet'!$B$13,Paramètres!$A$1:$I$89,7,0))</f>
        <v>0.23850000000000002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16.469776962360644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16.469776962360644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356</v>
      </c>
      <c r="DM68" s="12">
        <f>VLOOKUP(A68,'Données projet'!$A$165:$I$185,9,0)</f>
        <v>6</v>
      </c>
      <c r="DN68" s="12">
        <f t="array" ref="DN68">INDEX(DM:DM,MIN(IF(ISNUMBER(DM68:DM264),ROW(DM68:DM264),"")))</f>
        <v>6</v>
      </c>
      <c r="DO68" s="12">
        <f>IF('Données projet'!$A$166&gt;35,DO67+DN68-DW67,IF(A68&lt;'Données projet'!$A$166,$DL$205^A68,IF(A68='Données projet'!$A$166,'Données projet'!$B$166,DO67+DN68-DW67)))</f>
        <v>343.99999999999972</v>
      </c>
      <c r="DP68" s="17">
        <f>DO68*VLOOKUP('Données projet'!$B$14,Paramètres!$A$1:$I$89,3,0)*VLOOKUP('Données projet'!$B$14,Paramètres!$A$1:$I$89,5,0)</f>
        <v>273.68639999999976</v>
      </c>
      <c r="DQ68" s="13">
        <f t="shared" si="43"/>
        <v>65.630997870536959</v>
      </c>
      <c r="DR68" s="20">
        <f t="shared" ref="DR68:DR131" si="70">(DP68+DQ68)*0.475*44/12</f>
        <v>590.97780129118485</v>
      </c>
      <c r="DS68" s="59">
        <f t="shared" ref="DS68:DS131" si="71">DR68+(DJ68+DK68)*44/12</f>
        <v>884.31113462451822</v>
      </c>
      <c r="DT68" s="59">
        <f ca="1">AVERAGE(OFFSET($DS$3,0,0,'Données projet'!$E$14+1,1))-AVERAGE(OFFSET($H$3,0,0,'Données projet'!$E$14+1,1))</f>
        <v>314.6300257056194</v>
      </c>
      <c r="DU68" s="59">
        <f t="shared" si="44"/>
        <v>298.00555477466668</v>
      </c>
      <c r="DV68" s="15">
        <f>IF(ISNA(VLOOKUP(A68,'Données projet'!$A$165:$I$185,3,0)),0,VLOOKUP(A68,'Données projet'!$A$165:$I$185,3,0))</f>
        <v>9</v>
      </c>
      <c r="DW68" s="15">
        <f>IF(ISNA(VLOOKUP(A68,'Données projet'!$A$165:$I$185,4,0)),0,VLOOKUP(A68,'Données projet'!$A$165:$I$185,4,0))</f>
        <v>16</v>
      </c>
      <c r="DX68" s="16">
        <f>IF(ISNA(VLOOKUP(A68,'Données projet'!$A$165:$I$185,5,0)),0%,VLOOKUP(A68,'Données projet'!$A$165:$I$185,5,0)*VLOOKUP('Données projet'!$B$14,Paramètres!$A$1:$I$89,7,0))</f>
        <v>0.23850000000000002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16.469776962360644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16.469776962360644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17.019230769230759</v>
      </c>
      <c r="EJ68" s="12">
        <f>IF('Données projet'!$A$192&gt;35,EJ67+EI68-ER67,IF(A68&lt;'Données projet'!$A$192,$EG$205^A68,IF(A68='Données projet'!$A$192,'Données projet'!$B$192,EJ67+EI68-ER67)))</f>
        <v>388.0230769230771</v>
      </c>
      <c r="EK68" s="17">
        <f>EJ68*VLOOKUP('Données projet'!$B$15,Paramètres!$A$1:$I$89,3,0)*VLOOKUP('Données projet'!$B$15,Paramètres!$A$1:$I$89,5,0)</f>
        <v>186.6391000000001</v>
      </c>
      <c r="EL68" s="13">
        <f t="shared" si="45"/>
        <v>46.796135532117269</v>
      </c>
      <c r="EM68" s="20">
        <f t="shared" ref="EM68:EM131" si="73">(EK68+EL68)*0.475*44/12</f>
        <v>406.56636855177106</v>
      </c>
      <c r="EN68" s="59">
        <f t="shared" ref="EN68:EN131" si="74">EM68+(EE68+EF68)*44/12</f>
        <v>699.89970188510438</v>
      </c>
      <c r="EO68" s="59">
        <f ca="1">AVERAGE(OFFSET($EN$3,0,0,'Données projet'!$E$15+1,1))-AVERAGE(OFFSET($H$3,0,0,'Données projet'!$E$15+1,1))</f>
        <v>238.83604534181978</v>
      </c>
      <c r="EP68" s="59">
        <f t="shared" si="46"/>
        <v>114.85152559837792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244</v>
      </c>
      <c r="FC68" s="12">
        <f>VLOOKUP(A68,'Données projet'!$A$217:$I$237,9,0)</f>
        <v>4.5999999999999996</v>
      </c>
      <c r="FD68" s="12">
        <f t="array" ref="FD68">INDEX(FC:FC,MIN(IF(ISNUMBER(FC68:FC264),ROW(FC68:FC264),"")))</f>
        <v>4.5999999999999996</v>
      </c>
      <c r="FE68" s="12">
        <f>IF('Données projet'!$A$218&gt;35,FE67+FD68-FM67,IF(A68&lt;'Données projet'!$A$218,$FB$205^A68,IF(A68='Données projet'!$A$218,'Données projet'!$B$218,FE67+FD68-FM67)))</f>
        <v>244</v>
      </c>
      <c r="FF68" s="17">
        <f>FE68*VLOOKUP('Données projet'!$B$16,Paramètres!$A$1:$I$89,3,0)*VLOOKUP('Données projet'!$B$16,Paramètres!$A$1:$I$89,5,0)</f>
        <v>197.93280000000001</v>
      </c>
      <c r="FG68" s="13">
        <f t="shared" si="47"/>
        <v>49.289585385002731</v>
      </c>
      <c r="FH68" s="20">
        <f t="shared" ref="FH68:FH131" si="76">(FF68+FG68)*0.475*44/12</f>
        <v>430.57898787887979</v>
      </c>
      <c r="FI68" s="59">
        <f t="shared" ref="FI68:FI131" si="77">FH68+(EZ68+FA68)*44/12</f>
        <v>723.9123212122131</v>
      </c>
      <c r="FJ68" s="59">
        <f ca="1">AVERAGE(OFFSET($FI$3,0,0,'Données projet'!$E$16+1,1))-AVERAGE(OFFSET($H$3,0,0,'Données projet'!$E$16+1,1))</f>
        <v>196.95467273423861</v>
      </c>
      <c r="FK68" s="59">
        <f t="shared" si="48"/>
        <v>173.8709326829258</v>
      </c>
      <c r="FL68" s="15">
        <f>IF(ISNA(VLOOKUP(A68,'Données projet'!$A$217:$I$237,3,0)),0,VLOOKUP(A68,'Données projet'!$A$217:$I$237,3,0))</f>
        <v>10</v>
      </c>
      <c r="FM68" s="15">
        <f>IF(ISNA(VLOOKUP(A68,'Données projet'!$A$217:$I$237,4,0)),0,VLOOKUP(A68,'Données projet'!$A$217:$I$237,4,0))</f>
        <v>11</v>
      </c>
      <c r="FN68" s="16">
        <f>IF(ISNA(VLOOKUP(A68,'Données projet'!$A$217:$I$237,5,0)),0%,VLOOKUP(A68,'Données projet'!$A$217:$I$237,5,0)*VLOOKUP('Données projet'!$B$16,Paramètres!$A$1:$I$89,7,0))</f>
        <v>0.215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0.3</v>
      </c>
      <c r="FQ68" s="21">
        <f>EXP(-LN(2)/35)*FQ67+(1-EXP(-LN(2)/35))/(LN(2)/35)*FM68*FN68*VLOOKUP('Données projet'!$B$16,Paramètres!$A$1:$I$89,3,0)*0.475*44/12</f>
        <v>13.208659554759315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3.1432271168571306</v>
      </c>
      <c r="FT68" s="22">
        <f t="shared" ref="FT68:FT131" si="78">SUM(FQ68:FS68)</f>
        <v>16.351886671616445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244</v>
      </c>
      <c r="FX68" s="12">
        <f>VLOOKUP(A68,'Données projet'!$A$243:$I$263,9,0)</f>
        <v>4.5999999999999996</v>
      </c>
      <c r="FY68" s="12">
        <f t="array" ref="FY68">INDEX(FX:FX,MIN(IF(ISNUMBER(FX68:FX264),ROW(FX68:FX264),"")))</f>
        <v>4.5999999999999996</v>
      </c>
      <c r="FZ68" s="12">
        <f>IF('Données projet'!$A$244&gt;35,FZ67+FY68-GH67,IF(A68&lt;'Données projet'!$A$244,$FW$205^A68,IF(A68='Données projet'!$A$244,'Données projet'!$B$244,FZ67+FY68-GH67)))</f>
        <v>244</v>
      </c>
      <c r="GA68" s="17">
        <f>FZ68*VLOOKUP('Données projet'!$B$17,Paramètres!$A$1:$I$89,3,0)*VLOOKUP('Données projet'!$B$17,Paramètres!$A$1:$I$89,5,0)</f>
        <v>262.64159999999998</v>
      </c>
      <c r="GB68" s="13">
        <f t="shared" si="49"/>
        <v>63.285128621471941</v>
      </c>
      <c r="GC68" s="20">
        <f t="shared" ref="GC68:GC131" si="79">(GA68+GB68)*0.475*44/12</f>
        <v>567.65571901573026</v>
      </c>
      <c r="GD68" s="59">
        <f t="shared" ref="GD68:GD131" si="80">GC68+(FU68+FV68)*44/12</f>
        <v>860.98905234906351</v>
      </c>
      <c r="GE68" s="59">
        <f ca="1">AVERAGE(OFFSET($GD$3,0,0,'Données projet'!$E$17+1,1))-AVERAGE(OFFSET($H$3,0,0,'Données projet'!$E$17+1,1))</f>
        <v>275.5229427552884</v>
      </c>
      <c r="GF68" s="59">
        <f t="shared" si="50"/>
        <v>241.20234081716143</v>
      </c>
      <c r="GG68" s="15">
        <f>IF(ISNA(VLOOKUP(A68,'Données projet'!$A$243:$I$263,3,0)),0,VLOOKUP(A68,'Données projet'!$A$243:$I$263,3,0))</f>
        <v>10</v>
      </c>
      <c r="GH68" s="15">
        <f>IF(ISNA(VLOOKUP(A68,'Données projet'!$A$243:$I$263,4,0)),0,VLOOKUP(A68,'Données projet'!$A$243:$I$263,4,0))</f>
        <v>11</v>
      </c>
      <c r="GI68" s="16">
        <f>IF(ISNA(VLOOKUP(A68,'Données projet'!$A$243:$I$263,5,0)),0%,VLOOKUP(A68,'Données projet'!$A$243:$I$263,5,0)*VLOOKUP('Données projet'!$B$17,Paramètres!$A$1:$I$89,7,0))</f>
        <v>0.215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0.3</v>
      </c>
      <c r="GL68" s="21">
        <f>EXP(-LN(2)/35)*GL67+(1-EXP(-LN(2)/35))/(LN(2)/35)*GH68*GI68*VLOOKUP('Données projet'!$B$17,Paramètres!$A$1:$I$89,3,0)*0.475*44/12</f>
        <v>17.526875178430622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4.1708205973681141</v>
      </c>
      <c r="GO68" s="21">
        <f t="shared" ref="GO68:GO131" si="81">SUM(GL68:GN68)</f>
        <v>21.697695775798735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274.57619581652199</v>
      </c>
      <c r="T69" s="59">
        <f t="shared" ref="T69:T132" si="88">$T$3</f>
        <v>366.15117322598775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 t="e">
        <f>EXP(-LN(2)/35)*Z68+(1-EXP(-LN(2)/35))/(LN(2)/35)*V69*W69*VLOOKUP('Données projet'!$B$9,Paramètres!$A$1:$I$89,3,0)*0.475*44/12</f>
        <v>#VALUE!</v>
      </c>
      <c r="AA69" s="21" t="e">
        <f>EXP(-LN(2)/25)*AA68+(1-EXP(-LN(2)/25))/(LN(2)/25)*Calculateur!V69*Calculateur!X69*VLOOKUP('Données projet'!$B$9,Paramètres!$A$1:$I$89,3,0)*0.475*44/12</f>
        <v>#VALUE!</v>
      </c>
      <c r="AB69" s="21" t="e">
        <f>EXP(-LN(2)/2)*AB68+(1-EXP(-LN(2)/2))/(LN(2)/2)*V69*Y69*VLOOKUP('Données projet'!$B$9,Paramètres!$A$1:$I$89,3,0)*0.475*44/12</f>
        <v>#VALUE!</v>
      </c>
      <c r="AC69" s="22" t="e">
        <f t="shared" si="57"/>
        <v>#VALUE!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175.05987582828078</v>
      </c>
      <c r="AO69" s="59">
        <f t="shared" ref="AO69:AO132" si="90">$AO$3</f>
        <v>268.54782308462387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149.47332918846706</v>
      </c>
      <c r="AV69" s="21">
        <f>EXP(-LN(2)/25)*AV68+(1-EXP(-LN(2)/25))/(LN(2)/25)*Calculateur!AQ69*Calculateur!AS69*VLOOKUP('Données projet'!$B$10,Paramètres!$A$1:$I$89,3,0)*0.475*44/12</f>
        <v>35.687221677735067</v>
      </c>
      <c r="AW69" s="21">
        <f>EXP(-LN(2)/2)*AW68+(1-EXP(-LN(2)/2))/(LN(2)/2)*AQ69*AT69*VLOOKUP('Données projet'!$B$10,Paramètres!$A$1:$I$89,3,0)*0.475*44/12</f>
        <v>3.5574324092773035</v>
      </c>
      <c r="AX69" s="21">
        <f t="shared" si="60"/>
        <v>188.71798327547944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15.5</v>
      </c>
      <c r="BD69" s="12">
        <f>IF('Données projet'!$A$88&gt;35,BD68+BC69-BL68,IF(A69&lt;'Données projet'!$A$88,$BA$205^A69,IF(A69='Données projet'!$A$88,'Données projet'!$B$88,BD68+BC69-BL68)))</f>
        <v>415.25663999999989</v>
      </c>
      <c r="BE69" s="13">
        <f>BD69*VLOOKUP('Données projet'!$B$11,Paramètres!$A$1:$I$89,3,0)*VLOOKUP('Données projet'!$B$11,Paramètres!$A$1:$I$89,5,0)</f>
        <v>194.34010751999995</v>
      </c>
      <c r="BF69" s="13">
        <f t="shared" ref="BF69:BF132" si="91">EXP(-1.0587+0.8836*LN(BE69)+0.284)</f>
        <v>48.498224067522372</v>
      </c>
      <c r="BG69" s="20">
        <f t="shared" si="61"/>
        <v>422.94342751493468</v>
      </c>
      <c r="BH69" s="59">
        <f t="shared" si="62"/>
        <v>716.27676084826794</v>
      </c>
      <c r="BI69" s="59">
        <f ca="1">AVERAGE(OFFSET($BH$3,0,0,'Données projet'!$E$11+1,1))-AVERAGE(OFFSET($H$3,0,0,'Données projet'!$E$11+1,1))</f>
        <v>252.70779718608964</v>
      </c>
      <c r="BJ69" s="59">
        <f t="shared" ref="BJ69:BJ132" si="92">$BJ$3</f>
        <v>187.86969111712705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41.721910325230333</v>
      </c>
      <c r="BQ69" s="21">
        <f>EXP(-LN(2)/25)*BQ68+(1-EXP(-LN(2)/25))/(LN(2)/25)*Calculateur!BL69*Calculateur!BN69*VLOOKUP('Données projet'!$B$11,Paramètres!$A$1:$I$89,3,0)*0.475*44/12</f>
        <v>10.480727582911303</v>
      </c>
      <c r="BR69" s="21">
        <f>EXP(-LN(2)/2)*BR68+(1-EXP(-LN(2)/2))/(LN(2)/2)*BL69*BO69*VLOOKUP('Données projet'!$B$11,Paramètres!$A$1:$I$89,3,0)*0.475*44/12</f>
        <v>0.72315560559617464</v>
      </c>
      <c r="BS69" s="22">
        <f t="shared" si="63"/>
        <v>52.925793513737815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-2.2737367544323206E-13</v>
      </c>
      <c r="BZ69" s="13">
        <f>BY69*VLOOKUP('Données projet'!$B$12,Paramètres!$A$1:$I$89,3,0)*VLOOKUP('Données projet'!$B$12,Paramètres!$A$1:$I$89,5,0)</f>
        <v>-1.3596945791505279E-13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279.86432710889352</v>
      </c>
      <c r="CE69" s="59">
        <f t="shared" ref="CE69:CE132" si="94">$CE$3</f>
        <v>297.01680128882509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112.67633887833431</v>
      </c>
      <c r="CL69" s="21">
        <f>EXP(-LN(2)/25)*CL68+(1-EXP(-LN(2)/25))/(LN(2)/25)*Calculateur!CG69*Calculateur!CI69*VLOOKUP('Données projet'!$B$12,Paramètres!$A$1:$I$89,3,0)*0.475*44/12</f>
        <v>92.70029141067505</v>
      </c>
      <c r="CM69" s="21">
        <f>EXP(-LN(2)/2)*CM68+(1-EXP(-LN(2)/2))/(LN(2)/2)*CG69*CJ69*VLOOKUP('Données projet'!$B$12,Paramètres!$A$1:$I$89,3,0)*0.475*44/12</f>
        <v>53.949860395177481</v>
      </c>
      <c r="CN69" s="22">
        <f t="shared" si="66"/>
        <v>259.32649068418687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333.1999999999997</v>
      </c>
      <c r="CU69" s="17">
        <f>CT69*VLOOKUP('Données projet'!$B$13,Paramètres!$A$1:$I$89,3,0)*VLOOKUP('Données projet'!$B$13,Paramètres!$A$1:$I$89,5,0)</f>
        <v>265.09391999999974</v>
      </c>
      <c r="CV69" s="13">
        <f t="shared" ref="CV69:CV132" si="95">EXP(-1.0587+0.8836*LN(CU69)+0.284)</f>
        <v>63.806966675963892</v>
      </c>
      <c r="CW69" s="20">
        <f t="shared" si="67"/>
        <v>572.83571096063667</v>
      </c>
      <c r="CX69" s="59">
        <f t="shared" si="68"/>
        <v>866.16904429397005</v>
      </c>
      <c r="CY69" s="59">
        <f ca="1">AVERAGE(OFFSET($CX$3,0,0,'Données projet'!$E$13+1,1))-AVERAGE(OFFSET($H$3,0,0,'Données projet'!$E$13+1,1))</f>
        <v>314.6300257056194</v>
      </c>
      <c r="CZ69" s="59">
        <f t="shared" ref="CZ69:CZ132" si="96">$CZ$3</f>
        <v>298.00555477466668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16.146814681700782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16.146814681700782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5.2</v>
      </c>
      <c r="DO69" s="12">
        <f>IF('Données projet'!$A$166&gt;35,DO68+DN69-DW68,IF(A69&lt;'Données projet'!$A$166,$DL$205^A69,IF(A69='Données projet'!$A$166,'Données projet'!$B$166,DO68+DN69-DW68)))</f>
        <v>333.1999999999997</v>
      </c>
      <c r="DP69" s="17">
        <f>DO69*VLOOKUP('Données projet'!$B$14,Paramètres!$A$1:$I$89,3,0)*VLOOKUP('Données projet'!$B$14,Paramètres!$A$1:$I$89,5,0)</f>
        <v>265.09391999999974</v>
      </c>
      <c r="DQ69" s="13">
        <f t="shared" ref="DQ69:DQ132" si="97">EXP(-1.0587+0.8836*LN(DP69)+0.284)</f>
        <v>63.806966675963892</v>
      </c>
      <c r="DR69" s="20">
        <f t="shared" si="70"/>
        <v>572.83571096063667</v>
      </c>
      <c r="DS69" s="59">
        <f t="shared" si="71"/>
        <v>866.16904429397005</v>
      </c>
      <c r="DT69" s="59">
        <f ca="1">AVERAGE(OFFSET($DS$3,0,0,'Données projet'!$E$14+1,1))-AVERAGE(OFFSET($H$3,0,0,'Données projet'!$E$14+1,1))</f>
        <v>314.6300257056194</v>
      </c>
      <c r="DU69" s="59">
        <f t="shared" ref="DU69:DU132" si="98">$DU$3</f>
        <v>298.00555477466668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16.146814681700782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16.146814681700782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17.019230769230759</v>
      </c>
      <c r="EJ69" s="12">
        <f>IF('Données projet'!$A$192&gt;35,EJ68+EI69-ER68,IF(A69&lt;'Données projet'!$A$192,$EG$205^A69,IF(A69='Données projet'!$A$192,'Données projet'!$B$192,EJ68+EI69-ER68)))</f>
        <v>405.04230769230787</v>
      </c>
      <c r="EK69" s="17">
        <f>EJ69*VLOOKUP('Données projet'!$B$15,Paramètres!$A$1:$I$89,3,0)*VLOOKUP('Données projet'!$B$15,Paramètres!$A$1:$I$89,5,0)</f>
        <v>194.8253500000001</v>
      </c>
      <c r="EL69" s="13">
        <f t="shared" ref="EL69:EL132" si="99">EXP(-1.0587+0.8836*LN(EK69)+0.284)</f>
        <v>48.605207089427836</v>
      </c>
      <c r="EM69" s="20">
        <f t="shared" si="73"/>
        <v>423.97488693075366</v>
      </c>
      <c r="EN69" s="59">
        <f t="shared" si="74"/>
        <v>717.30822026408691</v>
      </c>
      <c r="EO69" s="59">
        <f ca="1">AVERAGE(OFFSET($EN$3,0,0,'Données projet'!$E$15+1,1))-AVERAGE(OFFSET($H$3,0,0,'Données projet'!$E$15+1,1))</f>
        <v>238.83604534181978</v>
      </c>
      <c r="EP69" s="59">
        <f t="shared" ref="EP69:EP132" si="100">$EP$3</f>
        <v>114.85152559837792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</v>
      </c>
      <c r="FE69" s="12">
        <f>IF('Données projet'!$A$218&gt;35,FE68+FD69-FM68,IF(A69&lt;'Données projet'!$A$218,$FB$205^A69,IF(A69='Données projet'!$A$218,'Données projet'!$B$218,FE68+FD69-FM68)))</f>
        <v>237</v>
      </c>
      <c r="FF69" s="17">
        <f>FE69*VLOOKUP('Données projet'!$B$16,Paramètres!$A$1:$I$89,3,0)*VLOOKUP('Données projet'!$B$16,Paramètres!$A$1:$I$89,5,0)</f>
        <v>192.25440000000003</v>
      </c>
      <c r="FG69" s="13">
        <f t="shared" ref="FG69:FG132" si="101">EXP(-1.0587+0.8836*LN(FF69)+0.284)</f>
        <v>48.038026007842433</v>
      </c>
      <c r="FH69" s="20">
        <f t="shared" si="76"/>
        <v>418.50930863032562</v>
      </c>
      <c r="FI69" s="59">
        <f t="shared" si="77"/>
        <v>711.84264196365893</v>
      </c>
      <c r="FJ69" s="59">
        <f ca="1">AVERAGE(OFFSET($FI$3,0,0,'Données projet'!$E$16+1,1))-AVERAGE(OFFSET($H$3,0,0,'Données projet'!$E$16+1,1))</f>
        <v>196.95467273423861</v>
      </c>
      <c r="FK69" s="59">
        <f t="shared" ref="FK69:FK132" si="102">$FK$3</f>
        <v>173.8709326829258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12.9496457973773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2.222597209139118</v>
      </c>
      <c r="FT69" s="22">
        <f t="shared" si="78"/>
        <v>15.172243006516418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</v>
      </c>
      <c r="FZ69" s="12">
        <f>IF('Données projet'!$A$244&gt;35,FZ68+FY69-GH68,IF(A69&lt;'Données projet'!$A$244,$FW$205^A69,IF(A69='Données projet'!$A$244,'Données projet'!$B$244,FZ68+FY69-GH68)))</f>
        <v>237</v>
      </c>
      <c r="GA69" s="17">
        <f>FZ69*VLOOKUP('Données projet'!$B$17,Paramètres!$A$1:$I$89,3,0)*VLOOKUP('Données projet'!$B$17,Paramètres!$A$1:$I$89,5,0)</f>
        <v>255.10680000000002</v>
      </c>
      <c r="GB69" s="13">
        <f t="shared" ref="GB69:GB132" si="103">EXP(-1.0587+0.8836*LN(GA69)+0.284)</f>
        <v>61.678194914435764</v>
      </c>
      <c r="GC69" s="20">
        <f t="shared" si="79"/>
        <v>551.73386614264234</v>
      </c>
      <c r="GD69" s="59">
        <f t="shared" si="80"/>
        <v>845.06719947597571</v>
      </c>
      <c r="GE69" s="59">
        <f ca="1">AVERAGE(OFFSET($GD$3,0,0,'Données projet'!$E$17+1,1))-AVERAGE(OFFSET($H$3,0,0,'Données projet'!$E$17+1,1))</f>
        <v>275.5229427552884</v>
      </c>
      <c r="GF69" s="59">
        <f t="shared" ref="GF69:GF132" si="104">$GF$3</f>
        <v>241.20234081716143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17.183183846519874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2.9492155275115208</v>
      </c>
      <c r="GO69" s="21">
        <f t="shared" si="81"/>
        <v>20.132399374031394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274.57619581652199</v>
      </c>
      <c r="T70" s="59">
        <f t="shared" si="88"/>
        <v>366.15117322598775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 t="e">
        <f>EXP(-LN(2)/35)*Z69+(1-EXP(-LN(2)/35))/(LN(2)/35)*V70*W70*VLOOKUP('Données projet'!$B$9,Paramètres!$A$1:$I$89,3,0)*0.475*44/12</f>
        <v>#VALUE!</v>
      </c>
      <c r="AA70" s="21" t="e">
        <f>EXP(-LN(2)/25)*AA69+(1-EXP(-LN(2)/25))/(LN(2)/25)*Calculateur!V70*Calculateur!X70*VLOOKUP('Données projet'!$B$9,Paramètres!$A$1:$I$89,3,0)*0.475*44/12</f>
        <v>#VALUE!</v>
      </c>
      <c r="AB70" s="21" t="e">
        <f>EXP(-LN(2)/2)*AB69+(1-EXP(-LN(2)/2))/(LN(2)/2)*V70*Y70*VLOOKUP('Données projet'!$B$9,Paramètres!$A$1:$I$89,3,0)*0.475*44/12</f>
        <v>#VALUE!</v>
      </c>
      <c r="AC70" s="22" t="e">
        <f t="shared" si="57"/>
        <v>#VALUE!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175.05987582828078</v>
      </c>
      <c r="AO70" s="59">
        <f t="shared" si="90"/>
        <v>268.54782308462387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146.54224837280975</v>
      </c>
      <c r="AV70" s="21">
        <f>EXP(-LN(2)/25)*AV69+(1-EXP(-LN(2)/25))/(LN(2)/25)*Calculateur!AQ70*Calculateur!AS70*VLOOKUP('Données projet'!$B$10,Paramètres!$A$1:$I$89,3,0)*0.475*44/12</f>
        <v>34.71135272424798</v>
      </c>
      <c r="AW70" s="21">
        <f>EXP(-LN(2)/2)*AW69+(1-EXP(-LN(2)/2))/(LN(2)/2)*AQ70*AT70*VLOOKUP('Données projet'!$B$10,Paramètres!$A$1:$I$89,3,0)*0.475*44/12</f>
        <v>2.515484580212779</v>
      </c>
      <c r="AX70" s="21">
        <f t="shared" si="60"/>
        <v>183.76908567727051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15.5</v>
      </c>
      <c r="BD70" s="12">
        <f>IF('Données projet'!$A$88&gt;35,BD69+BC70-BL69,IF(A70&lt;'Données projet'!$A$88,$BA$205^A70,IF(A70='Données projet'!$A$88,'Données projet'!$B$88,BD69+BC70-BL69)))</f>
        <v>430.75663999999989</v>
      </c>
      <c r="BE70" s="13">
        <f>BD70*VLOOKUP('Données projet'!$B$11,Paramètres!$A$1:$I$89,3,0)*VLOOKUP('Données projet'!$B$11,Paramètres!$A$1:$I$89,5,0)</f>
        <v>201.59410751999997</v>
      </c>
      <c r="BF70" s="13">
        <f t="shared" si="91"/>
        <v>50.09434227347294</v>
      </c>
      <c r="BG70" s="20">
        <f t="shared" si="61"/>
        <v>438.35738339029859</v>
      </c>
      <c r="BH70" s="59">
        <f t="shared" si="62"/>
        <v>731.69071672363191</v>
      </c>
      <c r="BI70" s="59">
        <f ca="1">AVERAGE(OFFSET($BH$3,0,0,'Données projet'!$E$11+1,1))-AVERAGE(OFFSET($H$3,0,0,'Données projet'!$E$11+1,1))</f>
        <v>252.70779718608964</v>
      </c>
      <c r="BJ70" s="59">
        <f t="shared" si="92"/>
        <v>187.86969111712705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40.903769111605101</v>
      </c>
      <c r="BQ70" s="21">
        <f>EXP(-LN(2)/25)*BQ69+(1-EXP(-LN(2)/25))/(LN(2)/25)*Calculateur!BL70*Calculateur!BN70*VLOOKUP('Données projet'!$B$11,Paramètres!$A$1:$I$89,3,0)*0.475*44/12</f>
        <v>10.194131535999084</v>
      </c>
      <c r="BR70" s="21">
        <f>EXP(-LN(2)/2)*BR69+(1-EXP(-LN(2)/2))/(LN(2)/2)*BL70*BO70*VLOOKUP('Données projet'!$B$11,Paramètres!$A$1:$I$89,3,0)*0.475*44/12</f>
        <v>0.51134823257011952</v>
      </c>
      <c r="BS70" s="22">
        <f t="shared" si="63"/>
        <v>51.609248880174306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-2.2737367544323206E-13</v>
      </c>
      <c r="BZ70" s="13">
        <f>BY70*VLOOKUP('Données projet'!$B$12,Paramètres!$A$1:$I$89,3,0)*VLOOKUP('Données projet'!$B$12,Paramètres!$A$1:$I$89,5,0)</f>
        <v>-1.3596945791505279E-13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279.86432710889352</v>
      </c>
      <c r="CE70" s="59">
        <f t="shared" si="94"/>
        <v>297.01680128882509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110.46682459871077</v>
      </c>
      <c r="CL70" s="21">
        <f>EXP(-LN(2)/25)*CL69+(1-EXP(-LN(2)/25))/(LN(2)/25)*Calculateur!CG70*Calculateur!CI70*VLOOKUP('Données projet'!$B$12,Paramètres!$A$1:$I$89,3,0)*0.475*44/12</f>
        <v>90.165397067153691</v>
      </c>
      <c r="CM70" s="21">
        <f>EXP(-LN(2)/2)*CM69+(1-EXP(-LN(2)/2))/(LN(2)/2)*CG70*CJ70*VLOOKUP('Données projet'!$B$12,Paramètres!$A$1:$I$89,3,0)*0.475*44/12</f>
        <v>38.148312129497555</v>
      </c>
      <c r="CN70" s="22">
        <f t="shared" si="66"/>
        <v>238.780533795362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338.39999999999969</v>
      </c>
      <c r="CU70" s="17">
        <f>CT70*VLOOKUP('Données projet'!$B$13,Paramètres!$A$1:$I$89,3,0)*VLOOKUP('Données projet'!$B$13,Paramètres!$A$1:$I$89,5,0)</f>
        <v>269.23103999999972</v>
      </c>
      <c r="CV70" s="13">
        <f t="shared" si="95"/>
        <v>64.686049490098227</v>
      </c>
      <c r="CW70" s="20">
        <f t="shared" si="67"/>
        <v>581.57226419525387</v>
      </c>
      <c r="CX70" s="59">
        <f t="shared" si="68"/>
        <v>874.90559752858712</v>
      </c>
      <c r="CY70" s="59">
        <f ca="1">AVERAGE(OFFSET($CX$3,0,0,'Données projet'!$E$13+1,1))-AVERAGE(OFFSET($H$3,0,0,'Données projet'!$E$13+1,1))</f>
        <v>314.6300257056194</v>
      </c>
      <c r="CZ70" s="59">
        <f t="shared" si="96"/>
        <v>298.00555477466668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15.830185494377119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15.830185494377119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5.2</v>
      </c>
      <c r="DO70" s="12">
        <f>IF('Données projet'!$A$166&gt;35,DO69+DN70-DW69,IF(A70&lt;'Données projet'!$A$166,$DL$205^A70,IF(A70='Données projet'!$A$166,'Données projet'!$B$166,DO69+DN70-DW69)))</f>
        <v>338.39999999999969</v>
      </c>
      <c r="DP70" s="17">
        <f>DO70*VLOOKUP('Données projet'!$B$14,Paramètres!$A$1:$I$89,3,0)*VLOOKUP('Données projet'!$B$14,Paramètres!$A$1:$I$89,5,0)</f>
        <v>269.23103999999972</v>
      </c>
      <c r="DQ70" s="13">
        <f t="shared" si="97"/>
        <v>64.686049490098227</v>
      </c>
      <c r="DR70" s="20">
        <f t="shared" si="70"/>
        <v>581.57226419525387</v>
      </c>
      <c r="DS70" s="59">
        <f t="shared" si="71"/>
        <v>874.90559752858712</v>
      </c>
      <c r="DT70" s="59">
        <f ca="1">AVERAGE(OFFSET($DS$3,0,0,'Données projet'!$E$14+1,1))-AVERAGE(OFFSET($H$3,0,0,'Données projet'!$E$14+1,1))</f>
        <v>314.6300257056194</v>
      </c>
      <c r="DU70" s="59">
        <f t="shared" si="98"/>
        <v>298.00555477466668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15.830185494377119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15.830185494377119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>
        <f>VLOOKUP(A70,'Données projet'!$A$191:$I$211,2,0)</f>
        <v>422.06153846153842</v>
      </c>
      <c r="EH70" s="12">
        <f>VLOOKUP(A70,'Données projet'!$A$191:$I$211,9,0)</f>
        <v>17.019230769230759</v>
      </c>
      <c r="EI70" s="12">
        <f t="array" ref="EI70">INDEX(EH:EH,MIN(IF(ISNUMBER(EH70:EH266),ROW(EH70:EH266),"")))</f>
        <v>17.019230769230759</v>
      </c>
      <c r="EJ70" s="12">
        <f>IF('Données projet'!$A$192&gt;35,EJ69+EI70-ER69,IF(A70&lt;'Données projet'!$A$192,$EG$205^A70,IF(A70='Données projet'!$A$192,'Données projet'!$B$192,EJ69+EI70-ER69)))</f>
        <v>422.06153846153865</v>
      </c>
      <c r="EK70" s="17">
        <f>EJ70*VLOOKUP('Données projet'!$B$15,Paramètres!$A$1:$I$89,3,0)*VLOOKUP('Données projet'!$B$15,Paramètres!$A$1:$I$89,5,0)</f>
        <v>203.0116000000001</v>
      </c>
      <c r="EL70" s="13">
        <f t="shared" si="99"/>
        <v>50.405449441282769</v>
      </c>
      <c r="EM70" s="20">
        <f t="shared" si="73"/>
        <v>441.36802777690099</v>
      </c>
      <c r="EN70" s="59">
        <f t="shared" si="74"/>
        <v>734.7013611102343</v>
      </c>
      <c r="EO70" s="59">
        <f ca="1">AVERAGE(OFFSET($EN$3,0,0,'Données projet'!$E$15+1,1))-AVERAGE(OFFSET($H$3,0,0,'Données projet'!$E$15+1,1))</f>
        <v>238.83604534181978</v>
      </c>
      <c r="EP70" s="59">
        <f t="shared" si="100"/>
        <v>114.85152559837792</v>
      </c>
      <c r="EQ70" s="15">
        <f>IF(ISNA(VLOOKUP(A70,'Données projet'!$A$191:$I$211,3,0)),0,VLOOKUP(A70,'Données projet'!$A$191:$I$211,3,0))</f>
        <v>4</v>
      </c>
      <c r="ER70" s="15">
        <f>IF(ISNA(VLOOKUP(A70,'Données projet'!$A$191:$I$211,4,0)),0,VLOOKUP(A70,'Données projet'!$A$191:$I$211,4,0))</f>
        <v>92.107692307692304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</v>
      </c>
      <c r="FE70" s="12">
        <f>IF('Données projet'!$A$218&gt;35,FE69+FD70-FM69,IF(A70&lt;'Données projet'!$A$218,$FB$205^A70,IF(A70='Données projet'!$A$218,'Données projet'!$B$218,FE69+FD70-FM69)))</f>
        <v>241</v>
      </c>
      <c r="FF70" s="17">
        <f>FE70*VLOOKUP('Données projet'!$B$16,Paramètres!$A$1:$I$89,3,0)*VLOOKUP('Données projet'!$B$16,Paramètres!$A$1:$I$89,5,0)</f>
        <v>195.49920000000003</v>
      </c>
      <c r="FG70" s="13">
        <f t="shared" si="101"/>
        <v>48.753721622209305</v>
      </c>
      <c r="FH70" s="20">
        <f t="shared" si="76"/>
        <v>425.40717182534786</v>
      </c>
      <c r="FI70" s="59">
        <f t="shared" si="77"/>
        <v>718.74050515868112</v>
      </c>
      <c r="FJ70" s="59">
        <f ca="1">AVERAGE(OFFSET($FI$3,0,0,'Données projet'!$E$16+1,1))-AVERAGE(OFFSET($H$3,0,0,'Données projet'!$E$16+1,1))</f>
        <v>196.95467273423861</v>
      </c>
      <c r="FK70" s="59">
        <f t="shared" si="102"/>
        <v>173.8709326829258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12.695711141794755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1.5716135584285655</v>
      </c>
      <c r="FT70" s="22">
        <f t="shared" si="78"/>
        <v>14.26732470022332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</v>
      </c>
      <c r="FZ70" s="12">
        <f>IF('Données projet'!$A$244&gt;35,FZ69+FY70-GH69,IF(A70&lt;'Données projet'!$A$244,$FW$205^A70,IF(A70='Données projet'!$A$244,'Données projet'!$B$244,FZ69+FY70-GH69)))</f>
        <v>241</v>
      </c>
      <c r="GA70" s="17">
        <f>FZ70*VLOOKUP('Données projet'!$B$17,Paramètres!$A$1:$I$89,3,0)*VLOOKUP('Données projet'!$B$17,Paramètres!$A$1:$I$89,5,0)</f>
        <v>259.41239999999999</v>
      </c>
      <c r="GB70" s="13">
        <f t="shared" si="103"/>
        <v>62.597108893022593</v>
      </c>
      <c r="GC70" s="20">
        <f t="shared" si="79"/>
        <v>560.83322798868096</v>
      </c>
      <c r="GD70" s="59">
        <f t="shared" si="80"/>
        <v>854.16656132201433</v>
      </c>
      <c r="GE70" s="59">
        <f ca="1">AVERAGE(OFFSET($GD$3,0,0,'Données projet'!$E$17+1,1))-AVERAGE(OFFSET($H$3,0,0,'Données projet'!$E$17+1,1))</f>
        <v>275.5229427552884</v>
      </c>
      <c r="GF70" s="59">
        <f t="shared" si="104"/>
        <v>241.20234081716143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16.846232091996882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2.0854102986840575</v>
      </c>
      <c r="GO70" s="21">
        <f t="shared" si="81"/>
        <v>18.931642390680938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274.57619581652199</v>
      </c>
      <c r="T71" s="59">
        <f t="shared" si="88"/>
        <v>366.15117322598775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 t="e">
        <f>EXP(-LN(2)/35)*Z70+(1-EXP(-LN(2)/35))/(LN(2)/35)*V71*W71*VLOOKUP('Données projet'!$B$9,Paramètres!$A$1:$I$89,3,0)*0.475*44/12</f>
        <v>#VALUE!</v>
      </c>
      <c r="AA71" s="21" t="e">
        <f>EXP(-LN(2)/25)*AA70+(1-EXP(-LN(2)/25))/(LN(2)/25)*Calculateur!V71*Calculateur!X71*VLOOKUP('Données projet'!$B$9,Paramètres!$A$1:$I$89,3,0)*0.475*44/12</f>
        <v>#VALUE!</v>
      </c>
      <c r="AB71" s="21" t="e">
        <f>EXP(-LN(2)/2)*AB70+(1-EXP(-LN(2)/2))/(LN(2)/2)*V71*Y71*VLOOKUP('Données projet'!$B$9,Paramètres!$A$1:$I$89,3,0)*0.475*44/12</f>
        <v>#VALUE!</v>
      </c>
      <c r="AC71" s="22" t="e">
        <f t="shared" si="57"/>
        <v>#VALUE!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175.05987582828078</v>
      </c>
      <c r="AO71" s="59">
        <f t="shared" si="90"/>
        <v>268.54782308462387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143.66864426416473</v>
      </c>
      <c r="AV71" s="21">
        <f>EXP(-LN(2)/25)*AV70+(1-EXP(-LN(2)/25))/(LN(2)/25)*Calculateur!AQ71*Calculateur!AS71*VLOOKUP('Données projet'!$B$10,Paramètres!$A$1:$I$89,3,0)*0.475*44/12</f>
        <v>33.762168958612712</v>
      </c>
      <c r="AW71" s="21">
        <f>EXP(-LN(2)/2)*AW70+(1-EXP(-LN(2)/2))/(LN(2)/2)*AQ71*AT71*VLOOKUP('Données projet'!$B$10,Paramètres!$A$1:$I$89,3,0)*0.475*44/12</f>
        <v>1.778716204638652</v>
      </c>
      <c r="AX71" s="21">
        <f t="shared" si="60"/>
        <v>179.20952942741607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15.5</v>
      </c>
      <c r="BD71" s="12">
        <f>IF('Données projet'!$A$88&gt;35,BD70+BC71-BL70,IF(A71&lt;'Données projet'!$A$88,$BA$205^A71,IF(A71='Données projet'!$A$88,'Données projet'!$B$88,BD70+BC71-BL70)))</f>
        <v>446.25663999999989</v>
      </c>
      <c r="BE71" s="13">
        <f>BD71*VLOOKUP('Données projet'!$B$11,Paramètres!$A$1:$I$89,3,0)*VLOOKUP('Données projet'!$B$11,Paramètres!$A$1:$I$89,5,0)</f>
        <v>208.84810751999993</v>
      </c>
      <c r="BF71" s="13">
        <f t="shared" si="91"/>
        <v>51.683787687739837</v>
      </c>
      <c r="BG71" s="20">
        <f t="shared" si="61"/>
        <v>453.75971748681332</v>
      </c>
      <c r="BH71" s="59">
        <f t="shared" si="62"/>
        <v>747.09305082014657</v>
      </c>
      <c r="BI71" s="59">
        <f ca="1">AVERAGE(OFFSET($BH$3,0,0,'Données projet'!$E$11+1,1))-AVERAGE(OFFSET($H$3,0,0,'Données projet'!$E$11+1,1))</f>
        <v>252.70779718608964</v>
      </c>
      <c r="BJ71" s="59">
        <f t="shared" si="92"/>
        <v>187.86969111712705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40.10167114816219</v>
      </c>
      <c r="BQ71" s="21">
        <f>EXP(-LN(2)/25)*BQ70+(1-EXP(-LN(2)/25))/(LN(2)/25)*Calculateur!BL71*Calculateur!BN71*VLOOKUP('Données projet'!$B$11,Paramètres!$A$1:$I$89,3,0)*0.475*44/12</f>
        <v>9.9153724730611099</v>
      </c>
      <c r="BR71" s="21">
        <f>EXP(-LN(2)/2)*BR70+(1-EXP(-LN(2)/2))/(LN(2)/2)*BL71*BO71*VLOOKUP('Données projet'!$B$11,Paramètres!$A$1:$I$89,3,0)*0.475*44/12</f>
        <v>0.36157780279808732</v>
      </c>
      <c r="BS71" s="22">
        <f t="shared" si="63"/>
        <v>50.378621424021389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-2.2737367544323206E-13</v>
      </c>
      <c r="BZ71" s="13">
        <f>BY71*VLOOKUP('Données projet'!$B$12,Paramètres!$A$1:$I$89,3,0)*VLOOKUP('Données projet'!$B$12,Paramètres!$A$1:$I$89,5,0)</f>
        <v>-1.3596945791505279E-13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279.86432710889352</v>
      </c>
      <c r="CE71" s="59">
        <f t="shared" si="94"/>
        <v>297.01680128882509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108.30063754644003</v>
      </c>
      <c r="CL71" s="21">
        <f>EXP(-LN(2)/25)*CL70+(1-EXP(-LN(2)/25))/(LN(2)/25)*Calculateur!CG71*Calculateur!CI71*VLOOKUP('Données projet'!$B$12,Paramètres!$A$1:$I$89,3,0)*0.475*44/12</f>
        <v>87.699819542760224</v>
      </c>
      <c r="CM71" s="21">
        <f>EXP(-LN(2)/2)*CM70+(1-EXP(-LN(2)/2))/(LN(2)/2)*CG71*CJ71*VLOOKUP('Données projet'!$B$12,Paramètres!$A$1:$I$89,3,0)*0.475*44/12</f>
        <v>26.974930197588748</v>
      </c>
      <c r="CN71" s="22">
        <f t="shared" si="66"/>
        <v>222.97538728678902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343.59999999999968</v>
      </c>
      <c r="CU71" s="17">
        <f>CT71*VLOOKUP('Données projet'!$B$13,Paramètres!$A$1:$I$89,3,0)*VLOOKUP('Données projet'!$B$13,Paramètres!$A$1:$I$89,5,0)</f>
        <v>273.36815999999976</v>
      </c>
      <c r="CV71" s="13">
        <f t="shared" si="95"/>
        <v>65.563561270581033</v>
      </c>
      <c r="CW71" s="20">
        <f t="shared" si="67"/>
        <v>590.30608121292812</v>
      </c>
      <c r="CX71" s="59">
        <f t="shared" si="68"/>
        <v>883.63941454626138</v>
      </c>
      <c r="CY71" s="59">
        <f ca="1">AVERAGE(OFFSET($CX$3,0,0,'Données projet'!$E$13+1,1))-AVERAGE(OFFSET($H$3,0,0,'Données projet'!$E$13+1,1))</f>
        <v>314.6300257056194</v>
      </c>
      <c r="CZ71" s="59">
        <f t="shared" si="96"/>
        <v>298.00555477466668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15.519765212292137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15.519765212292137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5.2</v>
      </c>
      <c r="DO71" s="12">
        <f>IF('Données projet'!$A$166&gt;35,DO70+DN71-DW70,IF(A71&lt;'Données projet'!$A$166,$DL$205^A71,IF(A71='Données projet'!$A$166,'Données projet'!$B$166,DO70+DN71-DW70)))</f>
        <v>343.59999999999968</v>
      </c>
      <c r="DP71" s="17">
        <f>DO71*VLOOKUP('Données projet'!$B$14,Paramètres!$A$1:$I$89,3,0)*VLOOKUP('Données projet'!$B$14,Paramètres!$A$1:$I$89,5,0)</f>
        <v>273.36815999999976</v>
      </c>
      <c r="DQ71" s="13">
        <f t="shared" si="97"/>
        <v>65.563561270581033</v>
      </c>
      <c r="DR71" s="20">
        <f t="shared" si="70"/>
        <v>590.30608121292812</v>
      </c>
      <c r="DS71" s="59">
        <f t="shared" si="71"/>
        <v>883.63941454626138</v>
      </c>
      <c r="DT71" s="59">
        <f ca="1">AVERAGE(OFFSET($DS$3,0,0,'Données projet'!$E$14+1,1))-AVERAGE(OFFSET($H$3,0,0,'Données projet'!$E$14+1,1))</f>
        <v>314.6300257056194</v>
      </c>
      <c r="DU71" s="59">
        <f t="shared" si="98"/>
        <v>298.00555477466668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15.519765212292137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15.519765212292137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15.6</v>
      </c>
      <c r="EJ71" s="12">
        <f>IF('Données projet'!$A$192&gt;35,EJ70+EI71-ER70,IF(A71&lt;'Données projet'!$A$192,$EG$205^A71,IF(A71='Données projet'!$A$192,'Données projet'!$B$192,EJ70+EI71-ER70)))</f>
        <v>345.55384615384639</v>
      </c>
      <c r="EK71" s="17">
        <f>EJ71*VLOOKUP('Données projet'!$B$15,Paramètres!$A$1:$I$89,3,0)*VLOOKUP('Données projet'!$B$15,Paramètres!$A$1:$I$89,5,0)</f>
        <v>166.21140000000011</v>
      </c>
      <c r="EL71" s="13">
        <f t="shared" si="99"/>
        <v>42.240393415612864</v>
      </c>
      <c r="EM71" s="20">
        <f t="shared" si="73"/>
        <v>363.05354019885925</v>
      </c>
      <c r="EN71" s="59">
        <f t="shared" si="74"/>
        <v>656.38687353219257</v>
      </c>
      <c r="EO71" s="59">
        <f ca="1">AVERAGE(OFFSET($EN$3,0,0,'Données projet'!$E$15+1,1))-AVERAGE(OFFSET($H$3,0,0,'Données projet'!$E$15+1,1))</f>
        <v>238.83604534181978</v>
      </c>
      <c r="EP71" s="59">
        <f t="shared" si="100"/>
        <v>114.85152559837792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</v>
      </c>
      <c r="FE71" s="12">
        <f>IF('Données projet'!$A$218&gt;35,FE70+FD71-FM70,IF(A71&lt;'Données projet'!$A$218,$FB$205^A71,IF(A71='Données projet'!$A$218,'Données projet'!$B$218,FE70+FD71-FM70)))</f>
        <v>245</v>
      </c>
      <c r="FF71" s="17">
        <f>FE71*VLOOKUP('Données projet'!$B$16,Paramètres!$A$1:$I$89,3,0)*VLOOKUP('Données projet'!$B$16,Paramètres!$A$1:$I$89,5,0)</f>
        <v>198.74400000000003</v>
      </c>
      <c r="FG71" s="13">
        <f t="shared" si="101"/>
        <v>49.468035816012197</v>
      </c>
      <c r="FH71" s="20">
        <f t="shared" si="76"/>
        <v>432.30262904622123</v>
      </c>
      <c r="FI71" s="59">
        <f t="shared" si="77"/>
        <v>725.63596237955448</v>
      </c>
      <c r="FJ71" s="59">
        <f ca="1">AVERAGE(OFFSET($FI$3,0,0,'Données projet'!$E$16+1,1))-AVERAGE(OFFSET($H$3,0,0,'Données projet'!$E$16+1,1))</f>
        <v>196.95467273423861</v>
      </c>
      <c r="FK71" s="59">
        <f t="shared" si="102"/>
        <v>173.8709326829258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12.446755989923338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1.1112986045695592</v>
      </c>
      <c r="FT71" s="22">
        <f t="shared" si="78"/>
        <v>13.558054594492896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</v>
      </c>
      <c r="FZ71" s="12">
        <f>IF('Données projet'!$A$244&gt;35,FZ70+FY71-GH70,IF(A71&lt;'Données projet'!$A$244,$FW$205^A71,IF(A71='Données projet'!$A$244,'Données projet'!$B$244,FZ70+FY71-GH70)))</f>
        <v>245</v>
      </c>
      <c r="GA71" s="17">
        <f>FZ71*VLOOKUP('Données projet'!$B$17,Paramètres!$A$1:$I$89,3,0)*VLOOKUP('Données projet'!$B$17,Paramètres!$A$1:$I$89,5,0)</f>
        <v>263.71799999999996</v>
      </c>
      <c r="GB71" s="13">
        <f t="shared" si="103"/>
        <v>63.514249203249598</v>
      </c>
      <c r="GC71" s="20">
        <f t="shared" si="79"/>
        <v>569.92950069565961</v>
      </c>
      <c r="GD71" s="59">
        <f t="shared" si="80"/>
        <v>863.26283402899298</v>
      </c>
      <c r="GE71" s="59">
        <f ca="1">AVERAGE(OFFSET($GD$3,0,0,'Données projet'!$E$17+1,1))-AVERAGE(OFFSET($H$3,0,0,'Données projet'!$E$17+1,1))</f>
        <v>275.5229427552884</v>
      </c>
      <c r="GF71" s="59">
        <f t="shared" si="104"/>
        <v>241.20234081716143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16.515887755859808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1.4746077637557606</v>
      </c>
      <c r="GO71" s="21">
        <f t="shared" si="81"/>
        <v>17.990495519615568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274.57619581652199</v>
      </c>
      <c r="T72" s="59">
        <f t="shared" si="88"/>
        <v>366.15117322598775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 t="e">
        <f>EXP(-LN(2)/35)*Z71+(1-EXP(-LN(2)/35))/(LN(2)/35)*V72*W72*VLOOKUP('Données projet'!$B$9,Paramètres!$A$1:$I$89,3,0)*0.475*44/12</f>
        <v>#VALUE!</v>
      </c>
      <c r="AA72" s="21" t="e">
        <f>EXP(-LN(2)/25)*AA71+(1-EXP(-LN(2)/25))/(LN(2)/25)*Calculateur!V72*Calculateur!X72*VLOOKUP('Données projet'!$B$9,Paramètres!$A$1:$I$89,3,0)*0.475*44/12</f>
        <v>#VALUE!</v>
      </c>
      <c r="AB72" s="21" t="e">
        <f>EXP(-LN(2)/2)*AB71+(1-EXP(-LN(2)/2))/(LN(2)/2)*V72*Y72*VLOOKUP('Données projet'!$B$9,Paramètres!$A$1:$I$89,3,0)*0.475*44/12</f>
        <v>#VALUE!</v>
      </c>
      <c r="AC72" s="22" t="e">
        <f t="shared" si="57"/>
        <v>#VALUE!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175.05987582828078</v>
      </c>
      <c r="AO72" s="59">
        <f t="shared" si="90"/>
        <v>268.54782308462387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140.85138977936478</v>
      </c>
      <c r="AV72" s="21">
        <f>EXP(-LN(2)/25)*AV71+(1-EXP(-LN(2)/25))/(LN(2)/25)*Calculateur!AQ72*Calculateur!AS72*VLOOKUP('Données projet'!$B$10,Paramètres!$A$1:$I$89,3,0)*0.475*44/12</f>
        <v>32.838940672964149</v>
      </c>
      <c r="AW72" s="21">
        <f>EXP(-LN(2)/2)*AW71+(1-EXP(-LN(2)/2))/(LN(2)/2)*AQ72*AT72*VLOOKUP('Données projet'!$B$10,Paramètres!$A$1:$I$89,3,0)*0.475*44/12</f>
        <v>1.2577422901063897</v>
      </c>
      <c r="AX72" s="21">
        <f t="shared" si="60"/>
        <v>174.94807274243533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15.5</v>
      </c>
      <c r="BD72" s="12">
        <f>IF('Données projet'!$A$88&gt;35,BD71+BC72-BL71,IF(A72&lt;'Données projet'!$A$88,$BA$205^A72,IF(A72='Données projet'!$A$88,'Données projet'!$B$88,BD71+BC72-BL71)))</f>
        <v>461.75663999999989</v>
      </c>
      <c r="BE72" s="13">
        <f>BD72*VLOOKUP('Données projet'!$B$11,Paramètres!$A$1:$I$89,3,0)*VLOOKUP('Données projet'!$B$11,Paramètres!$A$1:$I$89,5,0)</f>
        <v>216.10210751999995</v>
      </c>
      <c r="BF72" s="13">
        <f t="shared" si="91"/>
        <v>53.266818640001055</v>
      </c>
      <c r="BG72" s="20">
        <f t="shared" si="61"/>
        <v>469.15087972866837</v>
      </c>
      <c r="BH72" s="59">
        <f t="shared" si="62"/>
        <v>762.48421306200169</v>
      </c>
      <c r="BI72" s="59">
        <f ca="1">AVERAGE(OFFSET($BH$3,0,0,'Données projet'!$E$11+1,1))-AVERAGE(OFFSET($H$3,0,0,'Données projet'!$E$11+1,1))</f>
        <v>252.70779718608964</v>
      </c>
      <c r="BJ72" s="59">
        <f t="shared" si="92"/>
        <v>187.86969111712705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39.315301836550944</v>
      </c>
      <c r="BQ72" s="21">
        <f>EXP(-LN(2)/25)*BQ71+(1-EXP(-LN(2)/25))/(LN(2)/25)*Calculateur!BL72*Calculateur!BN72*VLOOKUP('Données projet'!$B$11,Paramètres!$A$1:$I$89,3,0)*0.475*44/12</f>
        <v>9.6442360913584775</v>
      </c>
      <c r="BR72" s="21">
        <f>EXP(-LN(2)/2)*BR71+(1-EXP(-LN(2)/2))/(LN(2)/2)*BL72*BO72*VLOOKUP('Données projet'!$B$11,Paramètres!$A$1:$I$89,3,0)*0.475*44/12</f>
        <v>0.25567411628505976</v>
      </c>
      <c r="BS72" s="22">
        <f t="shared" si="63"/>
        <v>49.21521204419448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-2.2737367544323206E-13</v>
      </c>
      <c r="BZ72" s="13">
        <f>BY72*VLOOKUP('Données projet'!$B$12,Paramètres!$A$1:$I$89,3,0)*VLOOKUP('Données projet'!$B$12,Paramètres!$A$1:$I$89,5,0)</f>
        <v>-1.3596945791505279E-13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279.86432710889352</v>
      </c>
      <c r="CE72" s="59">
        <f t="shared" si="94"/>
        <v>297.01680128882509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106.17692810102066</v>
      </c>
      <c r="CL72" s="21">
        <f>EXP(-LN(2)/25)*CL71+(1-EXP(-LN(2)/25))/(LN(2)/25)*Calculateur!CG72*Calculateur!CI72*VLOOKUP('Données projet'!$B$12,Paramètres!$A$1:$I$89,3,0)*0.475*44/12</f>
        <v>85.301663365430372</v>
      </c>
      <c r="CM72" s="21">
        <f>EXP(-LN(2)/2)*CM71+(1-EXP(-LN(2)/2))/(LN(2)/2)*CG72*CJ72*VLOOKUP('Données projet'!$B$12,Paramètres!$A$1:$I$89,3,0)*0.475*44/12</f>
        <v>19.074156064748781</v>
      </c>
      <c r="CN72" s="22">
        <f t="shared" si="66"/>
        <v>210.55274753119983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348.79999999999967</v>
      </c>
      <c r="CU72" s="17">
        <f>CT72*VLOOKUP('Données projet'!$B$13,Paramètres!$A$1:$I$89,3,0)*VLOOKUP('Données projet'!$B$13,Paramètres!$A$1:$I$89,5,0)</f>
        <v>277.50527999999974</v>
      </c>
      <c r="CV72" s="13">
        <f t="shared" si="95"/>
        <v>66.439528539421502</v>
      </c>
      <c r="CW72" s="20">
        <f t="shared" si="67"/>
        <v>599.03720820615865</v>
      </c>
      <c r="CX72" s="59">
        <f t="shared" si="68"/>
        <v>892.37054153949202</v>
      </c>
      <c r="CY72" s="59">
        <f ca="1">AVERAGE(OFFSET($CX$3,0,0,'Données projet'!$E$13+1,1))-AVERAGE(OFFSET($H$3,0,0,'Données projet'!$E$13+1,1))</f>
        <v>314.6300257056194</v>
      </c>
      <c r="CZ72" s="59">
        <f t="shared" si="96"/>
        <v>298.00555477466668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15.215432082601167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15.215432082601167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5.2</v>
      </c>
      <c r="DO72" s="12">
        <f>IF('Données projet'!$A$166&gt;35,DO71+DN72-DW71,IF(A72&lt;'Données projet'!$A$166,$DL$205^A72,IF(A72='Données projet'!$A$166,'Données projet'!$B$166,DO71+DN72-DW71)))</f>
        <v>348.79999999999967</v>
      </c>
      <c r="DP72" s="17">
        <f>DO72*VLOOKUP('Données projet'!$B$14,Paramètres!$A$1:$I$89,3,0)*VLOOKUP('Données projet'!$B$14,Paramètres!$A$1:$I$89,5,0)</f>
        <v>277.50527999999974</v>
      </c>
      <c r="DQ72" s="13">
        <f t="shared" si="97"/>
        <v>66.439528539421502</v>
      </c>
      <c r="DR72" s="20">
        <f t="shared" si="70"/>
        <v>599.03720820615865</v>
      </c>
      <c r="DS72" s="59">
        <f t="shared" si="71"/>
        <v>892.37054153949202</v>
      </c>
      <c r="DT72" s="59">
        <f ca="1">AVERAGE(OFFSET($DS$3,0,0,'Données projet'!$E$14+1,1))-AVERAGE(OFFSET($H$3,0,0,'Données projet'!$E$14+1,1))</f>
        <v>314.6300257056194</v>
      </c>
      <c r="DU72" s="59">
        <f t="shared" si="98"/>
        <v>298.00555477466668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15.215432082601167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15.215432082601167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15.6</v>
      </c>
      <c r="EJ72" s="12">
        <f>IF('Données projet'!$A$192&gt;35,EJ71+EI72-ER71,IF(A72&lt;'Données projet'!$A$192,$EG$205^A72,IF(A72='Données projet'!$A$192,'Données projet'!$B$192,EJ71+EI72-ER71)))</f>
        <v>361.15384615384642</v>
      </c>
      <c r="EK72" s="17">
        <f>EJ72*VLOOKUP('Données projet'!$B$15,Paramètres!$A$1:$I$89,3,0)*VLOOKUP('Données projet'!$B$15,Paramètres!$A$1:$I$89,5,0)</f>
        <v>173.71500000000012</v>
      </c>
      <c r="EL72" s="13">
        <f t="shared" si="99"/>
        <v>43.921010292739581</v>
      </c>
      <c r="EM72" s="20">
        <f t="shared" si="73"/>
        <v>379.04938459318828</v>
      </c>
      <c r="EN72" s="59">
        <f t="shared" si="74"/>
        <v>672.38271792652154</v>
      </c>
      <c r="EO72" s="59">
        <f ca="1">AVERAGE(OFFSET($EN$3,0,0,'Données projet'!$E$15+1,1))-AVERAGE(OFFSET($H$3,0,0,'Données projet'!$E$15+1,1))</f>
        <v>238.83604534181978</v>
      </c>
      <c r="EP72" s="59">
        <f t="shared" si="100"/>
        <v>114.85152559837792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</v>
      </c>
      <c r="FE72" s="12">
        <f>IF('Données projet'!$A$218&gt;35,FE71+FD72-FM71,IF(A72&lt;'Données projet'!$A$218,$FB$205^A72,IF(A72='Données projet'!$A$218,'Données projet'!$B$218,FE71+FD72-FM71)))</f>
        <v>249</v>
      </c>
      <c r="FF72" s="17">
        <f>FE72*VLOOKUP('Données projet'!$B$16,Paramètres!$A$1:$I$89,3,0)*VLOOKUP('Données projet'!$B$16,Paramètres!$A$1:$I$89,5,0)</f>
        <v>201.98880000000003</v>
      </c>
      <c r="FG72" s="13">
        <f t="shared" si="101"/>
        <v>50.18099374666096</v>
      </c>
      <c r="FH72" s="20">
        <f t="shared" si="76"/>
        <v>439.19572410876793</v>
      </c>
      <c r="FI72" s="59">
        <f t="shared" si="77"/>
        <v>732.52905744210125</v>
      </c>
      <c r="FJ72" s="59">
        <f ca="1">AVERAGE(OFFSET($FI$3,0,0,'Données projet'!$E$16+1,1))-AVERAGE(OFFSET($H$3,0,0,'Données projet'!$E$16+1,1))</f>
        <v>196.95467273423861</v>
      </c>
      <c r="FK72" s="59">
        <f t="shared" si="102"/>
        <v>173.8709326829258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12.20268269673247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0.78580677921428299</v>
      </c>
      <c r="FT72" s="22">
        <f t="shared" si="78"/>
        <v>12.988489475946754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</v>
      </c>
      <c r="FZ72" s="12">
        <f>IF('Données projet'!$A$244&gt;35,FZ71+FY72-GH71,IF(A72&lt;'Données projet'!$A$244,$FW$205^A72,IF(A72='Données projet'!$A$244,'Données projet'!$B$244,FZ71+FY72-GH71)))</f>
        <v>249</v>
      </c>
      <c r="GA72" s="17">
        <f>FZ72*VLOOKUP('Données projet'!$B$17,Paramètres!$A$1:$I$89,3,0)*VLOOKUP('Données projet'!$B$17,Paramètres!$A$1:$I$89,5,0)</f>
        <v>268.02359999999999</v>
      </c>
      <c r="GB72" s="13">
        <f t="shared" si="103"/>
        <v>64.429648145853221</v>
      </c>
      <c r="GC72" s="20">
        <f t="shared" si="79"/>
        <v>579.02274052069424</v>
      </c>
      <c r="GD72" s="59">
        <f t="shared" si="80"/>
        <v>872.3560738540275</v>
      </c>
      <c r="GE72" s="59">
        <f ca="1">AVERAGE(OFFSET($GD$3,0,0,'Données projet'!$E$17+1,1))-AVERAGE(OFFSET($H$3,0,0,'Données projet'!$E$17+1,1))</f>
        <v>275.5229427552884</v>
      </c>
      <c r="GF72" s="59">
        <f t="shared" si="104"/>
        <v>241.20234081716143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16.192021270664235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1.042705149342029</v>
      </c>
      <c r="GO72" s="21">
        <f t="shared" si="81"/>
        <v>17.234726420006265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274.57619581652199</v>
      </c>
      <c r="T73" s="59">
        <f t="shared" si="88"/>
        <v>366.15117322598775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 t="e">
        <f>EXP(-LN(2)/35)*Z72+(1-EXP(-LN(2)/35))/(LN(2)/35)*V73*W73*VLOOKUP('Données projet'!$B$9,Paramètres!$A$1:$I$89,3,0)*0.475*44/12</f>
        <v>#VALUE!</v>
      </c>
      <c r="AA73" s="21" t="e">
        <f>EXP(-LN(2)/25)*AA72+(1-EXP(-LN(2)/25))/(LN(2)/25)*Calculateur!V73*Calculateur!X73*VLOOKUP('Données projet'!$B$9,Paramètres!$A$1:$I$89,3,0)*0.475*44/12</f>
        <v>#VALUE!</v>
      </c>
      <c r="AB73" s="21" t="e">
        <f>EXP(-LN(2)/2)*AB72+(1-EXP(-LN(2)/2))/(LN(2)/2)*V73*Y73*VLOOKUP('Données projet'!$B$9,Paramètres!$A$1:$I$89,3,0)*0.475*44/12</f>
        <v>#VALUE!</v>
      </c>
      <c r="AC73" s="22" t="e">
        <f t="shared" si="57"/>
        <v>#VALUE!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175.05987582828078</v>
      </c>
      <c r="AO73" s="59">
        <f t="shared" si="90"/>
        <v>268.54782308462387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138.0893799366562</v>
      </c>
      <c r="AV73" s="21">
        <f>EXP(-LN(2)/25)*AV72+(1-EXP(-LN(2)/25))/(LN(2)/25)*Calculateur!AQ73*Calculateur!AS73*VLOOKUP('Données projet'!$B$10,Paramètres!$A$1:$I$89,3,0)*0.475*44/12</f>
        <v>31.940958113337111</v>
      </c>
      <c r="AW73" s="21">
        <f>EXP(-LN(2)/2)*AW72+(1-EXP(-LN(2)/2))/(LN(2)/2)*AQ73*AT73*VLOOKUP('Données projet'!$B$10,Paramètres!$A$1:$I$89,3,0)*0.475*44/12</f>
        <v>0.8893581023193261</v>
      </c>
      <c r="AX73" s="21">
        <f t="shared" si="60"/>
        <v>170.91969615231264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477.25664</v>
      </c>
      <c r="BB73" s="12">
        <f>VLOOKUP(A73,'Données projet'!$A$87:$I$107,9,0)</f>
        <v>15.5</v>
      </c>
      <c r="BC73" s="12">
        <f t="array" ref="BC73">INDEX(BB:BB,MIN(IF(ISNUMBER(BB73:BB269),ROW(BB73:BB269),"")))</f>
        <v>15.5</v>
      </c>
      <c r="BD73" s="12">
        <f>IF('Données projet'!$A$88&gt;35,BD72+BC73-BL72,IF(A73&lt;'Données projet'!$A$88,$BA$205^A73,IF(A73='Données projet'!$A$88,'Données projet'!$B$88,BD72+BC73-BL72)))</f>
        <v>477.25663999999989</v>
      </c>
      <c r="BE73" s="13">
        <f>BD73*VLOOKUP('Données projet'!$B$11,Paramètres!$A$1:$I$89,3,0)*VLOOKUP('Données projet'!$B$11,Paramètres!$A$1:$I$89,5,0)</f>
        <v>223.35610751999994</v>
      </c>
      <c r="BF73" s="13">
        <f t="shared" si="91"/>
        <v>54.843675132969167</v>
      </c>
      <c r="BG73" s="20">
        <f t="shared" si="61"/>
        <v>484.53128812058782</v>
      </c>
      <c r="BH73" s="59">
        <f t="shared" si="62"/>
        <v>777.86462145392113</v>
      </c>
      <c r="BI73" s="59">
        <f ca="1">AVERAGE(OFFSET($BH$3,0,0,'Données projet'!$E$11+1,1))-AVERAGE(OFFSET($H$3,0,0,'Données projet'!$E$11+1,1))</f>
        <v>252.70779718608964</v>
      </c>
      <c r="BJ73" s="59">
        <f t="shared" si="92"/>
        <v>187.86969111712705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95.451328000000004</v>
      </c>
      <c r="BM73" s="16">
        <f>IF(ISNA(VLOOKUP(A73,'Données projet'!$A$87:$I$107,5,0)),0%,VLOOKUP(A73,'Données projet'!$A$87:$I$107,5,0)*VLOOKUP('Données projet'!$B$11,Paramètres!$A$1:$I$89,7,0))</f>
        <v>0.38500000000000001</v>
      </c>
      <c r="BN73" s="16">
        <f>IF(ISNA(VLOOKUP(A73,'Données projet'!$A$87:$I$107,6,0)),0%,VLOOKUP(A73,'Données projet'!$A$87:$I$107,6,0)*VLOOKUP('Données projet'!$B$11,Paramètres!$A$1:$I$89,7,0))</f>
        <v>9.240000000000001E-2</v>
      </c>
      <c r="BO73" s="16">
        <f>IF(ISNA(VLOOKUP(A73,'Données projet'!$A$87:$I$107,7,0)),0%,VLOOKUP(A73,'Données projet'!$A$87:$I$107,7,0))</f>
        <v>0.13200000000000001</v>
      </c>
      <c r="BP73" s="21">
        <f>EXP(-LN(2)/35)*BP72+(1-EXP(-LN(2)/35))/(LN(2)/35)*BL73*BM73*VLOOKUP('Données projet'!$B$11,Paramètres!$A$1:$I$89,3,0)*0.475*44/12</f>
        <v>61.359165779387524</v>
      </c>
      <c r="BQ73" s="21">
        <f>EXP(-LN(2)/25)*BQ72+(1-EXP(-LN(2)/25))/(LN(2)/25)*Calculateur!BL73*Calculateur!BN73*VLOOKUP('Données projet'!$B$11,Paramètres!$A$1:$I$89,3,0)*0.475*44/12</f>
        <v>14.834509729036718</v>
      </c>
      <c r="BR73" s="21">
        <f>EXP(-LN(2)/2)*BR72+(1-EXP(-LN(2)/2))/(LN(2)/2)*BL73*BO73*VLOOKUP('Données projet'!$B$11,Paramètres!$A$1:$I$89,3,0)*0.475*44/12</f>
        <v>6.8571112692950047</v>
      </c>
      <c r="BS73" s="22">
        <f t="shared" si="63"/>
        <v>83.050786777719239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-2.2737367544323206E-13</v>
      </c>
      <c r="BZ73" s="13">
        <f>BY73*VLOOKUP('Données projet'!$B$12,Paramètres!$A$1:$I$89,3,0)*VLOOKUP('Données projet'!$B$12,Paramètres!$A$1:$I$89,5,0)</f>
        <v>-1.3596945791505279E-13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279.86432710889352</v>
      </c>
      <c r="CE73" s="59">
        <f t="shared" si="94"/>
        <v>297.01680128882509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104.09486330249112</v>
      </c>
      <c r="CL73" s="21">
        <f>EXP(-LN(2)/25)*CL72+(1-EXP(-LN(2)/25))/(LN(2)/25)*Calculateur!CG73*Calculateur!CI73*VLOOKUP('Données projet'!$B$12,Paramètres!$A$1:$I$89,3,0)*0.475*44/12</f>
        <v>82.969084894883167</v>
      </c>
      <c r="CM73" s="21">
        <f>EXP(-LN(2)/2)*CM72+(1-EXP(-LN(2)/2))/(LN(2)/2)*CG73*CJ73*VLOOKUP('Données projet'!$B$12,Paramètres!$A$1:$I$89,3,0)*0.475*44/12</f>
        <v>13.487465098794376</v>
      </c>
      <c r="CN73" s="22">
        <f t="shared" si="66"/>
        <v>200.55141329616868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366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353.99999999999966</v>
      </c>
      <c r="CU73" s="17">
        <f>CT73*VLOOKUP('Données projet'!$B$13,Paramètres!$A$1:$I$89,3,0)*VLOOKUP('Données projet'!$B$13,Paramètres!$A$1:$I$89,5,0)</f>
        <v>281.64239999999972</v>
      </c>
      <c r="CV73" s="13">
        <f t="shared" si="95"/>
        <v>67.313976982444089</v>
      </c>
      <c r="CW73" s="20">
        <f t="shared" si="67"/>
        <v>607.76568991108968</v>
      </c>
      <c r="CX73" s="59">
        <f t="shared" si="68"/>
        <v>901.09902324442305</v>
      </c>
      <c r="CY73" s="59">
        <f ca="1">AVERAGE(OFFSET($CX$3,0,0,'Données projet'!$E$13+1,1))-AVERAGE(OFFSET($H$3,0,0,'Données projet'!$E$13+1,1))</f>
        <v>314.6300257056194</v>
      </c>
      <c r="CZ73" s="59">
        <f t="shared" si="96"/>
        <v>298.00555477466668</v>
      </c>
      <c r="DA73" s="15">
        <f>IF(ISNA(VLOOKUP(A73,'Données projet'!$A$139:$I$159,3,0)),0,VLOOKUP(A73,'Données projet'!$A$139:$I$159,3,0))</f>
        <v>10</v>
      </c>
      <c r="DB73" s="15">
        <f>IF(ISNA(VLOOKUP(A73,'Données projet'!$A$139:$I$159,4,0)),0,VLOOKUP(A73,'Données projet'!$A$139:$I$159,4,0))</f>
        <v>15</v>
      </c>
      <c r="DC73" s="16">
        <f>IF(ISNA(VLOOKUP(A73,'Données projet'!$A$139:$I$159,5,0)),0%,VLOOKUP(A73,'Données projet'!$A$139:$I$159,5,0)*VLOOKUP('Données projet'!$B$13,Paramètres!$A$1:$I$89,7,0))</f>
        <v>0.23850000000000002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18.063521756937632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18.063521756937632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366</v>
      </c>
      <c r="DM73" s="12">
        <f>VLOOKUP(A73,'Données projet'!$A$165:$I$185,9,0)</f>
        <v>5.2</v>
      </c>
      <c r="DN73" s="12">
        <f t="array" ref="DN73">INDEX(DM:DM,MIN(IF(ISNUMBER(DM73:DM269),ROW(DM73:DM269),"")))</f>
        <v>5.2</v>
      </c>
      <c r="DO73" s="12">
        <f>IF('Données projet'!$A$166&gt;35,DO72+DN73-DW72,IF(A73&lt;'Données projet'!$A$166,$DL$205^A73,IF(A73='Données projet'!$A$166,'Données projet'!$B$166,DO72+DN73-DW72)))</f>
        <v>353.99999999999966</v>
      </c>
      <c r="DP73" s="17">
        <f>DO73*VLOOKUP('Données projet'!$B$14,Paramètres!$A$1:$I$89,3,0)*VLOOKUP('Données projet'!$B$14,Paramètres!$A$1:$I$89,5,0)</f>
        <v>281.64239999999972</v>
      </c>
      <c r="DQ73" s="13">
        <f t="shared" si="97"/>
        <v>67.313976982444089</v>
      </c>
      <c r="DR73" s="20">
        <f t="shared" si="70"/>
        <v>607.76568991108968</v>
      </c>
      <c r="DS73" s="59">
        <f t="shared" si="71"/>
        <v>901.09902324442305</v>
      </c>
      <c r="DT73" s="59">
        <f ca="1">AVERAGE(OFFSET($DS$3,0,0,'Données projet'!$E$14+1,1))-AVERAGE(OFFSET($H$3,0,0,'Données projet'!$E$14+1,1))</f>
        <v>314.6300257056194</v>
      </c>
      <c r="DU73" s="59">
        <f t="shared" si="98"/>
        <v>298.00555477466668</v>
      </c>
      <c r="DV73" s="15">
        <f>IF(ISNA(VLOOKUP(A73,'Données projet'!$A$165:$I$185,3,0)),0,VLOOKUP(A73,'Données projet'!$A$165:$I$185,3,0))</f>
        <v>10</v>
      </c>
      <c r="DW73" s="15">
        <f>IF(ISNA(VLOOKUP(A73,'Données projet'!$A$165:$I$185,4,0)),0,VLOOKUP(A73,'Données projet'!$A$165:$I$185,4,0))</f>
        <v>15</v>
      </c>
      <c r="DX73" s="16">
        <f>IF(ISNA(VLOOKUP(A73,'Données projet'!$A$165:$I$185,5,0)),0%,VLOOKUP(A73,'Données projet'!$A$165:$I$185,5,0)*VLOOKUP('Données projet'!$B$14,Paramètres!$A$1:$I$89,7,0))</f>
        <v>0.23850000000000002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18.063521756937632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18.063521756937632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15.6</v>
      </c>
      <c r="EJ73" s="12">
        <f>IF('Données projet'!$A$192&gt;35,EJ72+EI73-ER72,IF(A73&lt;'Données projet'!$A$192,$EG$205^A73,IF(A73='Données projet'!$A$192,'Données projet'!$B$192,EJ72+EI73-ER72)))</f>
        <v>376.75384615384644</v>
      </c>
      <c r="EK73" s="17">
        <f>EJ73*VLOOKUP('Données projet'!$B$15,Paramètres!$A$1:$I$89,3,0)*VLOOKUP('Données projet'!$B$15,Paramètres!$A$1:$I$89,5,0)</f>
        <v>181.21860000000015</v>
      </c>
      <c r="EL73" s="13">
        <f t="shared" si="99"/>
        <v>45.593195659837534</v>
      </c>
      <c r="EM73" s="20">
        <f t="shared" si="73"/>
        <v>395.03054410755067</v>
      </c>
      <c r="EN73" s="59">
        <f t="shared" si="74"/>
        <v>688.36387744088393</v>
      </c>
      <c r="EO73" s="59">
        <f ca="1">AVERAGE(OFFSET($EN$3,0,0,'Données projet'!$E$15+1,1))-AVERAGE(OFFSET($H$3,0,0,'Données projet'!$E$15+1,1))</f>
        <v>238.83604534181978</v>
      </c>
      <c r="EP73" s="59">
        <f t="shared" si="100"/>
        <v>114.85152559837792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253</v>
      </c>
      <c r="FC73" s="12">
        <f>VLOOKUP(A73,'Données projet'!$A$217:$I$237,9,0)</f>
        <v>4</v>
      </c>
      <c r="FD73" s="12">
        <f t="array" ref="FD73">INDEX(FC:FC,MIN(IF(ISNUMBER(FC73:FC269),ROW(FC73:FC269),"")))</f>
        <v>4</v>
      </c>
      <c r="FE73" s="12">
        <f>IF('Données projet'!$A$218&gt;35,FE72+FD73-FM72,IF(A73&lt;'Données projet'!$A$218,$FB$205^A73,IF(A73='Données projet'!$A$218,'Données projet'!$B$218,FE72+FD73-FM72)))</f>
        <v>253</v>
      </c>
      <c r="FF73" s="17">
        <f>FE73*VLOOKUP('Données projet'!$B$16,Paramètres!$A$1:$I$89,3,0)*VLOOKUP('Données projet'!$B$16,Paramètres!$A$1:$I$89,5,0)</f>
        <v>205.23360000000002</v>
      </c>
      <c r="FG73" s="13">
        <f t="shared" si="101"/>
        <v>50.892619716943095</v>
      </c>
      <c r="FH73" s="20">
        <f t="shared" si="76"/>
        <v>446.08649934034253</v>
      </c>
      <c r="FI73" s="59">
        <f t="shared" si="77"/>
        <v>739.41983267367584</v>
      </c>
      <c r="FJ73" s="59">
        <f ca="1">AVERAGE(OFFSET($FI$3,0,0,'Données projet'!$E$16+1,1))-AVERAGE(OFFSET($H$3,0,0,'Données projet'!$E$16+1,1))</f>
        <v>196.95467273423861</v>
      </c>
      <c r="FK73" s="59">
        <f t="shared" si="102"/>
        <v>173.8709326829258</v>
      </c>
      <c r="FL73" s="15">
        <f>IF(ISNA(VLOOKUP(A73,'Données projet'!$A$217:$I$237,3,0)),0,VLOOKUP(A73,'Données projet'!$A$217:$I$237,3,0))</f>
        <v>11</v>
      </c>
      <c r="FM73" s="15">
        <f>IF(ISNA(VLOOKUP(A73,'Données projet'!$A$217:$I$237,4,0)),0,VLOOKUP(A73,'Données projet'!$A$217:$I$237,4,0))</f>
        <v>10</v>
      </c>
      <c r="FN73" s="16">
        <f>IF(ISNA(VLOOKUP(A73,'Données projet'!$A$217:$I$237,5,0)),0%,VLOOKUP(A73,'Données projet'!$A$217:$I$237,5,0)*VLOOKUP('Données projet'!$B$16,Paramètres!$A$1:$I$89,7,0))</f>
        <v>0.215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0.3</v>
      </c>
      <c r="FQ73" s="21">
        <f>EXP(-LN(2)/35)*FQ72+(1-EXP(-LN(2)/35))/(LN(2)/35)*FM73*FN73*VLOOKUP('Données projet'!$B$16,Paramètres!$A$1:$I$89,3,0)*0.475*44/12</f>
        <v>13.891424311486894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2.8518164016684526</v>
      </c>
      <c r="FT73" s="22">
        <f t="shared" si="78"/>
        <v>16.743240713155345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253</v>
      </c>
      <c r="FX73" s="12">
        <f>VLOOKUP(A73,'Données projet'!$A$243:$I$263,9,0)</f>
        <v>4</v>
      </c>
      <c r="FY73" s="12">
        <f t="array" ref="FY73">INDEX(FX:FX,MIN(IF(ISNUMBER(FX73:FX269),ROW(FX73:FX269),"")))</f>
        <v>4</v>
      </c>
      <c r="FZ73" s="12">
        <f>IF('Données projet'!$A$244&gt;35,FZ72+FY73-GH72,IF(A73&lt;'Données projet'!$A$244,$FW$205^A73,IF(A73='Données projet'!$A$244,'Données projet'!$B$244,FZ72+FY73-GH72)))</f>
        <v>253</v>
      </c>
      <c r="GA73" s="17">
        <f>FZ73*VLOOKUP('Données projet'!$B$17,Paramètres!$A$1:$I$89,3,0)*VLOOKUP('Données projet'!$B$17,Paramètres!$A$1:$I$89,5,0)</f>
        <v>272.32920000000001</v>
      </c>
      <c r="GB73" s="13">
        <f t="shared" si="103"/>
        <v>65.34333692428207</v>
      </c>
      <c r="GC73" s="20">
        <f t="shared" si="79"/>
        <v>588.1130018097914</v>
      </c>
      <c r="GD73" s="59">
        <f t="shared" si="80"/>
        <v>881.44633514312477</v>
      </c>
      <c r="GE73" s="59">
        <f ca="1">AVERAGE(OFFSET($GD$3,0,0,'Données projet'!$E$17+1,1))-AVERAGE(OFFSET($H$3,0,0,'Données projet'!$E$17+1,1))</f>
        <v>275.5229427552884</v>
      </c>
      <c r="GF73" s="59">
        <f t="shared" si="104"/>
        <v>241.20234081716143</v>
      </c>
      <c r="GG73" s="15">
        <f>IF(ISNA(VLOOKUP(A73,'Données projet'!$A$243:$I$263,3,0)),0,VLOOKUP(A73,'Données projet'!$A$243:$I$263,3,0))</f>
        <v>11</v>
      </c>
      <c r="GH73" s="15">
        <f>IF(ISNA(VLOOKUP(A73,'Données projet'!$A$243:$I$263,4,0)),0,VLOOKUP(A73,'Données projet'!$A$243:$I$263,4,0))</f>
        <v>10</v>
      </c>
      <c r="GI73" s="16">
        <f>IF(ISNA(VLOOKUP(A73,'Données projet'!$A$243:$I$263,5,0)),0%,VLOOKUP(A73,'Données projet'!$A$243:$I$263,5,0)*VLOOKUP('Données projet'!$B$17,Paramètres!$A$1:$I$89,7,0))</f>
        <v>0.215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0.3</v>
      </c>
      <c r="GL73" s="21">
        <f>EXP(-LN(2)/35)*GL72+(1-EXP(-LN(2)/35))/(LN(2)/35)*GH73*GI73*VLOOKUP('Données projet'!$B$17,Paramètres!$A$1:$I$89,3,0)*0.475*44/12</f>
        <v>18.432851490242221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3.7841409945215991</v>
      </c>
      <c r="GO73" s="21">
        <f t="shared" si="81"/>
        <v>22.216992484763821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274.57619581652199</v>
      </c>
      <c r="T74" s="59">
        <f t="shared" si="88"/>
        <v>366.15117322598775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 t="e">
        <f>EXP(-LN(2)/35)*Z73+(1-EXP(-LN(2)/35))/(LN(2)/35)*V74*W74*VLOOKUP('Données projet'!$B$9,Paramètres!$A$1:$I$89,3,0)*0.475*44/12</f>
        <v>#VALUE!</v>
      </c>
      <c r="AA74" s="21" t="e">
        <f>EXP(-LN(2)/25)*AA73+(1-EXP(-LN(2)/25))/(LN(2)/25)*Calculateur!V74*Calculateur!X74*VLOOKUP('Données projet'!$B$9,Paramètres!$A$1:$I$89,3,0)*0.475*44/12</f>
        <v>#VALUE!</v>
      </c>
      <c r="AB74" s="21" t="e">
        <f>EXP(-LN(2)/2)*AB73+(1-EXP(-LN(2)/2))/(LN(2)/2)*V74*Y74*VLOOKUP('Données projet'!$B$9,Paramètres!$A$1:$I$89,3,0)*0.475*44/12</f>
        <v>#VALUE!</v>
      </c>
      <c r="AC74" s="22" t="e">
        <f t="shared" si="57"/>
        <v>#VALUE!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175.05987582828078</v>
      </c>
      <c r="AO74" s="59">
        <f t="shared" si="90"/>
        <v>268.54782308462387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135.38153142230348</v>
      </c>
      <c r="AV74" s="21">
        <f>EXP(-LN(2)/25)*AV73+(1-EXP(-LN(2)/25))/(LN(2)/25)*Calculateur!AQ74*Calculateur!AS74*VLOOKUP('Données projet'!$B$10,Paramètres!$A$1:$I$89,3,0)*0.475*44/12</f>
        <v>31.067530934025921</v>
      </c>
      <c r="AW74" s="21">
        <f>EXP(-LN(2)/2)*AW73+(1-EXP(-LN(2)/2))/(LN(2)/2)*AQ74*AT74*VLOOKUP('Données projet'!$B$10,Paramètres!$A$1:$I$89,3,0)*0.475*44/12</f>
        <v>0.62887114505319486</v>
      </c>
      <c r="AX74" s="21">
        <f t="shared" si="60"/>
        <v>167.07793350138257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16.999999999999993</v>
      </c>
      <c r="BD74" s="12">
        <f>IF('Données projet'!$A$88&gt;35,BD73+BC74-BL73,IF(A74&lt;'Données projet'!$A$88,$BA$205^A74,IF(A74='Données projet'!$A$88,'Données projet'!$B$88,BD73+BC74-BL73)))</f>
        <v>398.8053119999999</v>
      </c>
      <c r="BE74" s="13">
        <f>BD74*VLOOKUP('Données projet'!$B$11,Paramètres!$A$1:$I$89,3,0)*VLOOKUP('Données projet'!$B$11,Paramètres!$A$1:$I$89,5,0)</f>
        <v>186.64088601599994</v>
      </c>
      <c r="BF74" s="13">
        <f t="shared" si="91"/>
        <v>46.796531215825397</v>
      </c>
      <c r="BG74" s="20">
        <f t="shared" si="61"/>
        <v>406.57016834542907</v>
      </c>
      <c r="BH74" s="59">
        <f t="shared" si="62"/>
        <v>699.90350167876238</v>
      </c>
      <c r="BI74" s="59">
        <f ca="1">AVERAGE(OFFSET($BH$3,0,0,'Données projet'!$E$11+1,1))-AVERAGE(OFFSET($H$3,0,0,'Données projet'!$E$11+1,1))</f>
        <v>252.70779718608964</v>
      </c>
      <c r="BJ74" s="59">
        <f t="shared" si="92"/>
        <v>187.86969111712705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60.155949963849409</v>
      </c>
      <c r="BQ74" s="21">
        <f>EXP(-LN(2)/25)*BQ73+(1-EXP(-LN(2)/25))/(LN(2)/25)*Calculateur!BL74*Calculateur!BN74*VLOOKUP('Données projet'!$B$11,Paramètres!$A$1:$I$89,3,0)*0.475*44/12</f>
        <v>14.428859280383246</v>
      </c>
      <c r="BR74" s="21">
        <f>EXP(-LN(2)/2)*BR73+(1-EXP(-LN(2)/2))/(LN(2)/2)*BL74*BO74*VLOOKUP('Données projet'!$B$11,Paramètres!$A$1:$I$89,3,0)*0.475*44/12</f>
        <v>4.8487098778691919</v>
      </c>
      <c r="BS74" s="22">
        <f t="shared" si="63"/>
        <v>79.433519122101856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-2.2737367544323206E-13</v>
      </c>
      <c r="BZ74" s="13">
        <f>BY74*VLOOKUP('Données projet'!$B$12,Paramètres!$A$1:$I$89,3,0)*VLOOKUP('Données projet'!$B$12,Paramètres!$A$1:$I$89,5,0)</f>
        <v>-1.3596945791505279E-13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279.86432710889352</v>
      </c>
      <c r="CE74" s="59">
        <f t="shared" si="94"/>
        <v>297.01680128882509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102.05362652472661</v>
      </c>
      <c r="CL74" s="21">
        <f>EXP(-LN(2)/25)*CL73+(1-EXP(-LN(2)/25))/(LN(2)/25)*Calculateur!CG74*Calculateur!CI74*VLOOKUP('Données projet'!$B$12,Paramètres!$A$1:$I$89,3,0)*0.475*44/12</f>
        <v>80.700290905278038</v>
      </c>
      <c r="CM74" s="21">
        <f>EXP(-LN(2)/2)*CM73+(1-EXP(-LN(2)/2))/(LN(2)/2)*CG74*CJ74*VLOOKUP('Données projet'!$B$12,Paramètres!$A$1:$I$89,3,0)*0.475*44/12</f>
        <v>9.5370780323743922</v>
      </c>
      <c r="CN74" s="22">
        <f t="shared" si="66"/>
        <v>192.29099546237904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343.79999999999967</v>
      </c>
      <c r="CU74" s="17">
        <f>CT74*VLOOKUP('Données projet'!$B$13,Paramètres!$A$1:$I$89,3,0)*VLOOKUP('Données projet'!$B$13,Paramètres!$A$1:$I$89,5,0)</f>
        <v>273.52727999999973</v>
      </c>
      <c r="CV74" s="13">
        <f t="shared" si="95"/>
        <v>65.597280712155978</v>
      </c>
      <c r="CW74" s="20">
        <f t="shared" si="67"/>
        <v>590.64194324033781</v>
      </c>
      <c r="CX74" s="59">
        <f t="shared" si="68"/>
        <v>883.97527657367118</v>
      </c>
      <c r="CY74" s="59">
        <f ca="1">AVERAGE(OFFSET($CX$3,0,0,'Données projet'!$E$13+1,1))-AVERAGE(OFFSET($H$3,0,0,'Données projet'!$E$13+1,1))</f>
        <v>314.6300257056194</v>
      </c>
      <c r="CZ74" s="59">
        <f t="shared" si="96"/>
        <v>298.00555477466668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17.709307112944455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17.709307112944455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4.8</v>
      </c>
      <c r="DO74" s="12">
        <f>IF('Données projet'!$A$166&gt;35,DO73+DN74-DW73,IF(A74&lt;'Données projet'!$A$166,$DL$205^A74,IF(A74='Données projet'!$A$166,'Données projet'!$B$166,DO73+DN74-DW73)))</f>
        <v>343.79999999999967</v>
      </c>
      <c r="DP74" s="17">
        <f>DO74*VLOOKUP('Données projet'!$B$14,Paramètres!$A$1:$I$89,3,0)*VLOOKUP('Données projet'!$B$14,Paramètres!$A$1:$I$89,5,0)</f>
        <v>273.52727999999973</v>
      </c>
      <c r="DQ74" s="13">
        <f t="shared" si="97"/>
        <v>65.597280712155978</v>
      </c>
      <c r="DR74" s="20">
        <f t="shared" si="70"/>
        <v>590.64194324033781</v>
      </c>
      <c r="DS74" s="59">
        <f t="shared" si="71"/>
        <v>883.97527657367118</v>
      </c>
      <c r="DT74" s="59">
        <f ca="1">AVERAGE(OFFSET($DS$3,0,0,'Données projet'!$E$14+1,1))-AVERAGE(OFFSET($H$3,0,0,'Données projet'!$E$14+1,1))</f>
        <v>314.6300257056194</v>
      </c>
      <c r="DU74" s="59">
        <f t="shared" si="98"/>
        <v>298.00555477466668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17.709307112944455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17.709307112944455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15.6</v>
      </c>
      <c r="EJ74" s="12">
        <f>IF('Données projet'!$A$192&gt;35,EJ73+EI74-ER73,IF(A74&lt;'Données projet'!$A$192,$EG$205^A74,IF(A74='Données projet'!$A$192,'Données projet'!$B$192,EJ73+EI74-ER73)))</f>
        <v>392.35384615384646</v>
      </c>
      <c r="EK74" s="17">
        <f>EJ74*VLOOKUP('Données projet'!$B$15,Paramètres!$A$1:$I$89,3,0)*VLOOKUP('Données projet'!$B$15,Paramètres!$A$1:$I$89,5,0)</f>
        <v>188.72220000000016</v>
      </c>
      <c r="EL74" s="13">
        <f t="shared" si="99"/>
        <v>47.257338561222483</v>
      </c>
      <c r="EM74" s="20">
        <f t="shared" si="73"/>
        <v>410.99769632746273</v>
      </c>
      <c r="EN74" s="59">
        <f t="shared" si="74"/>
        <v>704.33102966079605</v>
      </c>
      <c r="EO74" s="59">
        <f ca="1">AVERAGE(OFFSET($EN$3,0,0,'Données projet'!$E$15+1,1))-AVERAGE(OFFSET($H$3,0,0,'Données projet'!$E$15+1,1))</f>
        <v>238.83604534181978</v>
      </c>
      <c r="EP74" s="59">
        <f t="shared" si="100"/>
        <v>114.85152559837792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3.6</v>
      </c>
      <c r="FE74" s="12">
        <f>IF('Données projet'!$A$218&gt;35,FE73+FD74-FM73,IF(A74&lt;'Données projet'!$A$218,$FB$205^A74,IF(A74='Données projet'!$A$218,'Données projet'!$B$218,FE73+FD74-FM73)))</f>
        <v>246.60000000000002</v>
      </c>
      <c r="FF74" s="17">
        <f>FE74*VLOOKUP('Données projet'!$B$16,Paramètres!$A$1:$I$89,3,0)*VLOOKUP('Données projet'!$B$16,Paramètres!$A$1:$I$89,5,0)</f>
        <v>200.04192000000006</v>
      </c>
      <c r="FG74" s="13">
        <f t="shared" si="101"/>
        <v>49.753380360216063</v>
      </c>
      <c r="FH74" s="20">
        <f t="shared" si="76"/>
        <v>435.06014812737641</v>
      </c>
      <c r="FI74" s="59">
        <f t="shared" si="77"/>
        <v>728.39348146070972</v>
      </c>
      <c r="FJ74" s="59">
        <f ca="1">AVERAGE(OFFSET($FI$3,0,0,'Données projet'!$E$16+1,1))-AVERAGE(OFFSET($H$3,0,0,'Données projet'!$E$16+1,1))</f>
        <v>196.95467273423861</v>
      </c>
      <c r="FK74" s="59">
        <f t="shared" si="102"/>
        <v>173.8709326829258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13.619021953670833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2.0165387163187818</v>
      </c>
      <c r="FT74" s="22">
        <f t="shared" si="78"/>
        <v>15.635560669989616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3.6</v>
      </c>
      <c r="FZ74" s="12">
        <f>IF('Données projet'!$A$244&gt;35,FZ73+FY74-GH73,IF(A74&lt;'Données projet'!$A$244,$FW$205^A74,IF(A74='Données projet'!$A$244,'Données projet'!$B$244,FZ73+FY74-GH73)))</f>
        <v>246.60000000000002</v>
      </c>
      <c r="GA74" s="17">
        <f>FZ74*VLOOKUP('Données projet'!$B$17,Paramètres!$A$1:$I$89,3,0)*VLOOKUP('Données projet'!$B$17,Paramètres!$A$1:$I$89,5,0)</f>
        <v>265.44024000000002</v>
      </c>
      <c r="GB74" s="13">
        <f t="shared" si="103"/>
        <v>63.880615973031119</v>
      </c>
      <c r="GC74" s="20">
        <f t="shared" si="79"/>
        <v>573.56715748636259</v>
      </c>
      <c r="GD74" s="59">
        <f t="shared" si="80"/>
        <v>866.90049081969596</v>
      </c>
      <c r="GE74" s="59">
        <f ca="1">AVERAGE(OFFSET($GD$3,0,0,'Données projet'!$E$17+1,1))-AVERAGE(OFFSET($H$3,0,0,'Données projet'!$E$17+1,1))</f>
        <v>275.5229427552884</v>
      </c>
      <c r="GF74" s="59">
        <f t="shared" si="104"/>
        <v>241.20234081716143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18.071394515447832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2.6757917581922288</v>
      </c>
      <c r="GO74" s="21">
        <f t="shared" si="81"/>
        <v>20.747186273640061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274.57619581652199</v>
      </c>
      <c r="T75" s="59">
        <f t="shared" si="88"/>
        <v>366.15117322598775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 t="e">
        <f>EXP(-LN(2)/35)*Z74+(1-EXP(-LN(2)/35))/(LN(2)/35)*V75*W75*VLOOKUP('Données projet'!$B$9,Paramètres!$A$1:$I$89,3,0)*0.475*44/12</f>
        <v>#VALUE!</v>
      </c>
      <c r="AA75" s="21" t="e">
        <f>EXP(-LN(2)/25)*AA74+(1-EXP(-LN(2)/25))/(LN(2)/25)*Calculateur!V75*Calculateur!X75*VLOOKUP('Données projet'!$B$9,Paramètres!$A$1:$I$89,3,0)*0.475*44/12</f>
        <v>#VALUE!</v>
      </c>
      <c r="AB75" s="21" t="e">
        <f>EXP(-LN(2)/2)*AB74+(1-EXP(-LN(2)/2))/(LN(2)/2)*V75*Y75*VLOOKUP('Données projet'!$B$9,Paramètres!$A$1:$I$89,3,0)*0.475*44/12</f>
        <v>#VALUE!</v>
      </c>
      <c r="AC75" s="22" t="e">
        <f t="shared" si="57"/>
        <v>#VALUE!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175.05987582828078</v>
      </c>
      <c r="AO75" s="59">
        <f t="shared" si="90"/>
        <v>268.54782308462387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132.72678216569273</v>
      </c>
      <c r="AV75" s="21">
        <f>EXP(-LN(2)/25)*AV74+(1-EXP(-LN(2)/25))/(LN(2)/25)*Calculateur!AQ75*Calculateur!AS75*VLOOKUP('Données projet'!$B$10,Paramètres!$A$1:$I$89,3,0)*0.475*44/12</f>
        <v>30.217987666864538</v>
      </c>
      <c r="AW75" s="21">
        <f>EXP(-LN(2)/2)*AW74+(1-EXP(-LN(2)/2))/(LN(2)/2)*AQ75*AT75*VLOOKUP('Données projet'!$B$10,Paramètres!$A$1:$I$89,3,0)*0.475*44/12</f>
        <v>0.44467905115966305</v>
      </c>
      <c r="AX75" s="21">
        <f t="shared" si="60"/>
        <v>163.38944888371691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16.999999999999993</v>
      </c>
      <c r="BD75" s="12">
        <f>IF('Données projet'!$A$88&gt;35,BD74+BC75-BL74,IF(A75&lt;'Données projet'!$A$88,$BA$205^A75,IF(A75='Données projet'!$A$88,'Données projet'!$B$88,BD74+BC75-BL74)))</f>
        <v>415.8053119999999</v>
      </c>
      <c r="BE75" s="13">
        <f>BD75*VLOOKUP('Données projet'!$B$11,Paramètres!$A$1:$I$89,3,0)*VLOOKUP('Données projet'!$B$11,Paramètres!$A$1:$I$89,5,0)</f>
        <v>194.59688601599996</v>
      </c>
      <c r="BF75" s="13">
        <f t="shared" si="91"/>
        <v>48.554840744218808</v>
      </c>
      <c r="BG75" s="20">
        <f t="shared" si="61"/>
        <v>423.48925744071431</v>
      </c>
      <c r="BH75" s="59">
        <f t="shared" si="62"/>
        <v>716.82259077404763</v>
      </c>
      <c r="BI75" s="59">
        <f ca="1">AVERAGE(OFFSET($BH$3,0,0,'Données projet'!$E$11+1,1))-AVERAGE(OFFSET($H$3,0,0,'Données projet'!$E$11+1,1))</f>
        <v>252.70779718608964</v>
      </c>
      <c r="BJ75" s="59">
        <f t="shared" si="92"/>
        <v>187.86969111712705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58.976328476564817</v>
      </c>
      <c r="BQ75" s="21">
        <f>EXP(-LN(2)/25)*BQ74+(1-EXP(-LN(2)/25))/(LN(2)/25)*Calculateur!BL75*Calculateur!BN75*VLOOKUP('Données projet'!$B$11,Paramètres!$A$1:$I$89,3,0)*0.475*44/12</f>
        <v>14.034301364580434</v>
      </c>
      <c r="BR75" s="21">
        <f>EXP(-LN(2)/2)*BR74+(1-EXP(-LN(2)/2))/(LN(2)/2)*BL75*BO75*VLOOKUP('Données projet'!$B$11,Paramètres!$A$1:$I$89,3,0)*0.475*44/12</f>
        <v>3.4285556346475023</v>
      </c>
      <c r="BS75" s="22">
        <f t="shared" si="63"/>
        <v>76.439185475792755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-2.2737367544323206E-13</v>
      </c>
      <c r="BZ75" s="13">
        <f>BY75*VLOOKUP('Données projet'!$B$12,Paramètres!$A$1:$I$89,3,0)*VLOOKUP('Données projet'!$B$12,Paramètres!$A$1:$I$89,5,0)</f>
        <v>-1.3596945791505279E-13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279.86432710889352</v>
      </c>
      <c r="CE75" s="59">
        <f t="shared" si="94"/>
        <v>297.01680128882509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100.05241715514256</v>
      </c>
      <c r="CL75" s="21">
        <f>EXP(-LN(2)/25)*CL74+(1-EXP(-LN(2)/25))/(LN(2)/25)*Calculateur!CG75*Calculateur!CI75*VLOOKUP('Données projet'!$B$12,Paramètres!$A$1:$I$89,3,0)*0.475*44/12</f>
        <v>78.493537206629355</v>
      </c>
      <c r="CM75" s="21">
        <f>EXP(-LN(2)/2)*CM74+(1-EXP(-LN(2)/2))/(LN(2)/2)*CG75*CJ75*VLOOKUP('Données projet'!$B$12,Paramètres!$A$1:$I$89,3,0)*0.475*44/12</f>
        <v>6.7437325493971887</v>
      </c>
      <c r="CN75" s="22">
        <f t="shared" si="66"/>
        <v>185.2896869111691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348.59999999999968</v>
      </c>
      <c r="CU75" s="17">
        <f>CT75*VLOOKUP('Données projet'!$B$13,Paramètres!$A$1:$I$89,3,0)*VLOOKUP('Données projet'!$B$13,Paramètres!$A$1:$I$89,5,0)</f>
        <v>277.34615999999977</v>
      </c>
      <c r="CV75" s="13">
        <f t="shared" si="95"/>
        <v>66.405865737274013</v>
      </c>
      <c r="CW75" s="20">
        <f t="shared" si="67"/>
        <v>598.70144482575188</v>
      </c>
      <c r="CX75" s="59">
        <f t="shared" si="68"/>
        <v>892.03477815908514</v>
      </c>
      <c r="CY75" s="59">
        <f ca="1">AVERAGE(OFFSET($CX$3,0,0,'Données projet'!$E$13+1,1))-AVERAGE(OFFSET($H$3,0,0,'Données projet'!$E$13+1,1))</f>
        <v>314.6300257056194</v>
      </c>
      <c r="CZ75" s="59">
        <f t="shared" si="96"/>
        <v>298.00555477466668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17.362038402070382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17.362038402070382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4.8</v>
      </c>
      <c r="DO75" s="12">
        <f>IF('Données projet'!$A$166&gt;35,DO74+DN75-DW74,IF(A75&lt;'Données projet'!$A$166,$DL$205^A75,IF(A75='Données projet'!$A$166,'Données projet'!$B$166,DO74+DN75-DW74)))</f>
        <v>348.59999999999968</v>
      </c>
      <c r="DP75" s="17">
        <f>DO75*VLOOKUP('Données projet'!$B$14,Paramètres!$A$1:$I$89,3,0)*VLOOKUP('Données projet'!$B$14,Paramètres!$A$1:$I$89,5,0)</f>
        <v>277.34615999999977</v>
      </c>
      <c r="DQ75" s="13">
        <f t="shared" si="97"/>
        <v>66.405865737274013</v>
      </c>
      <c r="DR75" s="20">
        <f t="shared" si="70"/>
        <v>598.70144482575188</v>
      </c>
      <c r="DS75" s="59">
        <f t="shared" si="71"/>
        <v>892.03477815908514</v>
      </c>
      <c r="DT75" s="59">
        <f ca="1">AVERAGE(OFFSET($DS$3,0,0,'Données projet'!$E$14+1,1))-AVERAGE(OFFSET($H$3,0,0,'Données projet'!$E$14+1,1))</f>
        <v>314.6300257056194</v>
      </c>
      <c r="DU75" s="59">
        <f t="shared" si="98"/>
        <v>298.00555477466668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17.362038402070382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17.362038402070382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>
        <f>VLOOKUP(A75,'Données projet'!$A$191:$I$211,2,0)</f>
        <v>407.95384615384614</v>
      </c>
      <c r="EH75" s="12">
        <f>VLOOKUP(A75,'Données projet'!$A$191:$I$211,9,0)</f>
        <v>15.6</v>
      </c>
      <c r="EI75" s="12">
        <f t="array" ref="EI75">INDEX(EH:EH,MIN(IF(ISNUMBER(EH75:EH271),ROW(EH75:EH271),"")))</f>
        <v>15.6</v>
      </c>
      <c r="EJ75" s="12">
        <f>IF('Données projet'!$A$192&gt;35,EJ74+EI75-ER74,IF(A75&lt;'Données projet'!$A$192,$EG$205^A75,IF(A75='Données projet'!$A$192,'Données projet'!$B$192,EJ74+EI75-ER74)))</f>
        <v>407.95384615384648</v>
      </c>
      <c r="EK75" s="17">
        <f>EJ75*VLOOKUP('Données projet'!$B$15,Paramètres!$A$1:$I$89,3,0)*VLOOKUP('Données projet'!$B$15,Paramètres!$A$1:$I$89,5,0)</f>
        <v>196.22580000000016</v>
      </c>
      <c r="EL75" s="13">
        <f t="shared" si="99"/>
        <v>48.913795353131285</v>
      </c>
      <c r="EM75" s="20">
        <f t="shared" si="73"/>
        <v>426.95146190670397</v>
      </c>
      <c r="EN75" s="59">
        <f t="shared" si="74"/>
        <v>720.28479524003728</v>
      </c>
      <c r="EO75" s="59">
        <f ca="1">AVERAGE(OFFSET($EN$3,0,0,'Données projet'!$E$15+1,1))-AVERAGE(OFFSET($H$3,0,0,'Données projet'!$E$15+1,1))</f>
        <v>238.83604534181978</v>
      </c>
      <c r="EP75" s="59">
        <f t="shared" si="100"/>
        <v>114.85152559837792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3.6</v>
      </c>
      <c r="FE75" s="12">
        <f>IF('Données projet'!$A$218&gt;35,FE74+FD75-FM74,IF(A75&lt;'Données projet'!$A$218,$FB$205^A75,IF(A75='Données projet'!$A$218,'Données projet'!$B$218,FE74+FD75-FM74)))</f>
        <v>250.20000000000002</v>
      </c>
      <c r="FF75" s="17">
        <f>FE75*VLOOKUP('Données projet'!$B$16,Paramètres!$A$1:$I$89,3,0)*VLOOKUP('Données projet'!$B$16,Paramètres!$A$1:$I$89,5,0)</f>
        <v>202.96224000000004</v>
      </c>
      <c r="FG75" s="13">
        <f t="shared" si="101"/>
        <v>50.394620309426152</v>
      </c>
      <c r="FH75" s="20">
        <f t="shared" si="76"/>
        <v>441.2631983722506</v>
      </c>
      <c r="FI75" s="59">
        <f t="shared" si="77"/>
        <v>734.59653170558386</v>
      </c>
      <c r="FJ75" s="59">
        <f ca="1">AVERAGE(OFFSET($FI$3,0,0,'Données projet'!$E$16+1,1))-AVERAGE(OFFSET($H$3,0,0,'Données projet'!$E$16+1,1))</f>
        <v>196.95467273423861</v>
      </c>
      <c r="FK75" s="59">
        <f t="shared" si="102"/>
        <v>173.8709326829258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13.351961239942513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1.4259082008342263</v>
      </c>
      <c r="FT75" s="22">
        <f t="shared" si="78"/>
        <v>14.77786944077674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3.6</v>
      </c>
      <c r="FZ75" s="12">
        <f>IF('Données projet'!$A$244&gt;35,FZ74+FY75-GH74,IF(A75&lt;'Données projet'!$A$244,$FW$205^A75,IF(A75='Données projet'!$A$244,'Données projet'!$B$244,FZ74+FY75-GH74)))</f>
        <v>250.20000000000002</v>
      </c>
      <c r="GA75" s="17">
        <f>FZ75*VLOOKUP('Données projet'!$B$17,Paramètres!$A$1:$I$89,3,0)*VLOOKUP('Données projet'!$B$17,Paramètres!$A$1:$I$89,5,0)</f>
        <v>269.31528000000003</v>
      </c>
      <c r="GB75" s="13">
        <f t="shared" si="103"/>
        <v>64.703932954620839</v>
      </c>
      <c r="GC75" s="20">
        <f t="shared" si="79"/>
        <v>581.75012922929795</v>
      </c>
      <c r="GD75" s="59">
        <f t="shared" si="80"/>
        <v>875.08346256263121</v>
      </c>
      <c r="GE75" s="59">
        <f ca="1">AVERAGE(OFFSET($GD$3,0,0,'Données projet'!$E$17+1,1))-AVERAGE(OFFSET($H$3,0,0,'Données projet'!$E$17+1,1))</f>
        <v>275.5229427552884</v>
      </c>
      <c r="GF75" s="59">
        <f t="shared" si="104"/>
        <v>241.20234081716143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17.717025491462177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1.8920704972607998</v>
      </c>
      <c r="GO75" s="21">
        <f t="shared" si="81"/>
        <v>19.609095988722977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274.57619581652199</v>
      </c>
      <c r="T76" s="59">
        <f t="shared" si="88"/>
        <v>366.15117322598775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 t="e">
        <f>EXP(-LN(2)/35)*Z75+(1-EXP(-LN(2)/35))/(LN(2)/35)*V76*W76*VLOOKUP('Données projet'!$B$9,Paramètres!$A$1:$I$89,3,0)*0.475*44/12</f>
        <v>#VALUE!</v>
      </c>
      <c r="AA76" s="21" t="e">
        <f>EXP(-LN(2)/25)*AA75+(1-EXP(-LN(2)/25))/(LN(2)/25)*Calculateur!V76*Calculateur!X76*VLOOKUP('Données projet'!$B$9,Paramètres!$A$1:$I$89,3,0)*0.475*44/12</f>
        <v>#VALUE!</v>
      </c>
      <c r="AB76" s="21" t="e">
        <f>EXP(-LN(2)/2)*AB75+(1-EXP(-LN(2)/2))/(LN(2)/2)*V76*Y76*VLOOKUP('Données projet'!$B$9,Paramètres!$A$1:$I$89,3,0)*0.475*44/12</f>
        <v>#VALUE!</v>
      </c>
      <c r="AC76" s="22" t="e">
        <f t="shared" si="57"/>
        <v>#VALUE!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175.05987582828078</v>
      </c>
      <c r="AO76" s="59">
        <f t="shared" si="90"/>
        <v>268.54782308462387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130.12409092276692</v>
      </c>
      <c r="AV76" s="21">
        <f>EXP(-LN(2)/25)*AV75+(1-EXP(-LN(2)/25))/(LN(2)/25)*Calculateur!AQ76*Calculateur!AS76*VLOOKUP('Données projet'!$B$10,Paramètres!$A$1:$I$89,3,0)*0.475*44/12</f>
        <v>29.391675205019219</v>
      </c>
      <c r="AW76" s="21">
        <f>EXP(-LN(2)/2)*AW75+(1-EXP(-LN(2)/2))/(LN(2)/2)*AQ76*AT76*VLOOKUP('Données projet'!$B$10,Paramètres!$A$1:$I$89,3,0)*0.475*44/12</f>
        <v>0.31443557252659743</v>
      </c>
      <c r="AX76" s="21">
        <f t="shared" si="60"/>
        <v>159.83020170031276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16.999999999999993</v>
      </c>
      <c r="BD76" s="12">
        <f>IF('Données projet'!$A$88&gt;35,BD75+BC76-BL75,IF(A76&lt;'Données projet'!$A$88,$BA$205^A76,IF(A76='Données projet'!$A$88,'Données projet'!$B$88,BD75+BC76-BL75)))</f>
        <v>432.8053119999999</v>
      </c>
      <c r="BE76" s="13">
        <f>BD76*VLOOKUP('Données projet'!$B$11,Paramètres!$A$1:$I$89,3,0)*VLOOKUP('Données projet'!$B$11,Paramètres!$A$1:$I$89,5,0)</f>
        <v>202.55288601599997</v>
      </c>
      <c r="BF76" s="13">
        <f t="shared" si="91"/>
        <v>50.304799973902909</v>
      </c>
      <c r="BG76" s="20">
        <f t="shared" si="61"/>
        <v>440.3938030990808</v>
      </c>
      <c r="BH76" s="59">
        <f t="shared" si="62"/>
        <v>733.72713643241411</v>
      </c>
      <c r="BI76" s="59">
        <f ca="1">AVERAGE(OFFSET($BH$3,0,0,'Données projet'!$E$11+1,1))-AVERAGE(OFFSET($H$3,0,0,'Données projet'!$E$11+1,1))</f>
        <v>252.70779718608964</v>
      </c>
      <c r="BJ76" s="59">
        <f t="shared" si="92"/>
        <v>187.86969111712705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57.819838647147812</v>
      </c>
      <c r="BQ76" s="21">
        <f>EXP(-LN(2)/25)*BQ75+(1-EXP(-LN(2)/25))/(LN(2)/25)*Calculateur!BL76*Calculateur!BN76*VLOOKUP('Données projet'!$B$11,Paramètres!$A$1:$I$89,3,0)*0.475*44/12</f>
        <v>13.65053265573415</v>
      </c>
      <c r="BR76" s="21">
        <f>EXP(-LN(2)/2)*BR75+(1-EXP(-LN(2)/2))/(LN(2)/2)*BL76*BO76*VLOOKUP('Données projet'!$B$11,Paramètres!$A$1:$I$89,3,0)*0.475*44/12</f>
        <v>2.424354938934596</v>
      </c>
      <c r="BS76" s="22">
        <f t="shared" si="63"/>
        <v>73.894726241816556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-2.2737367544323206E-13</v>
      </c>
      <c r="BZ76" s="13">
        <f>BY76*VLOOKUP('Données projet'!$B$12,Paramètres!$A$1:$I$89,3,0)*VLOOKUP('Données projet'!$B$12,Paramètres!$A$1:$I$89,5,0)</f>
        <v>-1.3596945791505279E-13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279.86432710889352</v>
      </c>
      <c r="CE76" s="59">
        <f t="shared" si="94"/>
        <v>297.01680128882509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98.090450280678866</v>
      </c>
      <c r="CL76" s="21">
        <f>EXP(-LN(2)/25)*CL75+(1-EXP(-LN(2)/25))/(LN(2)/25)*Calculateur!CG76*Calculateur!CI76*VLOOKUP('Données projet'!$B$12,Paramètres!$A$1:$I$89,3,0)*0.475*44/12</f>
        <v>76.347127303918356</v>
      </c>
      <c r="CM76" s="21">
        <f>EXP(-LN(2)/2)*CM75+(1-EXP(-LN(2)/2))/(LN(2)/2)*CG76*CJ76*VLOOKUP('Données projet'!$B$12,Paramètres!$A$1:$I$89,3,0)*0.475*44/12</f>
        <v>4.7685390161871961</v>
      </c>
      <c r="CN76" s="22">
        <f t="shared" si="66"/>
        <v>179.20611660078441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353.39999999999969</v>
      </c>
      <c r="CU76" s="17">
        <f>CT76*VLOOKUP('Données projet'!$B$13,Paramètres!$A$1:$I$89,3,0)*VLOOKUP('Données projet'!$B$13,Paramètres!$A$1:$I$89,5,0)</f>
        <v>281.16503999999975</v>
      </c>
      <c r="CV76" s="13">
        <f t="shared" si="95"/>
        <v>67.21315579434291</v>
      </c>
      <c r="CW76" s="20">
        <f t="shared" si="67"/>
        <v>606.75869100848013</v>
      </c>
      <c r="CX76" s="59">
        <f t="shared" si="68"/>
        <v>900.09202434181339</v>
      </c>
      <c r="CY76" s="59">
        <f ca="1">AVERAGE(OFFSET($CX$3,0,0,'Données projet'!$E$13+1,1))-AVERAGE(OFFSET($H$3,0,0,'Données projet'!$E$13+1,1))</f>
        <v>314.6300257056194</v>
      </c>
      <c r="CZ76" s="59">
        <f t="shared" si="96"/>
        <v>298.00555477466668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17.021579418803551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17.021579418803551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4.8</v>
      </c>
      <c r="DO76" s="12">
        <f>IF('Données projet'!$A$166&gt;35,DO75+DN76-DW75,IF(A76&lt;'Données projet'!$A$166,$DL$205^A76,IF(A76='Données projet'!$A$166,'Données projet'!$B$166,DO75+DN76-DW75)))</f>
        <v>353.39999999999969</v>
      </c>
      <c r="DP76" s="17">
        <f>DO76*VLOOKUP('Données projet'!$B$14,Paramètres!$A$1:$I$89,3,0)*VLOOKUP('Données projet'!$B$14,Paramètres!$A$1:$I$89,5,0)</f>
        <v>281.16503999999975</v>
      </c>
      <c r="DQ76" s="13">
        <f t="shared" si="97"/>
        <v>67.21315579434291</v>
      </c>
      <c r="DR76" s="20">
        <f t="shared" si="70"/>
        <v>606.75869100848013</v>
      </c>
      <c r="DS76" s="59">
        <f t="shared" si="71"/>
        <v>900.09202434181339</v>
      </c>
      <c r="DT76" s="59">
        <f ca="1">AVERAGE(OFFSET($DS$3,0,0,'Données projet'!$E$14+1,1))-AVERAGE(OFFSET($H$3,0,0,'Données projet'!$E$14+1,1))</f>
        <v>314.6300257056194</v>
      </c>
      <c r="DU76" s="59">
        <f t="shared" si="98"/>
        <v>298.00555477466668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17.021579418803551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17.021579418803551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15.551282051282044</v>
      </c>
      <c r="EJ76" s="12">
        <f>IF('Données projet'!$A$192&gt;35,EJ75+EI76-ER75,IF(A76&lt;'Données projet'!$A$192,$EG$205^A76,IF(A76='Données projet'!$A$192,'Données projet'!$B$192,EJ75+EI76-ER75)))</f>
        <v>423.50512820512853</v>
      </c>
      <c r="EK76" s="17">
        <f>EJ76*VLOOKUP('Données projet'!$B$15,Paramètres!$A$1:$I$89,3,0)*VLOOKUP('Données projet'!$B$15,Paramètres!$A$1:$I$89,5,0)</f>
        <v>203.7059666666668</v>
      </c>
      <c r="EL76" s="13">
        <f t="shared" si="99"/>
        <v>50.557754685751604</v>
      </c>
      <c r="EM76" s="20">
        <f t="shared" si="73"/>
        <v>442.84264802212869</v>
      </c>
      <c r="EN76" s="59">
        <f t="shared" si="74"/>
        <v>736.175981355462</v>
      </c>
      <c r="EO76" s="59">
        <f ca="1">AVERAGE(OFFSET($EN$3,0,0,'Données projet'!$E$15+1,1))-AVERAGE(OFFSET($H$3,0,0,'Données projet'!$E$15+1,1))</f>
        <v>238.83604534181978</v>
      </c>
      <c r="EP76" s="59">
        <f t="shared" si="100"/>
        <v>114.85152559837792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3.6</v>
      </c>
      <c r="FE76" s="12">
        <f>IF('Données projet'!$A$218&gt;35,FE75+FD76-FM75,IF(A76&lt;'Données projet'!$A$218,$FB$205^A76,IF(A76='Données projet'!$A$218,'Données projet'!$B$218,FE75+FD76-FM75)))</f>
        <v>253.8</v>
      </c>
      <c r="FF76" s="17">
        <f>FE76*VLOOKUP('Données projet'!$B$16,Paramètres!$A$1:$I$89,3,0)*VLOOKUP('Données projet'!$B$16,Paramètres!$A$1:$I$89,5,0)</f>
        <v>205.88256000000001</v>
      </c>
      <c r="FG76" s="13">
        <f t="shared" si="101"/>
        <v>51.034787156745402</v>
      </c>
      <c r="FH76" s="20">
        <f t="shared" si="76"/>
        <v>447.4643796313315</v>
      </c>
      <c r="FI76" s="59">
        <f t="shared" si="77"/>
        <v>740.79771296466481</v>
      </c>
      <c r="FJ76" s="59">
        <f ca="1">AVERAGE(OFFSET($FI$3,0,0,'Données projet'!$E$16+1,1))-AVERAGE(OFFSET($H$3,0,0,'Données projet'!$E$16+1,1))</f>
        <v>196.95467273423861</v>
      </c>
      <c r="FK76" s="59">
        <f t="shared" si="102"/>
        <v>173.8709326829258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13.090137423919455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1.0082693581593909</v>
      </c>
      <c r="FT76" s="22">
        <f t="shared" si="78"/>
        <v>14.098406782078845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3.6</v>
      </c>
      <c r="FZ76" s="12">
        <f>IF('Données projet'!$A$244&gt;35,FZ75+FY76-GH75,IF(A76&lt;'Données projet'!$A$244,$FW$205^A76,IF(A76='Données projet'!$A$244,'Données projet'!$B$244,FZ75+FY76-GH75)))</f>
        <v>253.8</v>
      </c>
      <c r="GA76" s="17">
        <f>FZ76*VLOOKUP('Données projet'!$B$17,Paramètres!$A$1:$I$89,3,0)*VLOOKUP('Données projet'!$B$17,Paramètres!$A$1:$I$89,5,0)</f>
        <v>273.19031999999999</v>
      </c>
      <c r="GB76" s="13">
        <f t="shared" si="103"/>
        <v>65.525872132143832</v>
      </c>
      <c r="GC76" s="20">
        <f t="shared" si="79"/>
        <v>589.93070129681712</v>
      </c>
      <c r="GD76" s="59">
        <f t="shared" si="80"/>
        <v>883.26403463015049</v>
      </c>
      <c r="GE76" s="59">
        <f ca="1">AVERAGE(OFFSET($GD$3,0,0,'Données projet'!$E$17+1,1))-AVERAGE(OFFSET($H$3,0,0,'Données projet'!$E$17+1,1))</f>
        <v>275.5229427552884</v>
      </c>
      <c r="GF76" s="59">
        <f t="shared" si="104"/>
        <v>241.20234081716143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17.36960542789312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1.3378958790961146</v>
      </c>
      <c r="GO76" s="21">
        <f t="shared" si="81"/>
        <v>18.707501306989236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274.57619581652199</v>
      </c>
      <c r="T77" s="59">
        <f t="shared" si="88"/>
        <v>366.15117322598775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 t="e">
        <f>EXP(-LN(2)/35)*Z76+(1-EXP(-LN(2)/35))/(LN(2)/35)*V77*W77*VLOOKUP('Données projet'!$B$9,Paramètres!$A$1:$I$89,3,0)*0.475*44/12</f>
        <v>#VALUE!</v>
      </c>
      <c r="AA77" s="21" t="e">
        <f>EXP(-LN(2)/25)*AA76+(1-EXP(-LN(2)/25))/(LN(2)/25)*Calculateur!V77*Calculateur!X77*VLOOKUP('Données projet'!$B$9,Paramètres!$A$1:$I$89,3,0)*0.475*44/12</f>
        <v>#VALUE!</v>
      </c>
      <c r="AB77" s="21" t="e">
        <f>EXP(-LN(2)/2)*AB76+(1-EXP(-LN(2)/2))/(LN(2)/2)*V77*Y77*VLOOKUP('Données projet'!$B$9,Paramètres!$A$1:$I$89,3,0)*0.475*44/12</f>
        <v>#VALUE!</v>
      </c>
      <c r="AC77" s="22" t="e">
        <f t="shared" si="57"/>
        <v>#VALUE!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175.05987582828078</v>
      </c>
      <c r="AO77" s="59">
        <f t="shared" si="90"/>
        <v>268.54782308462387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127.57243686763</v>
      </c>
      <c r="AV77" s="21">
        <f>EXP(-LN(2)/25)*AV76+(1-EXP(-LN(2)/25))/(LN(2)/25)*Calculateur!AQ77*Calculateur!AS77*VLOOKUP('Données projet'!$B$10,Paramètres!$A$1:$I$89,3,0)*0.475*44/12</f>
        <v>28.587958300896943</v>
      </c>
      <c r="AW77" s="21">
        <f>EXP(-LN(2)/2)*AW76+(1-EXP(-LN(2)/2))/(LN(2)/2)*AQ77*AT77*VLOOKUP('Données projet'!$B$10,Paramètres!$A$1:$I$89,3,0)*0.475*44/12</f>
        <v>0.22233952557983153</v>
      </c>
      <c r="AX77" s="21">
        <f t="shared" si="60"/>
        <v>156.38273469410677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16.999999999999993</v>
      </c>
      <c r="BD77" s="12">
        <f>IF('Données projet'!$A$88&gt;35,BD76+BC77-BL76,IF(A77&lt;'Données projet'!$A$88,$BA$205^A77,IF(A77='Données projet'!$A$88,'Données projet'!$B$88,BD76+BC77-BL76)))</f>
        <v>449.8053119999999</v>
      </c>
      <c r="BE77" s="13">
        <f>BD77*VLOOKUP('Données projet'!$B$11,Paramètres!$A$1:$I$89,3,0)*VLOOKUP('Données projet'!$B$11,Paramètres!$A$1:$I$89,5,0)</f>
        <v>210.50888601599996</v>
      </c>
      <c r="BF77" s="13">
        <f t="shared" si="91"/>
        <v>52.0467744266927</v>
      </c>
      <c r="BG77" s="20">
        <f t="shared" si="61"/>
        <v>457.28444193768973</v>
      </c>
      <c r="BH77" s="59">
        <f t="shared" si="62"/>
        <v>750.61777527102299</v>
      </c>
      <c r="BI77" s="59">
        <f ca="1">AVERAGE(OFFSET($BH$3,0,0,'Données projet'!$E$11+1,1))-AVERAGE(OFFSET($H$3,0,0,'Données projet'!$E$11+1,1))</f>
        <v>252.70779718608964</v>
      </c>
      <c r="BJ77" s="59">
        <f t="shared" si="92"/>
        <v>187.86969111712705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56.686026877896531</v>
      </c>
      <c r="BQ77" s="21">
        <f>EXP(-LN(2)/25)*BQ76+(1-EXP(-LN(2)/25))/(LN(2)/25)*Calculateur!BL77*Calculateur!BN77*VLOOKUP('Données projet'!$B$11,Paramètres!$A$1:$I$89,3,0)*0.475*44/12</f>
        <v>13.277258122412785</v>
      </c>
      <c r="BR77" s="21">
        <f>EXP(-LN(2)/2)*BR76+(1-EXP(-LN(2)/2))/(LN(2)/2)*BL77*BO77*VLOOKUP('Données projet'!$B$11,Paramètres!$A$1:$I$89,3,0)*0.475*44/12</f>
        <v>1.7142778173237512</v>
      </c>
      <c r="BS77" s="22">
        <f t="shared" si="63"/>
        <v>71.67756281763306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-2.2737367544323206E-13</v>
      </c>
      <c r="BZ77" s="13">
        <f>BY77*VLOOKUP('Données projet'!$B$12,Paramètres!$A$1:$I$89,3,0)*VLOOKUP('Données projet'!$B$12,Paramètres!$A$1:$I$89,5,0)</f>
        <v>-1.3596945791505279E-13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279.86432710889352</v>
      </c>
      <c r="CE77" s="59">
        <f t="shared" si="94"/>
        <v>297.01680128882509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96.16695637994178</v>
      </c>
      <c r="CL77" s="21">
        <f>EXP(-LN(2)/25)*CL76+(1-EXP(-LN(2)/25))/(LN(2)/25)*Calculateur!CG77*Calculateur!CI77*VLOOKUP('Données projet'!$B$12,Paramètres!$A$1:$I$89,3,0)*0.475*44/12</f>
        <v>74.259411092871773</v>
      </c>
      <c r="CM77" s="21">
        <f>EXP(-LN(2)/2)*CM76+(1-EXP(-LN(2)/2))/(LN(2)/2)*CG77*CJ77*VLOOKUP('Données projet'!$B$12,Paramètres!$A$1:$I$89,3,0)*0.475*44/12</f>
        <v>3.3718662746985943</v>
      </c>
      <c r="CN77" s="22">
        <f t="shared" si="66"/>
        <v>173.79823374751214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358.1999999999997</v>
      </c>
      <c r="CU77" s="17">
        <f>CT77*VLOOKUP('Données projet'!$B$13,Paramètres!$A$1:$I$89,3,0)*VLOOKUP('Données projet'!$B$13,Paramètres!$A$1:$I$89,5,0)</f>
        <v>284.98391999999978</v>
      </c>
      <c r="CV77" s="13">
        <f t="shared" si="95"/>
        <v>68.019170505087587</v>
      </c>
      <c r="CW77" s="20">
        <f t="shared" si="67"/>
        <v>614.81371596302711</v>
      </c>
      <c r="CX77" s="59">
        <f t="shared" si="68"/>
        <v>908.14704929636036</v>
      </c>
      <c r="CY77" s="59">
        <f ca="1">AVERAGE(OFFSET($CX$3,0,0,'Données projet'!$E$13+1,1))-AVERAGE(OFFSET($H$3,0,0,'Données projet'!$E$13+1,1))</f>
        <v>314.6300257056194</v>
      </c>
      <c r="CZ77" s="59">
        <f t="shared" si="96"/>
        <v>298.00555477466668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16.687796628539108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16.687796628539108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4.8</v>
      </c>
      <c r="DO77" s="12">
        <f>IF('Données projet'!$A$166&gt;35,DO76+DN77-DW76,IF(A77&lt;'Données projet'!$A$166,$DL$205^A77,IF(A77='Données projet'!$A$166,'Données projet'!$B$166,DO76+DN77-DW76)))</f>
        <v>358.1999999999997</v>
      </c>
      <c r="DP77" s="17">
        <f>DO77*VLOOKUP('Données projet'!$B$14,Paramètres!$A$1:$I$89,3,0)*VLOOKUP('Données projet'!$B$14,Paramètres!$A$1:$I$89,5,0)</f>
        <v>284.98391999999978</v>
      </c>
      <c r="DQ77" s="13">
        <f t="shared" si="97"/>
        <v>68.019170505087587</v>
      </c>
      <c r="DR77" s="20">
        <f t="shared" si="70"/>
        <v>614.81371596302711</v>
      </c>
      <c r="DS77" s="59">
        <f t="shared" si="71"/>
        <v>908.14704929636036</v>
      </c>
      <c r="DT77" s="59">
        <f ca="1">AVERAGE(OFFSET($DS$3,0,0,'Données projet'!$E$14+1,1))-AVERAGE(OFFSET($H$3,0,0,'Données projet'!$E$14+1,1))</f>
        <v>314.6300257056194</v>
      </c>
      <c r="DU77" s="59">
        <f t="shared" si="98"/>
        <v>298.00555477466668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16.687796628539108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16.687796628539108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15.551282051282044</v>
      </c>
      <c r="EJ77" s="12">
        <f>IF('Données projet'!$A$192&gt;35,EJ76+EI77-ER76,IF(A77&lt;'Données projet'!$A$192,$EG$205^A77,IF(A77='Données projet'!$A$192,'Données projet'!$B$192,EJ76+EI77-ER76)))</f>
        <v>439.05641025641057</v>
      </c>
      <c r="EK77" s="17">
        <f>EJ77*VLOOKUP('Données projet'!$B$15,Paramètres!$A$1:$I$89,3,0)*VLOOKUP('Données projet'!$B$15,Paramètres!$A$1:$I$89,5,0)</f>
        <v>211.18613333333349</v>
      </c>
      <c r="EL77" s="13">
        <f t="shared" si="99"/>
        <v>52.194700646487966</v>
      </c>
      <c r="EM77" s="20">
        <f t="shared" si="73"/>
        <v>458.72161918152227</v>
      </c>
      <c r="EN77" s="59">
        <f t="shared" si="74"/>
        <v>752.05495251485559</v>
      </c>
      <c r="EO77" s="59">
        <f ca="1">AVERAGE(OFFSET($EN$3,0,0,'Données projet'!$E$15+1,1))-AVERAGE(OFFSET($H$3,0,0,'Données projet'!$E$15+1,1))</f>
        <v>238.83604534181978</v>
      </c>
      <c r="EP77" s="59">
        <f t="shared" si="100"/>
        <v>114.85152559837792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3.6</v>
      </c>
      <c r="FE77" s="12">
        <f>IF('Données projet'!$A$218&gt;35,FE76+FD77-FM76,IF(A77&lt;'Données projet'!$A$218,$FB$205^A77,IF(A77='Données projet'!$A$218,'Données projet'!$B$218,FE76+FD77-FM76)))</f>
        <v>257.40000000000003</v>
      </c>
      <c r="FF77" s="17">
        <f>FE77*VLOOKUP('Données projet'!$B$16,Paramètres!$A$1:$I$89,3,0)*VLOOKUP('Données projet'!$B$16,Paramètres!$A$1:$I$89,5,0)</f>
        <v>208.80288000000002</v>
      </c>
      <c r="FG77" s="13">
        <f t="shared" si="101"/>
        <v>51.67389788236229</v>
      </c>
      <c r="FH77" s="20">
        <f t="shared" si="76"/>
        <v>453.6637214784476</v>
      </c>
      <c r="FI77" s="59">
        <f t="shared" si="77"/>
        <v>746.99705481178091</v>
      </c>
      <c r="FJ77" s="59">
        <f ca="1">AVERAGE(OFFSET($FI$3,0,0,'Données projet'!$E$16+1,1))-AVERAGE(OFFSET($H$3,0,0,'Données projet'!$E$16+1,1))</f>
        <v>196.95467273423861</v>
      </c>
      <c r="FK77" s="59">
        <f t="shared" si="102"/>
        <v>173.8709326829258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12.833447813231849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0.71295410041711316</v>
      </c>
      <c r="FT77" s="22">
        <f t="shared" si="78"/>
        <v>13.546401913648962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3.6</v>
      </c>
      <c r="FZ77" s="12">
        <f>IF('Données projet'!$A$244&gt;35,FZ76+FY77-GH76,IF(A77&lt;'Données projet'!$A$244,$FW$205^A77,IF(A77='Données projet'!$A$244,'Données projet'!$B$244,FZ76+FY77-GH76)))</f>
        <v>257.40000000000003</v>
      </c>
      <c r="GA77" s="17">
        <f>FZ77*VLOOKUP('Données projet'!$B$17,Paramètres!$A$1:$I$89,3,0)*VLOOKUP('Données projet'!$B$17,Paramètres!$A$1:$I$89,5,0)</f>
        <v>277.06536000000006</v>
      </c>
      <c r="GB77" s="13">
        <f t="shared" si="103"/>
        <v>66.34645530723256</v>
      </c>
      <c r="GC77" s="20">
        <f t="shared" si="79"/>
        <v>598.10891166009674</v>
      </c>
      <c r="GD77" s="59">
        <f t="shared" si="80"/>
        <v>891.44224499342999</v>
      </c>
      <c r="GE77" s="59">
        <f ca="1">AVERAGE(OFFSET($GD$3,0,0,'Données projet'!$E$17+1,1))-AVERAGE(OFFSET($H$3,0,0,'Données projet'!$E$17+1,1))</f>
        <v>275.5229427552884</v>
      </c>
      <c r="GF77" s="59">
        <f t="shared" si="104"/>
        <v>241.20234081716143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17.028998059865337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0.94603524863040001</v>
      </c>
      <c r="GO77" s="21">
        <f t="shared" si="81"/>
        <v>17.975033308495739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274.57619581652199</v>
      </c>
      <c r="T78" s="59">
        <f t="shared" si="88"/>
        <v>366.15117322598775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 t="e">
        <f>EXP(-LN(2)/35)*Z77+(1-EXP(-LN(2)/35))/(LN(2)/35)*V78*W78*VLOOKUP('Données projet'!$B$9,Paramètres!$A$1:$I$89,3,0)*0.475*44/12</f>
        <v>#VALUE!</v>
      </c>
      <c r="AA78" s="21" t="e">
        <f>EXP(-LN(2)/25)*AA77+(1-EXP(-LN(2)/25))/(LN(2)/25)*Calculateur!V78*Calculateur!X78*VLOOKUP('Données projet'!$B$9,Paramètres!$A$1:$I$89,3,0)*0.475*44/12</f>
        <v>#VALUE!</v>
      </c>
      <c r="AB78" s="21" t="e">
        <f>EXP(-LN(2)/2)*AB77+(1-EXP(-LN(2)/2))/(LN(2)/2)*V78*Y78*VLOOKUP('Données projet'!$B$9,Paramètres!$A$1:$I$89,3,0)*0.475*44/12</f>
        <v>#VALUE!</v>
      </c>
      <c r="AC78" s="22" t="e">
        <f t="shared" si="57"/>
        <v>#VALUE!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175.05987582828078</v>
      </c>
      <c r="AO78" s="59">
        <f t="shared" si="90"/>
        <v>268.54782308462387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125.07081919215902</v>
      </c>
      <c r="AV78" s="21">
        <f>EXP(-LN(2)/25)*AV77+(1-EXP(-LN(2)/25))/(LN(2)/25)*Calculateur!AQ78*Calculateur!AS78*VLOOKUP('Données projet'!$B$10,Paramètres!$A$1:$I$89,3,0)*0.475*44/12</f>
        <v>27.806219077783528</v>
      </c>
      <c r="AW78" s="21">
        <f>EXP(-LN(2)/2)*AW77+(1-EXP(-LN(2)/2))/(LN(2)/2)*AQ78*AT78*VLOOKUP('Données projet'!$B$10,Paramètres!$A$1:$I$89,3,0)*0.475*44/12</f>
        <v>0.15721778626329871</v>
      </c>
      <c r="AX78" s="21">
        <f t="shared" si="60"/>
        <v>153.03425605620583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16.999999999999993</v>
      </c>
      <c r="BD78" s="12">
        <f>IF('Données projet'!$A$88&gt;35,BD77+BC78-BL77,IF(A78&lt;'Données projet'!$A$88,$BA$205^A78,IF(A78='Données projet'!$A$88,'Données projet'!$B$88,BD77+BC78-BL77)))</f>
        <v>466.8053119999999</v>
      </c>
      <c r="BE78" s="13">
        <f>BD78*VLOOKUP('Données projet'!$B$11,Paramètres!$A$1:$I$89,3,0)*VLOOKUP('Données projet'!$B$11,Paramètres!$A$1:$I$89,5,0)</f>
        <v>218.46488601599995</v>
      </c>
      <c r="BF78" s="13">
        <f t="shared" si="91"/>
        <v>53.781100430211517</v>
      </c>
      <c r="BG78" s="20">
        <f t="shared" si="61"/>
        <v>474.1617597271516</v>
      </c>
      <c r="BH78" s="59">
        <f t="shared" si="62"/>
        <v>767.49509306048492</v>
      </c>
      <c r="BI78" s="59">
        <f ca="1">AVERAGE(OFFSET($BH$3,0,0,'Données projet'!$E$11+1,1))-AVERAGE(OFFSET($H$3,0,0,'Données projet'!$E$11+1,1))</f>
        <v>252.70779718608964</v>
      </c>
      <c r="BJ78" s="59">
        <f t="shared" si="92"/>
        <v>187.86969111712705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55.574448465883371</v>
      </c>
      <c r="BQ78" s="21">
        <f>EXP(-LN(2)/25)*BQ77+(1-EXP(-LN(2)/25))/(LN(2)/25)*Calculateur!BL78*Calculateur!BN78*VLOOKUP('Données projet'!$B$11,Paramètres!$A$1:$I$89,3,0)*0.475*44/12</f>
        <v>12.914190800834749</v>
      </c>
      <c r="BR78" s="21">
        <f>EXP(-LN(2)/2)*BR77+(1-EXP(-LN(2)/2))/(LN(2)/2)*BL78*BO78*VLOOKUP('Données projet'!$B$11,Paramètres!$A$1:$I$89,3,0)*0.475*44/12</f>
        <v>1.212177469467298</v>
      </c>
      <c r="BS78" s="22">
        <f t="shared" si="63"/>
        <v>69.700816736185416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-2.2737367544323206E-13</v>
      </c>
      <c r="BZ78" s="13">
        <f>BY78*VLOOKUP('Données projet'!$B$12,Paramètres!$A$1:$I$89,3,0)*VLOOKUP('Données projet'!$B$12,Paramètres!$A$1:$I$89,5,0)</f>
        <v>-1.3596945791505279E-13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279.86432710889352</v>
      </c>
      <c r="CE78" s="59">
        <f t="shared" si="94"/>
        <v>297.01680128882509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94.281181021382707</v>
      </c>
      <c r="CL78" s="21">
        <f>EXP(-LN(2)/25)*CL77+(1-EXP(-LN(2)/25))/(LN(2)/25)*Calculateur!CG78*Calculateur!CI78*VLOOKUP('Données projet'!$B$12,Paramètres!$A$1:$I$89,3,0)*0.475*44/12</f>
        <v>72.228783591404493</v>
      </c>
      <c r="CM78" s="21">
        <f>EXP(-LN(2)/2)*CM77+(1-EXP(-LN(2)/2))/(LN(2)/2)*CG78*CJ78*VLOOKUP('Données projet'!$B$12,Paramètres!$A$1:$I$89,3,0)*0.475*44/12</f>
        <v>2.3842695080935981</v>
      </c>
      <c r="CN78" s="22">
        <f t="shared" si="66"/>
        <v>168.89423412088081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375</v>
      </c>
      <c r="CR78" s="12">
        <f>VLOOKUP(A78,'Données projet'!$A$139:$I$159,9,0)</f>
        <v>4.8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362.99999999999972</v>
      </c>
      <c r="CU78" s="17">
        <f>CT78*VLOOKUP('Données projet'!$B$13,Paramètres!$A$1:$I$89,3,0)*VLOOKUP('Données projet'!$B$13,Paramètres!$A$1:$I$89,5,0)</f>
        <v>288.80279999999976</v>
      </c>
      <c r="CV78" s="13">
        <f t="shared" si="95"/>
        <v>68.823928935135811</v>
      </c>
      <c r="CW78" s="20">
        <f t="shared" si="67"/>
        <v>622.86655289536111</v>
      </c>
      <c r="CX78" s="59">
        <f t="shared" si="68"/>
        <v>916.19988622869437</v>
      </c>
      <c r="CY78" s="59">
        <f ca="1">AVERAGE(OFFSET($CX$3,0,0,'Données projet'!$E$13+1,1))-AVERAGE(OFFSET($H$3,0,0,'Données projet'!$E$13+1,1))</f>
        <v>314.6300257056194</v>
      </c>
      <c r="CZ78" s="59">
        <f t="shared" si="96"/>
        <v>298.00555477466668</v>
      </c>
      <c r="DA78" s="15">
        <f>IF(ISNA(VLOOKUP(A78,'Données projet'!$A$139:$I$159,3,0)),0,VLOOKUP(A78,'Données projet'!$A$139:$I$159,3,0))</f>
        <v>11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0.26500000000000001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19.623549503182652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19.623549503182652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375</v>
      </c>
      <c r="DM78" s="12">
        <f>VLOOKUP(A78,'Données projet'!$A$165:$I$185,9,0)</f>
        <v>4.8</v>
      </c>
      <c r="DN78" s="12">
        <f t="array" ref="DN78">INDEX(DM:DM,MIN(IF(ISNUMBER(DM78:DM274),ROW(DM78:DM274),"")))</f>
        <v>4.8</v>
      </c>
      <c r="DO78" s="12">
        <f>IF('Données projet'!$A$166&gt;35,DO77+DN78-DW77,IF(A78&lt;'Données projet'!$A$166,$DL$205^A78,IF(A78='Données projet'!$A$166,'Données projet'!$B$166,DO77+DN78-DW77)))</f>
        <v>362.99999999999972</v>
      </c>
      <c r="DP78" s="17">
        <f>DO78*VLOOKUP('Données projet'!$B$14,Paramètres!$A$1:$I$89,3,0)*VLOOKUP('Données projet'!$B$14,Paramètres!$A$1:$I$89,5,0)</f>
        <v>288.80279999999976</v>
      </c>
      <c r="DQ78" s="13">
        <f t="shared" si="97"/>
        <v>68.823928935135811</v>
      </c>
      <c r="DR78" s="20">
        <f t="shared" si="70"/>
        <v>622.86655289536111</v>
      </c>
      <c r="DS78" s="59">
        <f t="shared" si="71"/>
        <v>916.19988622869437</v>
      </c>
      <c r="DT78" s="59">
        <f ca="1">AVERAGE(OFFSET($DS$3,0,0,'Données projet'!$E$14+1,1))-AVERAGE(OFFSET($H$3,0,0,'Données projet'!$E$14+1,1))</f>
        <v>314.6300257056194</v>
      </c>
      <c r="DU78" s="59">
        <f t="shared" si="98"/>
        <v>298.00555477466668</v>
      </c>
      <c r="DV78" s="15">
        <f>IF(ISNA(VLOOKUP(A78,'Données projet'!$A$165:$I$185,3,0)),0,VLOOKUP(A78,'Données projet'!$A$165:$I$185,3,0))</f>
        <v>11</v>
      </c>
      <c r="DW78" s="15">
        <f>IF(ISNA(VLOOKUP(A78,'Données projet'!$A$165:$I$185,4,0)),0,VLOOKUP(A78,'Données projet'!$A$165:$I$185,4,0))</f>
        <v>14</v>
      </c>
      <c r="DX78" s="16">
        <f>IF(ISNA(VLOOKUP(A78,'Données projet'!$A$165:$I$185,5,0)),0%,VLOOKUP(A78,'Données projet'!$A$165:$I$185,5,0)*VLOOKUP('Données projet'!$B$14,Paramètres!$A$1:$I$89,7,0))</f>
        <v>0.26500000000000001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19.623549503182652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19.623549503182652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454.60769230769228</v>
      </c>
      <c r="EH78" s="12">
        <f>VLOOKUP(A78,'Données projet'!$A$191:$I$211,9,0)</f>
        <v>15.551282051282044</v>
      </c>
      <c r="EI78" s="12">
        <f t="array" ref="EI78">INDEX(EH:EH,MIN(IF(ISNUMBER(EH78:EH274),ROW(EH78:EH274),"")))</f>
        <v>15.551282051282044</v>
      </c>
      <c r="EJ78" s="12">
        <f>IF('Données projet'!$A$192&gt;35,EJ77+EI78-ER77,IF(A78&lt;'Données projet'!$A$192,$EG$205^A78,IF(A78='Données projet'!$A$192,'Données projet'!$B$192,EJ77+EI78-ER77)))</f>
        <v>454.60769230769262</v>
      </c>
      <c r="EK78" s="17">
        <f>EJ78*VLOOKUP('Données projet'!$B$15,Paramètres!$A$1:$I$89,3,0)*VLOOKUP('Données projet'!$B$15,Paramètres!$A$1:$I$89,5,0)</f>
        <v>218.66630000000015</v>
      </c>
      <c r="EL78" s="13">
        <f t="shared" si="99"/>
        <v>53.824910109410197</v>
      </c>
      <c r="EM78" s="20">
        <f t="shared" si="73"/>
        <v>474.58885760722302</v>
      </c>
      <c r="EN78" s="59">
        <f t="shared" si="74"/>
        <v>767.92219094055633</v>
      </c>
      <c r="EO78" s="59">
        <f ca="1">AVERAGE(OFFSET($EN$3,0,0,'Données projet'!$E$15+1,1))-AVERAGE(OFFSET($H$3,0,0,'Données projet'!$E$15+1,1))</f>
        <v>238.83604534181978</v>
      </c>
      <c r="EP78" s="59">
        <f t="shared" si="100"/>
        <v>114.85152559837792</v>
      </c>
      <c r="EQ78" s="15">
        <f>IF(ISNA(VLOOKUP(A78,'Données projet'!$A$191:$I$211,3,0)),0,VLOOKUP(A78,'Données projet'!$A$191:$I$211,3,0))</f>
        <v>5</v>
      </c>
      <c r="ER78" s="15">
        <f>IF(ISNA(VLOOKUP(A78,'Données projet'!$A$191:$I$211,4,0)),0,VLOOKUP(A78,'Données projet'!$A$191:$I$211,4,0))</f>
        <v>86.946153846153848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261</v>
      </c>
      <c r="FC78" s="12">
        <f>VLOOKUP(A78,'Données projet'!$A$217:$I$237,9,0)</f>
        <v>3.6</v>
      </c>
      <c r="FD78" s="12">
        <f t="array" ref="FD78">INDEX(FC:FC,MIN(IF(ISNUMBER(FC78:FC274),ROW(FC78:FC274),"")))</f>
        <v>3.6</v>
      </c>
      <c r="FE78" s="12">
        <f>IF('Données projet'!$A$218&gt;35,FE77+FD78-FM77,IF(A78&lt;'Données projet'!$A$218,$FB$205^A78,IF(A78='Données projet'!$A$218,'Données projet'!$B$218,FE77+FD78-FM77)))</f>
        <v>261.00000000000006</v>
      </c>
      <c r="FF78" s="17">
        <f>FE78*VLOOKUP('Données projet'!$B$16,Paramètres!$A$1:$I$89,3,0)*VLOOKUP('Données projet'!$B$16,Paramètres!$A$1:$I$89,5,0)</f>
        <v>211.72320000000005</v>
      </c>
      <c r="FG78" s="13">
        <f t="shared" si="101"/>
        <v>52.31196896421207</v>
      </c>
      <c r="FH78" s="20">
        <f t="shared" si="76"/>
        <v>459.86125261266943</v>
      </c>
      <c r="FI78" s="59">
        <f t="shared" si="77"/>
        <v>753.19458594600269</v>
      </c>
      <c r="FJ78" s="59">
        <f ca="1">AVERAGE(OFFSET($FI$3,0,0,'Données projet'!$E$16+1,1))-AVERAGE(OFFSET($H$3,0,0,'Données projet'!$E$16+1,1))</f>
        <v>196.95467273423861</v>
      </c>
      <c r="FK78" s="59">
        <f t="shared" si="102"/>
        <v>173.8709326829258</v>
      </c>
      <c r="FL78" s="15">
        <f>IF(ISNA(VLOOKUP(A78,'Données projet'!$A$217:$I$237,3,0)),0,VLOOKUP(A78,'Données projet'!$A$217:$I$237,3,0))</f>
        <v>12</v>
      </c>
      <c r="FM78" s="15">
        <f>IF(ISNA(VLOOKUP(A78,'Données projet'!$A$217:$I$237,4,0)),0,VLOOKUP(A78,'Données projet'!$A$217:$I$237,4,0))</f>
        <v>9</v>
      </c>
      <c r="FN78" s="16">
        <f>IF(ISNA(VLOOKUP(A78,'Données projet'!$A$217:$I$237,5,0)),0%,VLOOKUP(A78,'Données projet'!$A$217:$I$237,5,0)*VLOOKUP('Données projet'!$B$16,Paramètres!$A$1:$I$89,7,0))</f>
        <v>0.30099999999999999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0.2</v>
      </c>
      <c r="FQ78" s="21">
        <f>EXP(-LN(2)/35)*FQ77+(1-EXP(-LN(2)/35))/(LN(2)/35)*FM78*FN78*VLOOKUP('Données projet'!$B$16,Paramètres!$A$1:$I$89,3,0)*0.475*44/12</f>
        <v>15.011107991459767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1.8818349387098992</v>
      </c>
      <c r="FT78" s="22">
        <f t="shared" si="78"/>
        <v>16.892942930169667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261</v>
      </c>
      <c r="FX78" s="12">
        <f>VLOOKUP(A78,'Données projet'!$A$243:$I$263,9,0)</f>
        <v>3.6</v>
      </c>
      <c r="FY78" s="12">
        <f t="array" ref="FY78">INDEX(FX:FX,MIN(IF(ISNUMBER(FX78:FX274),ROW(FX78:FX274),"")))</f>
        <v>3.6</v>
      </c>
      <c r="FZ78" s="12">
        <f>IF('Données projet'!$A$244&gt;35,FZ77+FY78-GH77,IF(A78&lt;'Données projet'!$A$244,$FW$205^A78,IF(A78='Données projet'!$A$244,'Données projet'!$B$244,FZ77+FY78-GH77)))</f>
        <v>261.00000000000006</v>
      </c>
      <c r="GA78" s="17">
        <f>FZ78*VLOOKUP('Données projet'!$B$17,Paramètres!$A$1:$I$89,3,0)*VLOOKUP('Données projet'!$B$17,Paramètres!$A$1:$I$89,5,0)</f>
        <v>280.94040000000007</v>
      </c>
      <c r="GB78" s="13">
        <f t="shared" si="103"/>
        <v>67.165703636653262</v>
      </c>
      <c r="GC78" s="20">
        <f t="shared" si="79"/>
        <v>606.28479716717118</v>
      </c>
      <c r="GD78" s="59">
        <f t="shared" si="80"/>
        <v>899.61813050050455</v>
      </c>
      <c r="GE78" s="59">
        <f ca="1">AVERAGE(OFFSET($GD$3,0,0,'Données projet'!$E$17+1,1))-AVERAGE(OFFSET($H$3,0,0,'Données projet'!$E$17+1,1))</f>
        <v>275.5229427552884</v>
      </c>
      <c r="GF78" s="59">
        <f t="shared" si="104"/>
        <v>241.20234081716143</v>
      </c>
      <c r="GG78" s="15">
        <f>IF(ISNA(VLOOKUP(A78,'Données projet'!$A$243:$I$263,3,0)),0,VLOOKUP(A78,'Données projet'!$A$243:$I$263,3,0))</f>
        <v>12</v>
      </c>
      <c r="GH78" s="15">
        <f>IF(ISNA(VLOOKUP(A78,'Données projet'!$A$243:$I$263,4,0)),0,VLOOKUP(A78,'Données projet'!$A$243:$I$263,4,0))</f>
        <v>9</v>
      </c>
      <c r="GI78" s="16">
        <f>IF(ISNA(VLOOKUP(A78,'Données projet'!$A$243:$I$263,5,0)),0%,VLOOKUP(A78,'Données projet'!$A$243:$I$263,5,0)*VLOOKUP('Données projet'!$B$17,Paramètres!$A$1:$I$89,7,0))</f>
        <v>0.30099999999999999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0.2</v>
      </c>
      <c r="GL78" s="21">
        <f>EXP(-LN(2)/35)*GL77+(1-EXP(-LN(2)/35))/(LN(2)/35)*GH78*GI78*VLOOKUP('Données projet'!$B$17,Paramètres!$A$1:$I$89,3,0)*0.475*44/12</f>
        <v>19.918585604052382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2.497050207134289</v>
      </c>
      <c r="GO78" s="21">
        <f t="shared" si="81"/>
        <v>22.415635811186672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274.57619581652199</v>
      </c>
      <c r="T79" s="59">
        <f t="shared" si="88"/>
        <v>366.15117322598775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 t="e">
        <f>EXP(-LN(2)/35)*Z78+(1-EXP(-LN(2)/35))/(LN(2)/35)*V79*W79*VLOOKUP('Données projet'!$B$9,Paramètres!$A$1:$I$89,3,0)*0.475*44/12</f>
        <v>#VALUE!</v>
      </c>
      <c r="AA79" s="21" t="e">
        <f>EXP(-LN(2)/25)*AA78+(1-EXP(-LN(2)/25))/(LN(2)/25)*Calculateur!V79*Calculateur!X79*VLOOKUP('Données projet'!$B$9,Paramètres!$A$1:$I$89,3,0)*0.475*44/12</f>
        <v>#VALUE!</v>
      </c>
      <c r="AB79" s="21" t="e">
        <f>EXP(-LN(2)/2)*AB78+(1-EXP(-LN(2)/2))/(LN(2)/2)*V79*Y79*VLOOKUP('Données projet'!$B$9,Paramètres!$A$1:$I$89,3,0)*0.475*44/12</f>
        <v>#VALUE!</v>
      </c>
      <c r="AC79" s="22" t="e">
        <f t="shared" si="57"/>
        <v>#VALUE!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175.05987582828078</v>
      </c>
      <c r="AO79" s="59">
        <f t="shared" si="90"/>
        <v>268.54782308462387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122.6182567134679</v>
      </c>
      <c r="AV79" s="21">
        <f>EXP(-LN(2)/25)*AV78+(1-EXP(-LN(2)/25))/(LN(2)/25)*Calculateur!AQ79*Calculateur!AS79*VLOOKUP('Données projet'!$B$10,Paramètres!$A$1:$I$89,3,0)*0.475*44/12</f>
        <v>27.045856554836028</v>
      </c>
      <c r="AW79" s="21">
        <f>EXP(-LN(2)/2)*AW78+(1-EXP(-LN(2)/2))/(LN(2)/2)*AQ79*AT79*VLOOKUP('Données projet'!$B$10,Paramètres!$A$1:$I$89,3,0)*0.475*44/12</f>
        <v>0.11116976278991576</v>
      </c>
      <c r="AX79" s="21">
        <f t="shared" si="60"/>
        <v>149.77528303109386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16.999999999999993</v>
      </c>
      <c r="BD79" s="12">
        <f>IF('Données projet'!$A$88&gt;35,BD78+BC79-BL78,IF(A79&lt;'Données projet'!$A$88,$BA$205^A79,IF(A79='Données projet'!$A$88,'Données projet'!$B$88,BD78+BC79-BL78)))</f>
        <v>483.8053119999999</v>
      </c>
      <c r="BE79" s="13">
        <f>BD79*VLOOKUP('Données projet'!$B$11,Paramètres!$A$1:$I$89,3,0)*VLOOKUP('Données projet'!$B$11,Paramètres!$A$1:$I$89,5,0)</f>
        <v>226.42088601599994</v>
      </c>
      <c r="BF79" s="13">
        <f t="shared" si="91"/>
        <v>55.508088427199198</v>
      </c>
      <c r="BG79" s="20">
        <f t="shared" si="61"/>
        <v>491.02629715523852</v>
      </c>
      <c r="BH79" s="59">
        <f t="shared" si="62"/>
        <v>784.35963048857184</v>
      </c>
      <c r="BI79" s="59">
        <f ca="1">AVERAGE(OFFSET($BH$3,0,0,'Données projet'!$E$11+1,1))-AVERAGE(OFFSET($H$3,0,0,'Données projet'!$E$11+1,1))</f>
        <v>252.70779718608964</v>
      </c>
      <c r="BJ79" s="59">
        <f t="shared" si="92"/>
        <v>187.86969111712705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54.484667428533903</v>
      </c>
      <c r="BQ79" s="21">
        <f>EXP(-LN(2)/25)*BQ78+(1-EXP(-LN(2)/25))/(LN(2)/25)*Calculateur!BL79*Calculateur!BN79*VLOOKUP('Données projet'!$B$11,Paramètres!$A$1:$I$89,3,0)*0.475*44/12</f>
        <v>12.561051574258144</v>
      </c>
      <c r="BR79" s="21">
        <f>EXP(-LN(2)/2)*BR78+(1-EXP(-LN(2)/2))/(LN(2)/2)*BL79*BO79*VLOOKUP('Données projet'!$B$11,Paramètres!$A$1:$I$89,3,0)*0.475*44/12</f>
        <v>0.85713890866187559</v>
      </c>
      <c r="BS79" s="22">
        <f t="shared" si="63"/>
        <v>67.902857911453935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-2.2737367544323206E-13</v>
      </c>
      <c r="BZ79" s="13">
        <f>BY79*VLOOKUP('Données projet'!$B$12,Paramètres!$A$1:$I$89,3,0)*VLOOKUP('Données projet'!$B$12,Paramètres!$A$1:$I$89,5,0)</f>
        <v>-1.3596945791505279E-13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279.86432710889352</v>
      </c>
      <c r="CE79" s="59">
        <f t="shared" si="94"/>
        <v>297.01680128882509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92.432384567395587</v>
      </c>
      <c r="CL79" s="21">
        <f>EXP(-LN(2)/25)*CL78+(1-EXP(-LN(2)/25))/(LN(2)/25)*Calculateur!CG79*Calculateur!CI79*VLOOKUP('Données projet'!$B$12,Paramètres!$A$1:$I$89,3,0)*0.475*44/12</f>
        <v>70.253683705750888</v>
      </c>
      <c r="CM79" s="21">
        <f>EXP(-LN(2)/2)*CM78+(1-EXP(-LN(2)/2))/(LN(2)/2)*CG79*CJ79*VLOOKUP('Données projet'!$B$12,Paramètres!$A$1:$I$89,3,0)*0.475*44/12</f>
        <v>1.6859331373492972</v>
      </c>
      <c r="CN79" s="22">
        <f t="shared" si="66"/>
        <v>164.37200141049578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</v>
      </c>
      <c r="CT79" s="12">
        <f>IF('Données projet'!$A$140&gt;35,CT78+CS79-DB78,IF(A79&lt;'Données projet'!$A$140,$CQ$205^A79,IF(A79='Données projet'!$A$140,'Données projet'!$B$140,CT78+CS79-DB78)))</f>
        <v>352.99999999999972</v>
      </c>
      <c r="CU79" s="17">
        <f>CT79*VLOOKUP('Données projet'!$B$13,Paramètres!$A$1:$I$89,3,0)*VLOOKUP('Données projet'!$B$13,Paramètres!$A$1:$I$89,5,0)</f>
        <v>280.8467999999998</v>
      </c>
      <c r="CV79" s="13">
        <f t="shared" si="95"/>
        <v>67.14593060095622</v>
      </c>
      <c r="CW79" s="20">
        <f t="shared" si="67"/>
        <v>606.08733912999833</v>
      </c>
      <c r="CX79" s="59">
        <f t="shared" si="68"/>
        <v>899.42067246333158</v>
      </c>
      <c r="CY79" s="59">
        <f ca="1">AVERAGE(OFFSET($CX$3,0,0,'Données projet'!$E$13+1,1))-AVERAGE(OFFSET($H$3,0,0,'Données projet'!$E$13+1,1))</f>
        <v>314.6300257056194</v>
      </c>
      <c r="CZ79" s="59">
        <f t="shared" si="96"/>
        <v>298.00555477466668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19.238743666608578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19.238743666608578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</v>
      </c>
      <c r="DO79" s="12">
        <f>IF('Données projet'!$A$166&gt;35,DO78+DN79-DW78,IF(A79&lt;'Données projet'!$A$166,$DL$205^A79,IF(A79='Données projet'!$A$166,'Données projet'!$B$166,DO78+DN79-DW78)))</f>
        <v>352.99999999999972</v>
      </c>
      <c r="DP79" s="17">
        <f>DO79*VLOOKUP('Données projet'!$B$14,Paramètres!$A$1:$I$89,3,0)*VLOOKUP('Données projet'!$B$14,Paramètres!$A$1:$I$89,5,0)</f>
        <v>280.8467999999998</v>
      </c>
      <c r="DQ79" s="13">
        <f t="shared" si="97"/>
        <v>67.14593060095622</v>
      </c>
      <c r="DR79" s="20">
        <f t="shared" si="70"/>
        <v>606.08733912999833</v>
      </c>
      <c r="DS79" s="59">
        <f t="shared" si="71"/>
        <v>899.42067246333158</v>
      </c>
      <c r="DT79" s="59">
        <f ca="1">AVERAGE(OFFSET($DS$3,0,0,'Données projet'!$E$14+1,1))-AVERAGE(OFFSET($H$3,0,0,'Données projet'!$E$14+1,1))</f>
        <v>314.6300257056194</v>
      </c>
      <c r="DU79" s="59">
        <f t="shared" si="98"/>
        <v>298.00555477466668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19.238743666608578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19.238743666608578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14.244871794871804</v>
      </c>
      <c r="EJ79" s="12">
        <f>IF('Données projet'!$A$192&gt;35,EJ78+EI79-ER78,IF(A79&lt;'Données projet'!$A$192,$EG$205^A79,IF(A79='Données projet'!$A$192,'Données projet'!$B$192,EJ78+EI79-ER78)))</f>
        <v>381.9064102564106</v>
      </c>
      <c r="EK79" s="17">
        <f>EJ79*VLOOKUP('Données projet'!$B$15,Paramètres!$A$1:$I$89,3,0)*VLOOKUP('Données projet'!$B$15,Paramètres!$A$1:$I$89,5,0)</f>
        <v>183.69698333333349</v>
      </c>
      <c r="EL79" s="13">
        <f t="shared" si="99"/>
        <v>46.143721084772586</v>
      </c>
      <c r="EM79" s="20">
        <f t="shared" si="73"/>
        <v>400.30589352820135</v>
      </c>
      <c r="EN79" s="59">
        <f t="shared" si="74"/>
        <v>693.63922686153467</v>
      </c>
      <c r="EO79" s="59">
        <f ca="1">AVERAGE(OFFSET($EN$3,0,0,'Données projet'!$E$15+1,1))-AVERAGE(OFFSET($H$3,0,0,'Données projet'!$E$15+1,1))</f>
        <v>238.83604534181978</v>
      </c>
      <c r="EP79" s="59">
        <f t="shared" si="100"/>
        <v>114.85152559837792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</v>
      </c>
      <c r="FE79" s="12">
        <f>IF('Données projet'!$A$218&gt;35,FE78+FD79-FM78,IF(A79&lt;'Données projet'!$A$218,$FB$205^A79,IF(A79='Données projet'!$A$218,'Données projet'!$B$218,FE78+FD79-FM78)))</f>
        <v>255.00000000000006</v>
      </c>
      <c r="FF79" s="17">
        <f>FE79*VLOOKUP('Données projet'!$B$16,Paramètres!$A$1:$I$89,3,0)*VLOOKUP('Données projet'!$B$16,Paramètres!$A$1:$I$89,5,0)</f>
        <v>206.85600000000005</v>
      </c>
      <c r="FG79" s="13">
        <f t="shared" si="101"/>
        <v>51.247940588293027</v>
      </c>
      <c r="FH79" s="20">
        <f t="shared" si="76"/>
        <v>449.53102985794379</v>
      </c>
      <c r="FI79" s="59">
        <f t="shared" si="77"/>
        <v>742.86436319127711</v>
      </c>
      <c r="FJ79" s="59">
        <f ca="1">AVERAGE(OFFSET($FI$3,0,0,'Données projet'!$E$16+1,1))-AVERAGE(OFFSET($H$3,0,0,'Données projet'!$E$16+1,1))</f>
        <v>196.95467273423861</v>
      </c>
      <c r="FK79" s="59">
        <f t="shared" si="102"/>
        <v>173.8709326829258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14.716749319619048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1.3306582462355407</v>
      </c>
      <c r="FT79" s="22">
        <f t="shared" si="78"/>
        <v>16.047407565854588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</v>
      </c>
      <c r="FZ79" s="12">
        <f>IF('Données projet'!$A$244&gt;35,FZ78+FY79-GH78,IF(A79&lt;'Données projet'!$A$244,$FW$205^A79,IF(A79='Données projet'!$A$244,'Données projet'!$B$244,FZ78+FY79-GH78)))</f>
        <v>255.00000000000006</v>
      </c>
      <c r="GA79" s="17">
        <f>FZ79*VLOOKUP('Données projet'!$B$17,Paramètres!$A$1:$I$89,3,0)*VLOOKUP('Données projet'!$B$17,Paramètres!$A$1:$I$89,5,0)</f>
        <v>274.48200000000003</v>
      </c>
      <c r="GB79" s="13">
        <f t="shared" si="103"/>
        <v>65.799549466335947</v>
      </c>
      <c r="GC79" s="20">
        <f t="shared" si="79"/>
        <v>592.65703198720178</v>
      </c>
      <c r="GD79" s="59">
        <f t="shared" si="80"/>
        <v>885.99036532053515</v>
      </c>
      <c r="GE79" s="59">
        <f ca="1">AVERAGE(OFFSET($GD$3,0,0,'Données projet'!$E$17+1,1))-AVERAGE(OFFSET($H$3,0,0,'Données projet'!$E$17+1,1))</f>
        <v>275.5229427552884</v>
      </c>
      <c r="GF79" s="59">
        <f t="shared" si="104"/>
        <v>241.20234081716143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19.527994289494504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1.7656811344279291</v>
      </c>
      <c r="GO79" s="21">
        <f t="shared" si="81"/>
        <v>21.293675423922434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274.57619581652199</v>
      </c>
      <c r="T80" s="59">
        <f t="shared" si="88"/>
        <v>366.15117322598775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 t="e">
        <f>EXP(-LN(2)/35)*Z79+(1-EXP(-LN(2)/35))/(LN(2)/35)*V80*W80*VLOOKUP('Données projet'!$B$9,Paramètres!$A$1:$I$89,3,0)*0.475*44/12</f>
        <v>#VALUE!</v>
      </c>
      <c r="AA80" s="21" t="e">
        <f>EXP(-LN(2)/25)*AA79+(1-EXP(-LN(2)/25))/(LN(2)/25)*Calculateur!V80*Calculateur!X80*VLOOKUP('Données projet'!$B$9,Paramètres!$A$1:$I$89,3,0)*0.475*44/12</f>
        <v>#VALUE!</v>
      </c>
      <c r="AB80" s="21" t="e">
        <f>EXP(-LN(2)/2)*AB79+(1-EXP(-LN(2)/2))/(LN(2)/2)*V80*Y80*VLOOKUP('Données projet'!$B$9,Paramètres!$A$1:$I$89,3,0)*0.475*44/12</f>
        <v>#VALUE!</v>
      </c>
      <c r="AC80" s="22" t="e">
        <f t="shared" si="57"/>
        <v>#VALUE!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175.05987582828078</v>
      </c>
      <c r="AO80" s="59">
        <f t="shared" si="90"/>
        <v>268.54782308462387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120.21378748906852</v>
      </c>
      <c r="AV80" s="21">
        <f>EXP(-LN(2)/25)*AV79+(1-EXP(-LN(2)/25))/(LN(2)/25)*Calculateur!AQ80*Calculateur!AS80*VLOOKUP('Données projet'!$B$10,Paramètres!$A$1:$I$89,3,0)*0.475*44/12</f>
        <v>26.306286185064256</v>
      </c>
      <c r="AW80" s="21">
        <f>EXP(-LN(2)/2)*AW79+(1-EXP(-LN(2)/2))/(LN(2)/2)*AQ80*AT80*VLOOKUP('Données projet'!$B$10,Paramètres!$A$1:$I$89,3,0)*0.475*44/12</f>
        <v>7.8608893131649357E-2</v>
      </c>
      <c r="AX80" s="21">
        <f t="shared" si="60"/>
        <v>146.59868256726443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16.999999999999993</v>
      </c>
      <c r="BD80" s="12">
        <f>IF('Données projet'!$A$88&gt;35,BD79+BC80-BL79,IF(A80&lt;'Données projet'!$A$88,$BA$205^A80,IF(A80='Données projet'!$A$88,'Données projet'!$B$88,BD79+BC80-BL79)))</f>
        <v>500.8053119999999</v>
      </c>
      <c r="BE80" s="13">
        <f>BD80*VLOOKUP('Données projet'!$B$11,Paramètres!$A$1:$I$89,3,0)*VLOOKUP('Données projet'!$B$11,Paramètres!$A$1:$I$89,5,0)</f>
        <v>234.37688601599996</v>
      </c>
      <c r="BF80" s="13">
        <f t="shared" si="91"/>
        <v>57.228025806619982</v>
      </c>
      <c r="BG80" s="20">
        <f t="shared" si="61"/>
        <v>507.87855475772972</v>
      </c>
      <c r="BH80" s="59">
        <f t="shared" si="62"/>
        <v>801.21188809106297</v>
      </c>
      <c r="BI80" s="59">
        <f ca="1">AVERAGE(OFFSET($BH$3,0,0,'Données projet'!$E$11+1,1))-AVERAGE(OFFSET($H$3,0,0,'Données projet'!$E$11+1,1))</f>
        <v>252.70779718608964</v>
      </c>
      <c r="BJ80" s="59">
        <f t="shared" si="92"/>
        <v>187.86969111712705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53.416256332626062</v>
      </c>
      <c r="BQ80" s="21">
        <f>EXP(-LN(2)/25)*BQ79+(1-EXP(-LN(2)/25))/(LN(2)/25)*Calculateur!BL80*Calculateur!BN80*VLOOKUP('Données projet'!$B$11,Paramètres!$A$1:$I$89,3,0)*0.475*44/12</f>
        <v>12.217568958403062</v>
      </c>
      <c r="BR80" s="21">
        <f>EXP(-LN(2)/2)*BR79+(1-EXP(-LN(2)/2))/(LN(2)/2)*BL80*BO80*VLOOKUP('Données projet'!$B$11,Paramètres!$A$1:$I$89,3,0)*0.475*44/12</f>
        <v>0.60608873473364899</v>
      </c>
      <c r="BS80" s="22">
        <f t="shared" si="63"/>
        <v>66.239914025762772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-2.2737367544323206E-13</v>
      </c>
      <c r="BZ80" s="13">
        <f>BY80*VLOOKUP('Données projet'!$B$12,Paramètres!$A$1:$I$89,3,0)*VLOOKUP('Données projet'!$B$12,Paramètres!$A$1:$I$89,5,0)</f>
        <v>-1.3596945791505279E-13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279.86432710889352</v>
      </c>
      <c r="CE80" s="59">
        <f t="shared" si="94"/>
        <v>297.01680128882509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90.619841884216669</v>
      </c>
      <c r="CL80" s="21">
        <f>EXP(-LN(2)/25)*CL79+(1-EXP(-LN(2)/25))/(LN(2)/25)*Calculateur!CG80*Calculateur!CI80*VLOOKUP('Données projet'!$B$12,Paramètres!$A$1:$I$89,3,0)*0.475*44/12</f>
        <v>68.332593030336469</v>
      </c>
      <c r="CM80" s="21">
        <f>EXP(-LN(2)/2)*CM79+(1-EXP(-LN(2)/2))/(LN(2)/2)*CG80*CJ80*VLOOKUP('Données projet'!$B$12,Paramètres!$A$1:$I$89,3,0)*0.475*44/12</f>
        <v>1.192134754046799</v>
      </c>
      <c r="CN80" s="22">
        <f t="shared" si="66"/>
        <v>160.14456966859993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</v>
      </c>
      <c r="CT80" s="12">
        <f>IF('Données projet'!$A$140&gt;35,CT79+CS80-DB79,IF(A80&lt;'Données projet'!$A$140,$CQ$205^A80,IF(A80='Données projet'!$A$140,'Données projet'!$B$140,CT79+CS80-DB79)))</f>
        <v>356.99999999999972</v>
      </c>
      <c r="CU80" s="17">
        <f>CT80*VLOOKUP('Données projet'!$B$13,Paramètres!$A$1:$I$89,3,0)*VLOOKUP('Données projet'!$B$13,Paramètres!$A$1:$I$89,5,0)</f>
        <v>284.02919999999978</v>
      </c>
      <c r="CV80" s="13">
        <f t="shared" si="95"/>
        <v>67.817785339183956</v>
      </c>
      <c r="CW80" s="20">
        <f t="shared" si="67"/>
        <v>612.80016613241162</v>
      </c>
      <c r="CX80" s="59">
        <f t="shared" si="68"/>
        <v>906.13349946574499</v>
      </c>
      <c r="CY80" s="59">
        <f ca="1">AVERAGE(OFFSET($CX$3,0,0,'Données projet'!$E$13+1,1))-AVERAGE(OFFSET($H$3,0,0,'Données projet'!$E$13+1,1))</f>
        <v>314.6300257056194</v>
      </c>
      <c r="CZ80" s="59">
        <f t="shared" si="96"/>
        <v>298.00555477466668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18.861483637781337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18.861483637781337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</v>
      </c>
      <c r="DO80" s="12">
        <f>IF('Données projet'!$A$166&gt;35,DO79+DN80-DW79,IF(A80&lt;'Données projet'!$A$166,$DL$205^A80,IF(A80='Données projet'!$A$166,'Données projet'!$B$166,DO79+DN80-DW79)))</f>
        <v>356.99999999999972</v>
      </c>
      <c r="DP80" s="17">
        <f>DO80*VLOOKUP('Données projet'!$B$14,Paramètres!$A$1:$I$89,3,0)*VLOOKUP('Données projet'!$B$14,Paramètres!$A$1:$I$89,5,0)</f>
        <v>284.02919999999978</v>
      </c>
      <c r="DQ80" s="13">
        <f t="shared" si="97"/>
        <v>67.817785339183956</v>
      </c>
      <c r="DR80" s="20">
        <f t="shared" si="70"/>
        <v>612.80016613241162</v>
      </c>
      <c r="DS80" s="59">
        <f t="shared" si="71"/>
        <v>906.13349946574499</v>
      </c>
      <c r="DT80" s="59">
        <f ca="1">AVERAGE(OFFSET($DS$3,0,0,'Données projet'!$E$14+1,1))-AVERAGE(OFFSET($H$3,0,0,'Données projet'!$E$14+1,1))</f>
        <v>314.6300257056194</v>
      </c>
      <c r="DU80" s="59">
        <f t="shared" si="98"/>
        <v>298.00555477466668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18.861483637781337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18.861483637781337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14.244871794871804</v>
      </c>
      <c r="EJ80" s="12">
        <f>IF('Données projet'!$A$192&gt;35,EJ79+EI80-ER79,IF(A80&lt;'Données projet'!$A$192,$EG$205^A80,IF(A80='Données projet'!$A$192,'Données projet'!$B$192,EJ79+EI80-ER79)))</f>
        <v>396.15128205128241</v>
      </c>
      <c r="EK80" s="17">
        <f>EJ80*VLOOKUP('Données projet'!$B$15,Paramètres!$A$1:$I$89,3,0)*VLOOKUP('Données projet'!$B$15,Paramètres!$A$1:$I$89,5,0)</f>
        <v>190.54876666666684</v>
      </c>
      <c r="EL80" s="13">
        <f t="shared" si="99"/>
        <v>47.66125699745448</v>
      </c>
      <c r="EM80" s="20">
        <f t="shared" si="73"/>
        <v>414.88245788167796</v>
      </c>
      <c r="EN80" s="59">
        <f t="shared" si="74"/>
        <v>708.21579121501122</v>
      </c>
      <c r="EO80" s="59">
        <f ca="1">AVERAGE(OFFSET($EN$3,0,0,'Données projet'!$E$15+1,1))-AVERAGE(OFFSET($H$3,0,0,'Données projet'!$E$15+1,1))</f>
        <v>238.83604534181978</v>
      </c>
      <c r="EP80" s="59">
        <f t="shared" si="100"/>
        <v>114.85152559837792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</v>
      </c>
      <c r="FE80" s="12">
        <f>IF('Données projet'!$A$218&gt;35,FE79+FD80-FM79,IF(A80&lt;'Données projet'!$A$218,$FB$205^A80,IF(A80='Données projet'!$A$218,'Données projet'!$B$218,FE79+FD80-FM79)))</f>
        <v>258.00000000000006</v>
      </c>
      <c r="FF80" s="17">
        <f>FE80*VLOOKUP('Données projet'!$B$16,Paramètres!$A$1:$I$89,3,0)*VLOOKUP('Données projet'!$B$16,Paramètres!$A$1:$I$89,5,0)</f>
        <v>209.28960000000004</v>
      </c>
      <c r="FG80" s="13">
        <f t="shared" si="101"/>
        <v>51.780314822292212</v>
      </c>
      <c r="FH80" s="20">
        <f t="shared" si="76"/>
        <v>454.69676831549236</v>
      </c>
      <c r="FI80" s="59">
        <f t="shared" si="77"/>
        <v>748.03010164882562</v>
      </c>
      <c r="FJ80" s="59">
        <f ca="1">AVERAGE(OFFSET($FI$3,0,0,'Données projet'!$E$16+1,1))-AVERAGE(OFFSET($H$3,0,0,'Données projet'!$E$16+1,1))</f>
        <v>196.95467273423861</v>
      </c>
      <c r="FK80" s="59">
        <f t="shared" si="102"/>
        <v>173.8709326829258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14.428162841792064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0.94091746935494969</v>
      </c>
      <c r="FT80" s="22">
        <f t="shared" si="78"/>
        <v>15.369080311147014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</v>
      </c>
      <c r="FZ80" s="12">
        <f>IF('Données projet'!$A$244&gt;35,FZ79+FY80-GH79,IF(A80&lt;'Données projet'!$A$244,$FW$205^A80,IF(A80='Données projet'!$A$244,'Données projet'!$B$244,FZ79+FY80-GH79)))</f>
        <v>258.00000000000006</v>
      </c>
      <c r="GA80" s="17">
        <f>FZ80*VLOOKUP('Données projet'!$B$17,Paramètres!$A$1:$I$89,3,0)*VLOOKUP('Données projet'!$B$17,Paramètres!$A$1:$I$89,5,0)</f>
        <v>277.71120000000008</v>
      </c>
      <c r="GB80" s="13">
        <f t="shared" si="103"/>
        <v>66.483088830894033</v>
      </c>
      <c r="GC80" s="20">
        <f t="shared" si="79"/>
        <v>599.47171971380715</v>
      </c>
      <c r="GD80" s="59">
        <f t="shared" si="80"/>
        <v>892.80505304714052</v>
      </c>
      <c r="GE80" s="59">
        <f ca="1">AVERAGE(OFFSET($GD$3,0,0,'Données projet'!$E$17+1,1))-AVERAGE(OFFSET($H$3,0,0,'Données projet'!$E$17+1,1))</f>
        <v>275.5229427552884</v>
      </c>
      <c r="GF80" s="59">
        <f t="shared" si="104"/>
        <v>241.20234081716143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19.145062232377931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1.2485251035671447</v>
      </c>
      <c r="GO80" s="21">
        <f t="shared" si="81"/>
        <v>20.393587335945075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274.57619581652199</v>
      </c>
      <c r="T81" s="59">
        <f t="shared" si="88"/>
        <v>366.15117322598775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 t="e">
        <f>EXP(-LN(2)/35)*Z80+(1-EXP(-LN(2)/35))/(LN(2)/35)*V81*W81*VLOOKUP('Données projet'!$B$9,Paramètres!$A$1:$I$89,3,0)*0.475*44/12</f>
        <v>#VALUE!</v>
      </c>
      <c r="AA81" s="21" t="e">
        <f>EXP(-LN(2)/25)*AA80+(1-EXP(-LN(2)/25))/(LN(2)/25)*Calculateur!V81*Calculateur!X81*VLOOKUP('Données projet'!$B$9,Paramètres!$A$1:$I$89,3,0)*0.475*44/12</f>
        <v>#VALUE!</v>
      </c>
      <c r="AB81" s="21" t="e">
        <f>EXP(-LN(2)/2)*AB80+(1-EXP(-LN(2)/2))/(LN(2)/2)*V81*Y81*VLOOKUP('Données projet'!$B$9,Paramètres!$A$1:$I$89,3,0)*0.475*44/12</f>
        <v>#VALUE!</v>
      </c>
      <c r="AC81" s="22" t="e">
        <f t="shared" si="57"/>
        <v>#VALUE!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175.05987582828078</v>
      </c>
      <c r="AO81" s="59">
        <f t="shared" si="90"/>
        <v>268.54782308462387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117.85646843957819</v>
      </c>
      <c r="AV81" s="21">
        <f>EXP(-LN(2)/25)*AV80+(1-EXP(-LN(2)/25))/(LN(2)/25)*Calculateur!AQ81*Calculateur!AS81*VLOOKUP('Données projet'!$B$10,Paramètres!$A$1:$I$89,3,0)*0.475*44/12</f>
        <v>25.586939405946207</v>
      </c>
      <c r="AW81" s="21">
        <f>EXP(-LN(2)/2)*AW80+(1-EXP(-LN(2)/2))/(LN(2)/2)*AQ81*AT81*VLOOKUP('Données projet'!$B$10,Paramètres!$A$1:$I$89,3,0)*0.475*44/12</f>
        <v>5.5584881394957882E-2</v>
      </c>
      <c r="AX81" s="21">
        <f t="shared" si="60"/>
        <v>143.49899272691937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16.999999999999993</v>
      </c>
      <c r="BD81" s="12">
        <f>IF('Données projet'!$A$88&gt;35,BD80+BC81-BL80,IF(A81&lt;'Données projet'!$A$88,$BA$205^A81,IF(A81='Données projet'!$A$88,'Données projet'!$B$88,BD80+BC81-BL80)))</f>
        <v>517.80531199999984</v>
      </c>
      <c r="BE81" s="13">
        <f>BD81*VLOOKUP('Données projet'!$B$11,Paramètres!$A$1:$I$89,3,0)*VLOOKUP('Données projet'!$B$11,Paramètres!$A$1:$I$89,5,0)</f>
        <v>242.33288601599992</v>
      </c>
      <c r="BF81" s="13">
        <f t="shared" si="91"/>
        <v>58.941179339559639</v>
      </c>
      <c r="BG81" s="20">
        <f t="shared" si="61"/>
        <v>524.71899716093287</v>
      </c>
      <c r="BH81" s="59">
        <f t="shared" si="62"/>
        <v>818.05233049426624</v>
      </c>
      <c r="BI81" s="59">
        <f ca="1">AVERAGE(OFFSET($BH$3,0,0,'Données projet'!$E$11+1,1))-AVERAGE(OFFSET($H$3,0,0,'Données projet'!$E$11+1,1))</f>
        <v>252.70779718608964</v>
      </c>
      <c r="BJ81" s="59">
        <f t="shared" si="92"/>
        <v>187.86969111712705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52.36879612664255</v>
      </c>
      <c r="BQ81" s="21">
        <f>EXP(-LN(2)/25)*BQ80+(1-EXP(-LN(2)/25))/(LN(2)/25)*Calculateur!BL81*Calculateur!BN81*VLOOKUP('Données projet'!$B$11,Paramètres!$A$1:$I$89,3,0)*0.475*44/12</f>
        <v>11.883478892741502</v>
      </c>
      <c r="BR81" s="21">
        <f>EXP(-LN(2)/2)*BR80+(1-EXP(-LN(2)/2))/(LN(2)/2)*BL81*BO81*VLOOKUP('Données projet'!$B$11,Paramètres!$A$1:$I$89,3,0)*0.475*44/12</f>
        <v>0.42856945433093779</v>
      </c>
      <c r="BS81" s="22">
        <f t="shared" si="63"/>
        <v>64.680844473714998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-2.2737367544323206E-13</v>
      </c>
      <c r="BZ81" s="13">
        <f>BY81*VLOOKUP('Données projet'!$B$12,Paramètres!$A$1:$I$89,3,0)*VLOOKUP('Données projet'!$B$12,Paramètres!$A$1:$I$89,5,0)</f>
        <v>-1.3596945791505279E-13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279.86432710889352</v>
      </c>
      <c r="CE81" s="59">
        <f t="shared" si="94"/>
        <v>297.01680128882509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88.84284205751301</v>
      </c>
      <c r="CL81" s="21">
        <f>EXP(-LN(2)/25)*CL80+(1-EXP(-LN(2)/25))/(LN(2)/25)*Calculateur!CG81*Calculateur!CI81*VLOOKUP('Données projet'!$B$12,Paramètres!$A$1:$I$89,3,0)*0.475*44/12</f>
        <v>66.464034680467023</v>
      </c>
      <c r="CM81" s="21">
        <f>EXP(-LN(2)/2)*CM80+(1-EXP(-LN(2)/2))/(LN(2)/2)*CG81*CJ81*VLOOKUP('Données projet'!$B$12,Paramètres!$A$1:$I$89,3,0)*0.475*44/12</f>
        <v>0.84296656867464859</v>
      </c>
      <c r="CN81" s="22">
        <f t="shared" si="66"/>
        <v>156.14984330665467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</v>
      </c>
      <c r="CT81" s="12">
        <f>IF('Données projet'!$A$140&gt;35,CT80+CS81-DB80,IF(A81&lt;'Données projet'!$A$140,$CQ$205^A81,IF(A81='Données projet'!$A$140,'Données projet'!$B$140,CT80+CS81-DB80)))</f>
        <v>360.99999999999972</v>
      </c>
      <c r="CU81" s="17">
        <f>CT81*VLOOKUP('Données projet'!$B$13,Paramètres!$A$1:$I$89,3,0)*VLOOKUP('Données projet'!$B$13,Paramètres!$A$1:$I$89,5,0)</f>
        <v>287.21159999999981</v>
      </c>
      <c r="CV81" s="13">
        <f t="shared" si="95"/>
        <v>68.488764395100958</v>
      </c>
      <c r="CW81" s="20">
        <f t="shared" si="67"/>
        <v>619.51146798813386</v>
      </c>
      <c r="CX81" s="59">
        <f t="shared" si="68"/>
        <v>912.84480132146723</v>
      </c>
      <c r="CY81" s="59">
        <f ca="1">AVERAGE(OFFSET($CX$3,0,0,'Données projet'!$E$13+1,1))-AVERAGE(OFFSET($H$3,0,0,'Données projet'!$E$13+1,1))</f>
        <v>314.6300257056194</v>
      </c>
      <c r="CZ81" s="59">
        <f t="shared" si="96"/>
        <v>298.00555477466668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18.4916214480135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18.4916214480135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</v>
      </c>
      <c r="DO81" s="12">
        <f>IF('Données projet'!$A$166&gt;35,DO80+DN81-DW80,IF(A81&lt;'Données projet'!$A$166,$DL$205^A81,IF(A81='Données projet'!$A$166,'Données projet'!$B$166,DO80+DN81-DW80)))</f>
        <v>360.99999999999972</v>
      </c>
      <c r="DP81" s="17">
        <f>DO81*VLOOKUP('Données projet'!$B$14,Paramètres!$A$1:$I$89,3,0)*VLOOKUP('Données projet'!$B$14,Paramètres!$A$1:$I$89,5,0)</f>
        <v>287.21159999999981</v>
      </c>
      <c r="DQ81" s="13">
        <f t="shared" si="97"/>
        <v>68.488764395100958</v>
      </c>
      <c r="DR81" s="20">
        <f t="shared" si="70"/>
        <v>619.51146798813386</v>
      </c>
      <c r="DS81" s="59">
        <f t="shared" si="71"/>
        <v>912.84480132146723</v>
      </c>
      <c r="DT81" s="59">
        <f ca="1">AVERAGE(OFFSET($DS$3,0,0,'Données projet'!$E$14+1,1))-AVERAGE(OFFSET($H$3,0,0,'Données projet'!$E$14+1,1))</f>
        <v>314.6300257056194</v>
      </c>
      <c r="DU81" s="59">
        <f t="shared" si="98"/>
        <v>298.00555477466668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18.4916214480135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18.4916214480135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14.244871794871804</v>
      </c>
      <c r="EJ81" s="12">
        <f>IF('Données projet'!$A$192&gt;35,EJ80+EI81-ER80,IF(A81&lt;'Données projet'!$A$192,$EG$205^A81,IF(A81='Données projet'!$A$192,'Données projet'!$B$192,EJ80+EI81-ER80)))</f>
        <v>410.39615384615422</v>
      </c>
      <c r="EK81" s="17">
        <f>EJ81*VLOOKUP('Données projet'!$B$15,Paramètres!$A$1:$I$89,3,0)*VLOOKUP('Données projet'!$B$15,Paramètres!$A$1:$I$89,5,0)</f>
        <v>197.40055000000018</v>
      </c>
      <c r="EL81" s="13">
        <f t="shared" si="99"/>
        <v>49.172453048943005</v>
      </c>
      <c r="EM81" s="20">
        <f t="shared" si="73"/>
        <v>429.44798031024266</v>
      </c>
      <c r="EN81" s="59">
        <f t="shared" si="74"/>
        <v>722.78131364357591</v>
      </c>
      <c r="EO81" s="59">
        <f ca="1">AVERAGE(OFFSET($EN$3,0,0,'Données projet'!$E$15+1,1))-AVERAGE(OFFSET($H$3,0,0,'Données projet'!$E$15+1,1))</f>
        <v>238.83604534181978</v>
      </c>
      <c r="EP81" s="59">
        <f t="shared" si="100"/>
        <v>114.85152559837792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</v>
      </c>
      <c r="FE81" s="12">
        <f>IF('Données projet'!$A$218&gt;35,FE80+FD81-FM80,IF(A81&lt;'Données projet'!$A$218,$FB$205^A81,IF(A81='Données projet'!$A$218,'Données projet'!$B$218,FE80+FD81-FM80)))</f>
        <v>261.00000000000006</v>
      </c>
      <c r="FF81" s="17">
        <f>FE81*VLOOKUP('Données projet'!$B$16,Paramètres!$A$1:$I$89,3,0)*VLOOKUP('Données projet'!$B$16,Paramètres!$A$1:$I$89,5,0)</f>
        <v>211.72320000000005</v>
      </c>
      <c r="FG81" s="13">
        <f t="shared" si="101"/>
        <v>52.31196896421207</v>
      </c>
      <c r="FH81" s="20">
        <f t="shared" si="76"/>
        <v>459.86125261266943</v>
      </c>
      <c r="FI81" s="59">
        <f t="shared" si="77"/>
        <v>753.19458594600269</v>
      </c>
      <c r="FJ81" s="59">
        <f ca="1">AVERAGE(OFFSET($FI$3,0,0,'Données projet'!$E$16+1,1))-AVERAGE(OFFSET($H$3,0,0,'Données projet'!$E$16+1,1))</f>
        <v>196.95467273423861</v>
      </c>
      <c r="FK81" s="59">
        <f t="shared" si="102"/>
        <v>173.8709326829258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14.145235368774896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0.66532912311777048</v>
      </c>
      <c r="FT81" s="22">
        <f t="shared" si="78"/>
        <v>14.810564491892666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</v>
      </c>
      <c r="FZ81" s="12">
        <f>IF('Données projet'!$A$244&gt;35,FZ80+FY81-GH80,IF(A81&lt;'Données projet'!$A$244,$FW$205^A81,IF(A81='Données projet'!$A$244,'Données projet'!$B$244,FZ80+FY81-GH80)))</f>
        <v>261.00000000000006</v>
      </c>
      <c r="GA81" s="17">
        <f>FZ81*VLOOKUP('Données projet'!$B$17,Paramètres!$A$1:$I$89,3,0)*VLOOKUP('Données projet'!$B$17,Paramètres!$A$1:$I$89,5,0)</f>
        <v>280.94040000000007</v>
      </c>
      <c r="GB81" s="13">
        <f t="shared" si="103"/>
        <v>67.165703636653262</v>
      </c>
      <c r="GC81" s="20">
        <f t="shared" si="79"/>
        <v>606.28479716717118</v>
      </c>
      <c r="GD81" s="59">
        <f t="shared" si="80"/>
        <v>899.61813050050455</v>
      </c>
      <c r="GE81" s="59">
        <f ca="1">AVERAGE(OFFSET($GD$3,0,0,'Données projet'!$E$17+1,1))-AVERAGE(OFFSET($H$3,0,0,'Données projet'!$E$17+1,1))</f>
        <v>275.5229427552884</v>
      </c>
      <c r="GF81" s="59">
        <f t="shared" si="104"/>
        <v>241.20234081716143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18.76963923933592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0.88284056721396464</v>
      </c>
      <c r="GO81" s="21">
        <f t="shared" si="81"/>
        <v>19.652479806549884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274.57619581652199</v>
      </c>
      <c r="T82" s="59">
        <f t="shared" si="88"/>
        <v>366.15117322598775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 t="e">
        <f>EXP(-LN(2)/35)*Z81+(1-EXP(-LN(2)/35))/(LN(2)/35)*V82*W82*VLOOKUP('Données projet'!$B$9,Paramètres!$A$1:$I$89,3,0)*0.475*44/12</f>
        <v>#VALUE!</v>
      </c>
      <c r="AA82" s="21" t="e">
        <f>EXP(-LN(2)/25)*AA81+(1-EXP(-LN(2)/25))/(LN(2)/25)*Calculateur!V82*Calculateur!X82*VLOOKUP('Données projet'!$B$9,Paramètres!$A$1:$I$89,3,0)*0.475*44/12</f>
        <v>#VALUE!</v>
      </c>
      <c r="AB82" s="21" t="e">
        <f>EXP(-LN(2)/2)*AB81+(1-EXP(-LN(2)/2))/(LN(2)/2)*V82*Y82*VLOOKUP('Données projet'!$B$9,Paramètres!$A$1:$I$89,3,0)*0.475*44/12</f>
        <v>#VALUE!</v>
      </c>
      <c r="AC82" s="22" t="e">
        <f t="shared" si="57"/>
        <v>#VALUE!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175.05987582828078</v>
      </c>
      <c r="AO82" s="59">
        <f t="shared" si="90"/>
        <v>268.54782308462387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115.54537497882572</v>
      </c>
      <c r="AV82" s="21">
        <f>EXP(-LN(2)/25)*AV81+(1-EXP(-LN(2)/25))/(LN(2)/25)*Calculateur!AQ82*Calculateur!AS82*VLOOKUP('Données projet'!$B$10,Paramètres!$A$1:$I$89,3,0)*0.475*44/12</f>
        <v>24.887263202331944</v>
      </c>
      <c r="AW82" s="21">
        <f>EXP(-LN(2)/2)*AW81+(1-EXP(-LN(2)/2))/(LN(2)/2)*AQ82*AT82*VLOOKUP('Données projet'!$B$10,Paramètres!$A$1:$I$89,3,0)*0.475*44/12</f>
        <v>3.9304446565824679E-2</v>
      </c>
      <c r="AX82" s="21">
        <f t="shared" si="60"/>
        <v>140.47194262772351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16.999999999999993</v>
      </c>
      <c r="BD82" s="12">
        <f>IF('Données projet'!$A$88&gt;35,BD81+BC82-BL81,IF(A82&lt;'Données projet'!$A$88,$BA$205^A82,IF(A82='Données projet'!$A$88,'Données projet'!$B$88,BD81+BC82-BL81)))</f>
        <v>534.80531199999984</v>
      </c>
      <c r="BE82" s="13">
        <f>BD82*VLOOKUP('Données projet'!$B$11,Paramètres!$A$1:$I$89,3,0)*VLOOKUP('Données projet'!$B$11,Paramètres!$A$1:$I$89,5,0)</f>
        <v>250.28888601599994</v>
      </c>
      <c r="BF82" s="13">
        <f t="shared" si="91"/>
        <v>60.647797286246622</v>
      </c>
      <c r="BG82" s="20">
        <f t="shared" si="61"/>
        <v>541.54805675141267</v>
      </c>
      <c r="BH82" s="59">
        <f t="shared" si="62"/>
        <v>834.88139008474604</v>
      </c>
      <c r="BI82" s="59">
        <f ca="1">AVERAGE(OFFSET($BH$3,0,0,'Données projet'!$E$11+1,1))-AVERAGE(OFFSET($H$3,0,0,'Données projet'!$E$11+1,1))</f>
        <v>252.70779718608964</v>
      </c>
      <c r="BJ82" s="59">
        <f t="shared" si="92"/>
        <v>187.86969111712705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51.341875976410734</v>
      </c>
      <c r="BQ82" s="21">
        <f>EXP(-LN(2)/25)*BQ81+(1-EXP(-LN(2)/25))/(LN(2)/25)*Calculateur!BL82*Calculateur!BN82*VLOOKUP('Données projet'!$B$11,Paramètres!$A$1:$I$89,3,0)*0.475*44/12</f>
        <v>11.558524537494492</v>
      </c>
      <c r="BR82" s="21">
        <f>EXP(-LN(2)/2)*BR81+(1-EXP(-LN(2)/2))/(LN(2)/2)*BL82*BO82*VLOOKUP('Données projet'!$B$11,Paramètres!$A$1:$I$89,3,0)*0.475*44/12</f>
        <v>0.3030443673668245</v>
      </c>
      <c r="BS82" s="22">
        <f t="shared" si="63"/>
        <v>63.203444881272048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-2.2737367544323206E-13</v>
      </c>
      <c r="BZ82" s="13">
        <f>BY82*VLOOKUP('Données projet'!$B$12,Paramètres!$A$1:$I$89,3,0)*VLOOKUP('Données projet'!$B$12,Paramètres!$A$1:$I$89,5,0)</f>
        <v>-1.3596945791505279E-13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279.86432710889352</v>
      </c>
      <c r="CE82" s="59">
        <f t="shared" si="94"/>
        <v>297.01680128882509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87.100688113548131</v>
      </c>
      <c r="CL82" s="21">
        <f>EXP(-LN(2)/25)*CL81+(1-EXP(-LN(2)/25))/(LN(2)/25)*Calculateur!CG82*Calculateur!CI82*VLOOKUP('Données projet'!$B$12,Paramètres!$A$1:$I$89,3,0)*0.475*44/12</f>
        <v>64.646572156937978</v>
      </c>
      <c r="CM82" s="21">
        <f>EXP(-LN(2)/2)*CM81+(1-EXP(-LN(2)/2))/(LN(2)/2)*CG82*CJ82*VLOOKUP('Données projet'!$B$12,Paramètres!$A$1:$I$89,3,0)*0.475*44/12</f>
        <v>0.59606737702339951</v>
      </c>
      <c r="CN82" s="22">
        <f t="shared" si="66"/>
        <v>152.34332764750948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</v>
      </c>
      <c r="CT82" s="12">
        <f>IF('Données projet'!$A$140&gt;35,CT81+CS82-DB81,IF(A82&lt;'Données projet'!$A$140,$CQ$205^A82,IF(A82='Données projet'!$A$140,'Données projet'!$B$140,CT81+CS82-DB81)))</f>
        <v>364.99999999999972</v>
      </c>
      <c r="CU82" s="17">
        <f>CT82*VLOOKUP('Données projet'!$B$13,Paramètres!$A$1:$I$89,3,0)*VLOOKUP('Données projet'!$B$13,Paramètres!$A$1:$I$89,5,0)</f>
        <v>290.39399999999978</v>
      </c>
      <c r="CV82" s="13">
        <f t="shared" si="95"/>
        <v>69.158878594433091</v>
      </c>
      <c r="CW82" s="20">
        <f t="shared" si="67"/>
        <v>626.22126355197054</v>
      </c>
      <c r="CX82" s="59">
        <f t="shared" si="68"/>
        <v>919.55459688530391</v>
      </c>
      <c r="CY82" s="59">
        <f ca="1">AVERAGE(OFFSET($CX$3,0,0,'Données projet'!$E$13+1,1))-AVERAGE(OFFSET($H$3,0,0,'Données projet'!$E$13+1,1))</f>
        <v>314.6300257056194</v>
      </c>
      <c r="CZ82" s="59">
        <f t="shared" si="96"/>
        <v>298.00555477466668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18.129012030193351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18.129012030193351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</v>
      </c>
      <c r="DO82" s="12">
        <f>IF('Données projet'!$A$166&gt;35,DO81+DN82-DW81,IF(A82&lt;'Données projet'!$A$166,$DL$205^A82,IF(A82='Données projet'!$A$166,'Données projet'!$B$166,DO81+DN82-DW81)))</f>
        <v>364.99999999999972</v>
      </c>
      <c r="DP82" s="17">
        <f>DO82*VLOOKUP('Données projet'!$B$14,Paramètres!$A$1:$I$89,3,0)*VLOOKUP('Données projet'!$B$14,Paramètres!$A$1:$I$89,5,0)</f>
        <v>290.39399999999978</v>
      </c>
      <c r="DQ82" s="13">
        <f t="shared" si="97"/>
        <v>69.158878594433091</v>
      </c>
      <c r="DR82" s="20">
        <f t="shared" si="70"/>
        <v>626.22126355197054</v>
      </c>
      <c r="DS82" s="59">
        <f t="shared" si="71"/>
        <v>919.55459688530391</v>
      </c>
      <c r="DT82" s="59">
        <f ca="1">AVERAGE(OFFSET($DS$3,0,0,'Données projet'!$E$14+1,1))-AVERAGE(OFFSET($H$3,0,0,'Données projet'!$E$14+1,1))</f>
        <v>314.6300257056194</v>
      </c>
      <c r="DU82" s="59">
        <f t="shared" si="98"/>
        <v>298.00555477466668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18.129012030193351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18.129012030193351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14.244871794871804</v>
      </c>
      <c r="EJ82" s="12">
        <f>IF('Données projet'!$A$192&gt;35,EJ81+EI82-ER81,IF(A82&lt;'Données projet'!$A$192,$EG$205^A82,IF(A82='Données projet'!$A$192,'Données projet'!$B$192,EJ81+EI82-ER81)))</f>
        <v>424.64102564102603</v>
      </c>
      <c r="EK82" s="17">
        <f>EJ82*VLOOKUP('Données projet'!$B$15,Paramètres!$A$1:$I$89,3,0)*VLOOKUP('Données projet'!$B$15,Paramètres!$A$1:$I$89,5,0)</f>
        <v>204.25233333333355</v>
      </c>
      <c r="EL82" s="13">
        <f t="shared" si="99"/>
        <v>50.677554515257945</v>
      </c>
      <c r="EM82" s="20">
        <f t="shared" si="73"/>
        <v>444.00288800296352</v>
      </c>
      <c r="EN82" s="59">
        <f t="shared" si="74"/>
        <v>737.33622133629683</v>
      </c>
      <c r="EO82" s="59">
        <f ca="1">AVERAGE(OFFSET($EN$3,0,0,'Données projet'!$E$15+1,1))-AVERAGE(OFFSET($H$3,0,0,'Données projet'!$E$15+1,1))</f>
        <v>238.83604534181978</v>
      </c>
      <c r="EP82" s="59">
        <f t="shared" si="100"/>
        <v>114.85152559837792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</v>
      </c>
      <c r="FE82" s="12">
        <f>IF('Données projet'!$A$218&gt;35,FE81+FD82-FM81,IF(A82&lt;'Données projet'!$A$218,$FB$205^A82,IF(A82='Données projet'!$A$218,'Données projet'!$B$218,FE81+FD82-FM81)))</f>
        <v>264.00000000000006</v>
      </c>
      <c r="FF82" s="17">
        <f>FE82*VLOOKUP('Données projet'!$B$16,Paramètres!$A$1:$I$89,3,0)*VLOOKUP('Données projet'!$B$16,Paramètres!$A$1:$I$89,5,0)</f>
        <v>214.15680000000006</v>
      </c>
      <c r="FG82" s="13">
        <f t="shared" si="101"/>
        <v>52.842912248636694</v>
      </c>
      <c r="FH82" s="20">
        <f t="shared" si="76"/>
        <v>465.02449883304229</v>
      </c>
      <c r="FI82" s="59">
        <f t="shared" si="77"/>
        <v>758.3578321663756</v>
      </c>
      <c r="FJ82" s="59">
        <f ca="1">AVERAGE(OFFSET($FI$3,0,0,'Données projet'!$E$16+1,1))-AVERAGE(OFFSET($H$3,0,0,'Données projet'!$E$16+1,1))</f>
        <v>196.95467273423861</v>
      </c>
      <c r="FK82" s="59">
        <f t="shared" si="102"/>
        <v>173.8709326829258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13.867855930934876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0.4704587346774749</v>
      </c>
      <c r="FT82" s="22">
        <f t="shared" si="78"/>
        <v>14.338314665612351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</v>
      </c>
      <c r="FZ82" s="12">
        <f>IF('Données projet'!$A$244&gt;35,FZ81+FY82-GH81,IF(A82&lt;'Données projet'!$A$244,$FW$205^A82,IF(A82='Données projet'!$A$244,'Données projet'!$B$244,FZ81+FY82-GH81)))</f>
        <v>264.00000000000006</v>
      </c>
      <c r="GA82" s="17">
        <f>FZ82*VLOOKUP('Données projet'!$B$17,Paramètres!$A$1:$I$89,3,0)*VLOOKUP('Données projet'!$B$17,Paramètres!$A$1:$I$89,5,0)</f>
        <v>284.16960000000006</v>
      </c>
      <c r="GB82" s="13">
        <f t="shared" si="103"/>
        <v>67.847405740313931</v>
      </c>
      <c r="GC82" s="20">
        <f t="shared" si="79"/>
        <v>613.0962849977135</v>
      </c>
      <c r="GD82" s="59">
        <f t="shared" si="80"/>
        <v>906.42961833104687</v>
      </c>
      <c r="GE82" s="59">
        <f ca="1">AVERAGE(OFFSET($GD$3,0,0,'Données projet'!$E$17+1,1))-AVERAGE(OFFSET($H$3,0,0,'Données projet'!$E$17+1,1))</f>
        <v>275.5229427552884</v>
      </c>
      <c r="GF82" s="59">
        <f t="shared" si="104"/>
        <v>241.20234081716143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18.401578062202049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0.62426255178357248</v>
      </c>
      <c r="GO82" s="21">
        <f t="shared" si="81"/>
        <v>19.025840613985622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274.57619581652199</v>
      </c>
      <c r="T83" s="59">
        <f t="shared" si="88"/>
        <v>366.15117322598775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 t="e">
        <f>EXP(-LN(2)/35)*Z82+(1-EXP(-LN(2)/35))/(LN(2)/35)*V83*W83*VLOOKUP('Données projet'!$B$9,Paramètres!$A$1:$I$89,3,0)*0.475*44/12</f>
        <v>#VALUE!</v>
      </c>
      <c r="AA83" s="21" t="e">
        <f>EXP(-LN(2)/25)*AA82+(1-EXP(-LN(2)/25))/(LN(2)/25)*Calculateur!V83*Calculateur!X83*VLOOKUP('Données projet'!$B$9,Paramètres!$A$1:$I$89,3,0)*0.475*44/12</f>
        <v>#VALUE!</v>
      </c>
      <c r="AB83" s="21" t="e">
        <f>EXP(-LN(2)/2)*AB82+(1-EXP(-LN(2)/2))/(LN(2)/2)*V83*Y83*VLOOKUP('Données projet'!$B$9,Paramètres!$A$1:$I$89,3,0)*0.475*44/12</f>
        <v>#VALUE!</v>
      </c>
      <c r="AC83" s="22" t="e">
        <f t="shared" si="57"/>
        <v>#VALUE!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175.05987582828078</v>
      </c>
      <c r="AO83" s="59">
        <f t="shared" si="90"/>
        <v>268.54782308462387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113.27960065121079</v>
      </c>
      <c r="AV83" s="21">
        <f>EXP(-LN(2)/25)*AV82+(1-EXP(-LN(2)/25))/(LN(2)/25)*Calculateur!AQ83*Calculateur!AS83*VLOOKUP('Données projet'!$B$10,Paramètres!$A$1:$I$89,3,0)*0.475*44/12</f>
        <v>24.206719681299887</v>
      </c>
      <c r="AW83" s="21">
        <f>EXP(-LN(2)/2)*AW82+(1-EXP(-LN(2)/2))/(LN(2)/2)*AQ83*AT83*VLOOKUP('Données projet'!$B$10,Paramètres!$A$1:$I$89,3,0)*0.475*44/12</f>
        <v>2.7792440697478941E-2</v>
      </c>
      <c r="AX83" s="21">
        <f t="shared" si="60"/>
        <v>137.51411277320815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551.80531199999996</v>
      </c>
      <c r="BB83" s="12">
        <f>VLOOKUP(A83,'Données projet'!$A$87:$I$107,9,0)</f>
        <v>16.999999999999993</v>
      </c>
      <c r="BC83" s="12">
        <f t="array" ref="BC83">INDEX(BB:BB,MIN(IF(ISNUMBER(BB83:BB279),ROW(BB83:BB279),"")))</f>
        <v>16.999999999999993</v>
      </c>
      <c r="BD83" s="12">
        <f>IF('Données projet'!$A$88&gt;35,BD82+BC83-BL82,IF(A83&lt;'Données projet'!$A$88,$BA$205^A83,IF(A83='Données projet'!$A$88,'Données projet'!$B$88,BD82+BC83-BL82)))</f>
        <v>551.80531199999984</v>
      </c>
      <c r="BE83" s="13">
        <f>BD83*VLOOKUP('Données projet'!$B$11,Paramètres!$A$1:$I$89,3,0)*VLOOKUP('Données projet'!$B$11,Paramètres!$A$1:$I$89,5,0)</f>
        <v>258.24488601599995</v>
      </c>
      <c r="BF83" s="13">
        <f t="shared" si="91"/>
        <v>62.348111227640565</v>
      </c>
      <c r="BG83" s="20">
        <f t="shared" si="61"/>
        <v>558.3661368660072</v>
      </c>
      <c r="BH83" s="59">
        <f t="shared" si="62"/>
        <v>851.69947019934057</v>
      </c>
      <c r="BI83" s="59">
        <f ca="1">AVERAGE(OFFSET($BH$3,0,0,'Données projet'!$E$11+1,1))-AVERAGE(OFFSET($H$3,0,0,'Données projet'!$E$11+1,1))</f>
        <v>252.70779718608964</v>
      </c>
      <c r="BJ83" s="59">
        <f t="shared" si="92"/>
        <v>187.86969111712705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110.36106239999999</v>
      </c>
      <c r="BM83" s="16">
        <f>IF(ISNA(VLOOKUP(A83,'Données projet'!$A$87:$I$107,5,0)),0%,VLOOKUP(A83,'Données projet'!$A$87:$I$107,5,0)*VLOOKUP('Données projet'!$B$11,Paramètres!$A$1:$I$89,7,0))</f>
        <v>0.38500000000000001</v>
      </c>
      <c r="BN83" s="16">
        <f>IF(ISNA(VLOOKUP(A83,'Données projet'!$A$87:$I$107,6,0)),0%,VLOOKUP(A83,'Données projet'!$A$87:$I$107,6,0)*VLOOKUP('Données projet'!$B$11,Paramètres!$A$1:$I$89,7,0))</f>
        <v>9.240000000000001E-2</v>
      </c>
      <c r="BO83" s="16">
        <f>IF(ISNA(VLOOKUP(A83,'Données projet'!$A$87:$I$107,7,0)),0%,VLOOKUP(A83,'Données projet'!$A$87:$I$107,7,0))</f>
        <v>0.13200000000000001</v>
      </c>
      <c r="BP83" s="21">
        <f>EXP(-LN(2)/35)*BP82+(1-EXP(-LN(2)/35))/(LN(2)/35)*BL83*BM83*VLOOKUP('Données projet'!$B$11,Paramètres!$A$1:$I$89,3,0)*0.475*44/12</f>
        <v>76.713636571230822</v>
      </c>
      <c r="BQ83" s="21">
        <f>EXP(-LN(2)/25)*BQ82+(1-EXP(-LN(2)/25))/(LN(2)/25)*Calculateur!BL83*Calculateur!BN83*VLOOKUP('Données projet'!$B$11,Paramètres!$A$1:$I$89,3,0)*0.475*44/12</f>
        <v>17.54837953792951</v>
      </c>
      <c r="BR83" s="21">
        <f>EXP(-LN(2)/2)*BR82+(1-EXP(-LN(2)/2))/(LN(2)/2)*BL83*BO83*VLOOKUP('Données projet'!$B$11,Paramètres!$A$1:$I$89,3,0)*0.475*44/12</f>
        <v>7.9334652234900664</v>
      </c>
      <c r="BS83" s="22">
        <f t="shared" si="63"/>
        <v>102.19548133265039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-2.2737367544323206E-13</v>
      </c>
      <c r="BZ83" s="13">
        <f>BY83*VLOOKUP('Données projet'!$B$12,Paramètres!$A$1:$I$89,3,0)*VLOOKUP('Données projet'!$B$12,Paramètres!$A$1:$I$89,5,0)</f>
        <v>-1.3596945791505279E-13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279.86432710889352</v>
      </c>
      <c r="CE83" s="59">
        <f t="shared" si="94"/>
        <v>297.01680128882509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85.392696745815428</v>
      </c>
      <c r="CL83" s="21">
        <f>EXP(-LN(2)/25)*CL82+(1-EXP(-LN(2)/25))/(LN(2)/25)*Calculateur!CG83*Calculateur!CI83*VLOOKUP('Données projet'!$B$12,Paramètres!$A$1:$I$89,3,0)*0.475*44/12</f>
        <v>62.878808241691033</v>
      </c>
      <c r="CM83" s="21">
        <f>EXP(-LN(2)/2)*CM82+(1-EXP(-LN(2)/2))/(LN(2)/2)*CG83*CJ83*VLOOKUP('Données projet'!$B$12,Paramètres!$A$1:$I$89,3,0)*0.475*44/12</f>
        <v>0.42148328433732429</v>
      </c>
      <c r="CN83" s="22">
        <f t="shared" si="66"/>
        <v>148.69298827184377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381</v>
      </c>
      <c r="CR83" s="12">
        <f>VLOOKUP(A83,'Données projet'!$A$139:$I$159,9,0)</f>
        <v>4</v>
      </c>
      <c r="CS83" s="12">
        <f t="array" ref="CS83">INDEX(CR:CR,MIN(IF(ISNUMBER(CR83:CR279),ROW(CR83:CR279),"")))</f>
        <v>4</v>
      </c>
      <c r="CT83" s="12">
        <f>IF('Données projet'!$A$140&gt;35,CT82+CS83-DB82,IF(A83&lt;'Données projet'!$A$140,$CQ$205^A83,IF(A83='Données projet'!$A$140,'Données projet'!$B$140,CT82+CS83-DB82)))</f>
        <v>368.99999999999972</v>
      </c>
      <c r="CU83" s="17">
        <f>CT83*VLOOKUP('Données projet'!$B$13,Paramètres!$A$1:$I$89,3,0)*VLOOKUP('Données projet'!$B$13,Paramètres!$A$1:$I$89,5,0)</f>
        <v>293.57639999999981</v>
      </c>
      <c r="CV83" s="13">
        <f t="shared" si="95"/>
        <v>69.828138511965548</v>
      </c>
      <c r="CW83" s="20">
        <f t="shared" si="67"/>
        <v>632.92957124167299</v>
      </c>
      <c r="CX83" s="59">
        <f t="shared" si="68"/>
        <v>926.26290457500636</v>
      </c>
      <c r="CY83" s="59">
        <f ca="1">AVERAGE(OFFSET($CX$3,0,0,'Données projet'!$E$13+1,1))-AVERAGE(OFFSET($H$3,0,0,'Données projet'!$E$13+1,1))</f>
        <v>314.6300257056194</v>
      </c>
      <c r="CZ83" s="59">
        <f t="shared" si="96"/>
        <v>298.00555477466668</v>
      </c>
      <c r="DA83" s="15" t="str">
        <f>IF(ISNA(VLOOKUP(A83,'Données projet'!$A$139:$I$159,3,0)),0,VLOOKUP(A83,'Données projet'!$A$139:$I$159,3,0))</f>
        <v>CR</v>
      </c>
      <c r="DB83" s="15">
        <f>IF(ISNA(VLOOKUP(A83,'Données projet'!$A$139:$I$159,4,0)),0,VLOOKUP(A83,'Données projet'!$A$139:$I$159,4,0))</f>
        <v>381</v>
      </c>
      <c r="DC83" s="16">
        <f>IF(ISNA(VLOOKUP(A83,'Données projet'!$A$139:$I$159,5,0)),0%,VLOOKUP(A83,'Données projet'!$A$139:$I$159,5,0)*VLOOKUP('Données projet'!$B$13,Paramètres!$A$1:$I$89,7,0))</f>
        <v>0.371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142.09344694385999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142.09344694385999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381</v>
      </c>
      <c r="DM83" s="12">
        <f>VLOOKUP(A83,'Données projet'!$A$165:$I$185,9,0)</f>
        <v>4</v>
      </c>
      <c r="DN83" s="12">
        <f t="array" ref="DN83">INDEX(DM:DM,MIN(IF(ISNUMBER(DM83:DM279),ROW(DM83:DM279),"")))</f>
        <v>4</v>
      </c>
      <c r="DO83" s="12">
        <f>IF('Données projet'!$A$166&gt;35,DO82+DN83-DW82,IF(A83&lt;'Données projet'!$A$166,$DL$205^A83,IF(A83='Données projet'!$A$166,'Données projet'!$B$166,DO82+DN83-DW82)))</f>
        <v>368.99999999999972</v>
      </c>
      <c r="DP83" s="17">
        <f>DO83*VLOOKUP('Données projet'!$B$14,Paramètres!$A$1:$I$89,3,0)*VLOOKUP('Données projet'!$B$14,Paramètres!$A$1:$I$89,5,0)</f>
        <v>293.57639999999981</v>
      </c>
      <c r="DQ83" s="13">
        <f t="shared" si="97"/>
        <v>69.828138511965548</v>
      </c>
      <c r="DR83" s="20">
        <f t="shared" si="70"/>
        <v>632.92957124167299</v>
      </c>
      <c r="DS83" s="59">
        <f t="shared" si="71"/>
        <v>926.26290457500636</v>
      </c>
      <c r="DT83" s="59">
        <f ca="1">AVERAGE(OFFSET($DS$3,0,0,'Données projet'!$E$14+1,1))-AVERAGE(OFFSET($H$3,0,0,'Données projet'!$E$14+1,1))</f>
        <v>314.6300257056194</v>
      </c>
      <c r="DU83" s="59">
        <f t="shared" si="98"/>
        <v>298.00555477466668</v>
      </c>
      <c r="DV83" s="15" t="str">
        <f>IF(ISNA(VLOOKUP(A83,'Données projet'!$A$165:$I$185,3,0)),0,VLOOKUP(A83,'Données projet'!$A$165:$I$185,3,0))</f>
        <v>CR</v>
      </c>
      <c r="DW83" s="15">
        <f>IF(ISNA(VLOOKUP(A83,'Données projet'!$A$165:$I$185,4,0)),0,VLOOKUP(A83,'Données projet'!$A$165:$I$185,4,0))</f>
        <v>381</v>
      </c>
      <c r="DX83" s="16">
        <f>IF(ISNA(VLOOKUP(A83,'Données projet'!$A$165:$I$185,5,0)),0%,VLOOKUP(A83,'Données projet'!$A$165:$I$185,5,0)*VLOOKUP('Données projet'!$B$14,Paramètres!$A$1:$I$89,7,0))</f>
        <v>0.371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142.09344694385999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142.09344694385999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14.244871794871804</v>
      </c>
      <c r="EJ83" s="12">
        <f>IF('Données projet'!$A$192&gt;35,EJ82+EI83-ER82,IF(A83&lt;'Données projet'!$A$192,$EG$205^A83,IF(A83='Données projet'!$A$192,'Données projet'!$B$192,EJ82+EI83-ER82)))</f>
        <v>438.88589743589785</v>
      </c>
      <c r="EK83" s="17">
        <f>EJ83*VLOOKUP('Données projet'!$B$15,Paramètres!$A$1:$I$89,3,0)*VLOOKUP('Données projet'!$B$15,Paramètres!$A$1:$I$89,5,0)</f>
        <v>211.10411666666684</v>
      </c>
      <c r="EL83" s="13">
        <f t="shared" si="99"/>
        <v>52.176789282817779</v>
      </c>
      <c r="EM83" s="20">
        <f t="shared" si="73"/>
        <v>458.54757786201907</v>
      </c>
      <c r="EN83" s="59">
        <f t="shared" si="74"/>
        <v>751.88091119535238</v>
      </c>
      <c r="EO83" s="59">
        <f ca="1">AVERAGE(OFFSET($EN$3,0,0,'Données projet'!$E$15+1,1))-AVERAGE(OFFSET($H$3,0,0,'Données projet'!$E$15+1,1))</f>
        <v>238.83604534181978</v>
      </c>
      <c r="EP83" s="59">
        <f t="shared" si="100"/>
        <v>114.85152559837792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267</v>
      </c>
      <c r="FC83" s="12">
        <f>VLOOKUP(A83,'Données projet'!$A$217:$I$237,9,0)</f>
        <v>3</v>
      </c>
      <c r="FD83" s="12">
        <f t="array" ref="FD83">INDEX(FC:FC,MIN(IF(ISNUMBER(FC83:FC279),ROW(FC83:FC279),"")))</f>
        <v>3</v>
      </c>
      <c r="FE83" s="12">
        <f>IF('Données projet'!$A$218&gt;35,FE82+FD83-FM82,IF(A83&lt;'Données projet'!$A$218,$FB$205^A83,IF(A83='Données projet'!$A$218,'Données projet'!$B$218,FE82+FD83-FM82)))</f>
        <v>267.00000000000006</v>
      </c>
      <c r="FF83" s="17">
        <f>FE83*VLOOKUP('Données projet'!$B$16,Paramètres!$A$1:$I$89,3,0)*VLOOKUP('Données projet'!$B$16,Paramètres!$A$1:$I$89,5,0)</f>
        <v>216.59040000000005</v>
      </c>
      <c r="FG83" s="13">
        <f t="shared" si="101"/>
        <v>53.373153688190953</v>
      </c>
      <c r="FH83" s="20">
        <f t="shared" si="76"/>
        <v>470.18652267359931</v>
      </c>
      <c r="FI83" s="59">
        <f t="shared" si="77"/>
        <v>763.51985600693263</v>
      </c>
      <c r="FJ83" s="59">
        <f ca="1">AVERAGE(OFFSET($FI$3,0,0,'Données projet'!$E$16+1,1))-AVERAGE(OFFSET($H$3,0,0,'Données projet'!$E$16+1,1))</f>
        <v>196.95467273423861</v>
      </c>
      <c r="FK83" s="59">
        <f t="shared" si="102"/>
        <v>173.8709326829258</v>
      </c>
      <c r="FL83" s="15" t="str">
        <f>IF(ISNA(VLOOKUP(A83,'Données projet'!$A$217:$I$237,3,0)),0,VLOOKUP(A83,'Données projet'!$A$217:$I$237,3,0))</f>
        <v>CR</v>
      </c>
      <c r="FM83" s="15">
        <f>IF(ISNA(VLOOKUP(A83,'Données projet'!$A$217:$I$237,4,0)),0,VLOOKUP(A83,'Données projet'!$A$217:$I$237,4,0))</f>
        <v>267</v>
      </c>
      <c r="FN83" s="16">
        <f>IF(ISNA(VLOOKUP(A83,'Données projet'!$A$217:$I$237,5,0)),0%,VLOOKUP(A83,'Données projet'!$A$217:$I$237,5,0)*VLOOKUP('Données projet'!$B$16,Paramètres!$A$1:$I$89,7,0))</f>
        <v>0.30099999999999999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0.2</v>
      </c>
      <c r="FQ83" s="21">
        <f>EXP(-LN(2)/35)*FQ82+(1-EXP(-LN(2)/35))/(LN(2)/35)*FM83*FN83*VLOOKUP('Données projet'!$B$16,Paramètres!$A$1:$I$89,3,0)*0.475*44/12</f>
        <v>85.665631513735391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41.20443893058826</v>
      </c>
      <c r="FT83" s="22">
        <f t="shared" si="78"/>
        <v>126.87007044432366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267</v>
      </c>
      <c r="FX83" s="12">
        <f>VLOOKUP(A83,'Données projet'!$A$243:$I$263,9,0)</f>
        <v>3</v>
      </c>
      <c r="FY83" s="12">
        <f t="array" ref="FY83">INDEX(FX:FX,MIN(IF(ISNUMBER(FX83:FX279),ROW(FX83:FX279),"")))</f>
        <v>3</v>
      </c>
      <c r="FZ83" s="12">
        <f>IF('Données projet'!$A$244&gt;35,FZ82+FY83-GH82,IF(A83&lt;'Données projet'!$A$244,$FW$205^A83,IF(A83='Données projet'!$A$244,'Données projet'!$B$244,FZ82+FY83-GH82)))</f>
        <v>267.00000000000006</v>
      </c>
      <c r="GA83" s="17">
        <f>FZ83*VLOOKUP('Données projet'!$B$17,Paramètres!$A$1:$I$89,3,0)*VLOOKUP('Données projet'!$B$17,Paramètres!$A$1:$I$89,5,0)</f>
        <v>287.39880000000005</v>
      </c>
      <c r="GB83" s="13">
        <f t="shared" si="103"/>
        <v>68.528206713592894</v>
      </c>
      <c r="GC83" s="20">
        <f t="shared" si="79"/>
        <v>619.90620335950769</v>
      </c>
      <c r="GD83" s="59">
        <f t="shared" si="80"/>
        <v>913.23953669284106</v>
      </c>
      <c r="GE83" s="59">
        <f ca="1">AVERAGE(OFFSET($GD$3,0,0,'Données projet'!$E$17+1,1))-AVERAGE(OFFSET($H$3,0,0,'Données projet'!$E$17+1,1))</f>
        <v>275.5229427552884</v>
      </c>
      <c r="GF83" s="59">
        <f t="shared" si="104"/>
        <v>241.20234081716143</v>
      </c>
      <c r="GG83" s="15" t="str">
        <f>IF(ISNA(VLOOKUP(A83,'Données projet'!$A$243:$I$263,3,0)),0,VLOOKUP(A83,'Données projet'!$A$243:$I$263,3,0))</f>
        <v>CR</v>
      </c>
      <c r="GH83" s="15">
        <f>IF(ISNA(VLOOKUP(A83,'Données projet'!$A$243:$I$263,4,0)),0,VLOOKUP(A83,'Données projet'!$A$243:$I$263,4,0))</f>
        <v>267</v>
      </c>
      <c r="GI83" s="16">
        <f>IF(ISNA(VLOOKUP(A83,'Données projet'!$A$243:$I$263,5,0)),0%,VLOOKUP(A83,'Données projet'!$A$243:$I$263,5,0)*VLOOKUP('Données projet'!$B$17,Paramètres!$A$1:$I$89,7,0))</f>
        <v>0.30099999999999999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0.2</v>
      </c>
      <c r="GL83" s="21">
        <f>EXP(-LN(2)/35)*GL82+(1-EXP(-LN(2)/35))/(LN(2)/35)*GH83*GI83*VLOOKUP('Données projet'!$B$17,Paramètres!$A$1:$I$89,3,0)*0.475*44/12</f>
        <v>113.67170335476426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54.675120888665184</v>
      </c>
      <c r="GO83" s="21">
        <f t="shared" si="81"/>
        <v>168.34682424342944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274.57619581652199</v>
      </c>
      <c r="T84" s="59">
        <f t="shared" si="88"/>
        <v>366.15117322598775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 t="e">
        <f>EXP(-LN(2)/35)*Z83+(1-EXP(-LN(2)/35))/(LN(2)/35)*V84*W84*VLOOKUP('Données projet'!$B$9,Paramètres!$A$1:$I$89,3,0)*0.475*44/12</f>
        <v>#VALUE!</v>
      </c>
      <c r="AA84" s="21" t="e">
        <f>EXP(-LN(2)/25)*AA83+(1-EXP(-LN(2)/25))/(LN(2)/25)*Calculateur!V84*Calculateur!X84*VLOOKUP('Données projet'!$B$9,Paramètres!$A$1:$I$89,3,0)*0.475*44/12</f>
        <v>#VALUE!</v>
      </c>
      <c r="AB84" s="21" t="e">
        <f>EXP(-LN(2)/2)*AB83+(1-EXP(-LN(2)/2))/(LN(2)/2)*V84*Y84*VLOOKUP('Données projet'!$B$9,Paramètres!$A$1:$I$89,3,0)*0.475*44/12</f>
        <v>#VALUE!</v>
      </c>
      <c r="AC84" s="22" t="e">
        <f t="shared" si="57"/>
        <v>#VALUE!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175.05987582828078</v>
      </c>
      <c r="AO84" s="59">
        <f t="shared" si="90"/>
        <v>268.54782308462387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111.0582567761745</v>
      </c>
      <c r="AV84" s="21">
        <f>EXP(-LN(2)/25)*AV83+(1-EXP(-LN(2)/25))/(LN(2)/25)*Calculateur!AQ84*Calculateur!AS84*VLOOKUP('Données projet'!$B$10,Paramètres!$A$1:$I$89,3,0)*0.475*44/12</f>
        <v>23.544785658638681</v>
      </c>
      <c r="AW84" s="21">
        <f>EXP(-LN(2)/2)*AW83+(1-EXP(-LN(2)/2))/(LN(2)/2)*AQ84*AT84*VLOOKUP('Données projet'!$B$10,Paramètres!$A$1:$I$89,3,0)*0.475*44/12</f>
        <v>1.9652223282912339E-2</v>
      </c>
      <c r="AX84" s="21">
        <f t="shared" si="60"/>
        <v>134.62269465809609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17.499999999999993</v>
      </c>
      <c r="BD84" s="12">
        <f>IF('Données projet'!$A$88&gt;35,BD83+BC84-BL83,IF(A84&lt;'Données projet'!$A$88,$BA$205^A84,IF(A84='Données projet'!$A$88,'Données projet'!$B$88,BD83+BC84-BL83)))</f>
        <v>458.94424959999986</v>
      </c>
      <c r="BE84" s="13">
        <f>BD84*VLOOKUP('Données projet'!$B$11,Paramètres!$A$1:$I$89,3,0)*VLOOKUP('Données projet'!$B$11,Paramètres!$A$1:$I$89,5,0)</f>
        <v>214.78590881279993</v>
      </c>
      <c r="BF84" s="13">
        <f t="shared" si="91"/>
        <v>52.980051626652035</v>
      </c>
      <c r="BG84" s="20">
        <f t="shared" si="61"/>
        <v>466.35904776537882</v>
      </c>
      <c r="BH84" s="59">
        <f t="shared" si="62"/>
        <v>759.69238109871208</v>
      </c>
      <c r="BI84" s="59">
        <f ca="1">AVERAGE(OFFSET($BH$3,0,0,'Données projet'!$E$11+1,1))-AVERAGE(OFFSET($H$3,0,0,'Données projet'!$E$11+1,1))</f>
        <v>252.70779718608964</v>
      </c>
      <c r="BJ84" s="59">
        <f t="shared" si="92"/>
        <v>187.86969111712705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75.209328948767094</v>
      </c>
      <c r="BQ84" s="21">
        <f>EXP(-LN(2)/25)*BQ83+(1-EXP(-LN(2)/25))/(LN(2)/25)*Calculateur!BL84*Calculateur!BN84*VLOOKUP('Données projet'!$B$11,Paramètres!$A$1:$I$89,3,0)*0.475*44/12</f>
        <v>17.068518176635653</v>
      </c>
      <c r="BR84" s="21">
        <f>EXP(-LN(2)/2)*BR83+(1-EXP(-LN(2)/2))/(LN(2)/2)*BL84*BO84*VLOOKUP('Données projet'!$B$11,Paramètres!$A$1:$I$89,3,0)*0.475*44/12</f>
        <v>5.6098070578374752</v>
      </c>
      <c r="BS84" s="22">
        <f t="shared" si="63"/>
        <v>97.887654183240215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-2.2737367544323206E-13</v>
      </c>
      <c r="BZ84" s="13">
        <f>BY84*VLOOKUP('Données projet'!$B$12,Paramètres!$A$1:$I$89,3,0)*VLOOKUP('Données projet'!$B$12,Paramètres!$A$1:$I$89,5,0)</f>
        <v>-1.3596945791505279E-13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279.86432710889352</v>
      </c>
      <c r="CE84" s="59">
        <f t="shared" si="94"/>
        <v>297.01680128882509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83.718198047032089</v>
      </c>
      <c r="CL84" s="21">
        <f>EXP(-LN(2)/25)*CL83+(1-EXP(-LN(2)/25))/(LN(2)/25)*Calculateur!CG84*Calculateur!CI84*VLOOKUP('Données projet'!$B$12,Paramètres!$A$1:$I$89,3,0)*0.475*44/12</f>
        <v>61.159383923669175</v>
      </c>
      <c r="CM84" s="21">
        <f>EXP(-LN(2)/2)*CM83+(1-EXP(-LN(2)/2))/(LN(2)/2)*CG84*CJ84*VLOOKUP('Données projet'!$B$12,Paramètres!$A$1:$I$89,3,0)*0.475*44/12</f>
        <v>0.29803368851169976</v>
      </c>
      <c r="CN84" s="22">
        <f t="shared" si="66"/>
        <v>145.17561565921298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-12.000000000000284</v>
      </c>
      <c r="CU84" s="17">
        <f>CT84*VLOOKUP('Données projet'!$B$13,Paramètres!$A$1:$I$89,3,0)*VLOOKUP('Données projet'!$B$13,Paramètres!$A$1:$I$89,5,0)</f>
        <v>-9.5472000000002257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314.6300257056194</v>
      </c>
      <c r="CZ84" s="59">
        <f t="shared" si="96"/>
        <v>298.00555477466668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139.30708111773572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139.30708111773572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-12.000000000000284</v>
      </c>
      <c r="DP84" s="17">
        <f>DO84*VLOOKUP('Données projet'!$B$14,Paramètres!$A$1:$I$89,3,0)*VLOOKUP('Données projet'!$B$14,Paramètres!$A$1:$I$89,5,0)</f>
        <v>-9.5472000000002257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314.6300257056194</v>
      </c>
      <c r="DU84" s="59">
        <f t="shared" si="98"/>
        <v>298.00555477466668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139.30708111773572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139.30708111773572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>
        <f>VLOOKUP(A84,'Données projet'!$A$191:$I$211,2,0)</f>
        <v>453.13076923076926</v>
      </c>
      <c r="EH84" s="12">
        <f>VLOOKUP(A84,'Données projet'!$A$191:$I$211,9,0)</f>
        <v>14.244871794871804</v>
      </c>
      <c r="EI84" s="12">
        <f t="array" ref="EI84">INDEX(EH:EH,MIN(IF(ISNUMBER(EH84:EH280),ROW(EH84:EH280),"")))</f>
        <v>14.244871794871804</v>
      </c>
      <c r="EJ84" s="12">
        <f>IF('Données projet'!$A$192&gt;35,EJ83+EI84-ER83,IF(A84&lt;'Données projet'!$A$192,$EG$205^A84,IF(A84='Données projet'!$A$192,'Données projet'!$B$192,EJ83+EI84-ER83)))</f>
        <v>453.13076923076966</v>
      </c>
      <c r="EK84" s="17">
        <f>EJ84*VLOOKUP('Données projet'!$B$15,Paramètres!$A$1:$I$89,3,0)*VLOOKUP('Données projet'!$B$15,Paramètres!$A$1:$I$89,5,0)</f>
        <v>217.95590000000018</v>
      </c>
      <c r="EL84" s="13">
        <f t="shared" si="99"/>
        <v>53.670369605315464</v>
      </c>
      <c r="EM84" s="20">
        <f t="shared" si="73"/>
        <v>473.08241956259138</v>
      </c>
      <c r="EN84" s="59">
        <f t="shared" si="74"/>
        <v>766.4157528959247</v>
      </c>
      <c r="EO84" s="59">
        <f ca="1">AVERAGE(OFFSET($EN$3,0,0,'Données projet'!$E$15+1,1))-AVERAGE(OFFSET($H$3,0,0,'Données projet'!$E$15+1,1))</f>
        <v>238.83604534181978</v>
      </c>
      <c r="EP84" s="59">
        <f t="shared" si="100"/>
        <v>114.85152559837792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5.6843418860808015E-14</v>
      </c>
      <c r="FF84" s="17">
        <f>FE84*VLOOKUP('Données projet'!$B$16,Paramètres!$A$1:$I$89,3,0)*VLOOKUP('Données projet'!$B$16,Paramètres!$A$1:$I$89,5,0)</f>
        <v>4.6111381379887463E-14</v>
      </c>
      <c r="FG84" s="13">
        <f t="shared" si="101"/>
        <v>7.5804141040779151E-13</v>
      </c>
      <c r="FH84" s="20">
        <f t="shared" si="76"/>
        <v>1.4005661123635408E-12</v>
      </c>
      <c r="FI84" s="59">
        <f t="shared" si="77"/>
        <v>293.33333333333474</v>
      </c>
      <c r="FJ84" s="59">
        <f ca="1">AVERAGE(OFFSET($FI$3,0,0,'Données projet'!$E$16+1,1))-AVERAGE(OFFSET($H$3,0,0,'Données projet'!$E$16+1,1))</f>
        <v>196.95467273423861</v>
      </c>
      <c r="FK84" s="59">
        <f t="shared" si="102"/>
        <v>173.8709326829258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83.985780730626914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29.135938182805937</v>
      </c>
      <c r="FT84" s="22">
        <f t="shared" si="78"/>
        <v>113.12171891343286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5.6843418860808015E-14</v>
      </c>
      <c r="GA84" s="17">
        <f>FZ84*VLOOKUP('Données projet'!$B$17,Paramètres!$A$1:$I$89,3,0)*VLOOKUP('Données projet'!$B$17,Paramètres!$A$1:$I$89,5,0)</f>
        <v>6.1186256061773749E-14</v>
      </c>
      <c r="GB84" s="13">
        <f t="shared" si="103"/>
        <v>9.7328366192051127E-13</v>
      </c>
      <c r="GC84" s="20">
        <f t="shared" si="79"/>
        <v>1.8017017738191463E-12</v>
      </c>
      <c r="GD84" s="59">
        <f t="shared" si="80"/>
        <v>293.33333333333513</v>
      </c>
      <c r="GE84" s="59">
        <f ca="1">AVERAGE(OFFSET($GD$3,0,0,'Données projet'!$E$17+1,1))-AVERAGE(OFFSET($H$3,0,0,'Données projet'!$E$17+1,1))</f>
        <v>275.5229427552884</v>
      </c>
      <c r="GF84" s="59">
        <f t="shared" si="104"/>
        <v>241.20234081716143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111.44267058487033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38.661148742569409</v>
      </c>
      <c r="GO84" s="21">
        <f t="shared" si="81"/>
        <v>150.10381932743974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274.57619581652199</v>
      </c>
      <c r="T85" s="59">
        <f t="shared" si="88"/>
        <v>366.15117322598775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 t="e">
        <f>EXP(-LN(2)/35)*Z84+(1-EXP(-LN(2)/35))/(LN(2)/35)*V85*W85*VLOOKUP('Données projet'!$B$9,Paramètres!$A$1:$I$89,3,0)*0.475*44/12</f>
        <v>#VALUE!</v>
      </c>
      <c r="AA85" s="21" t="e">
        <f>EXP(-LN(2)/25)*AA84+(1-EXP(-LN(2)/25))/(LN(2)/25)*Calculateur!V85*Calculateur!X85*VLOOKUP('Données projet'!$B$9,Paramètres!$A$1:$I$89,3,0)*0.475*44/12</f>
        <v>#VALUE!</v>
      </c>
      <c r="AB85" s="21" t="e">
        <f>EXP(-LN(2)/2)*AB84+(1-EXP(-LN(2)/2))/(LN(2)/2)*V85*Y85*VLOOKUP('Données projet'!$B$9,Paramètres!$A$1:$I$89,3,0)*0.475*44/12</f>
        <v>#VALUE!</v>
      </c>
      <c r="AC85" s="22" t="e">
        <f t="shared" si="57"/>
        <v>#VALUE!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175.05987582828078</v>
      </c>
      <c r="AO85" s="59">
        <f t="shared" si="90"/>
        <v>268.54782308462387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108.88047209964169</v>
      </c>
      <c r="AV85" s="21">
        <f>EXP(-LN(2)/25)*AV84+(1-EXP(-LN(2)/25))/(LN(2)/25)*Calculateur!AQ85*Calculateur!AS85*VLOOKUP('Données projet'!$B$10,Paramètres!$A$1:$I$89,3,0)*0.475*44/12</f>
        <v>22.900952256636739</v>
      </c>
      <c r="AW85" s="21">
        <f>EXP(-LN(2)/2)*AW84+(1-EXP(-LN(2)/2))/(LN(2)/2)*AQ85*AT85*VLOOKUP('Données projet'!$B$10,Paramètres!$A$1:$I$89,3,0)*0.475*44/12</f>
        <v>1.389622034873947E-2</v>
      </c>
      <c r="AX85" s="21">
        <f t="shared" si="60"/>
        <v>131.79532057662715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17.499999999999993</v>
      </c>
      <c r="BD85" s="12">
        <f>IF('Données projet'!$A$88&gt;35,BD84+BC85-BL84,IF(A85&lt;'Données projet'!$A$88,$BA$205^A85,IF(A85='Données projet'!$A$88,'Données projet'!$B$88,BD84+BC85-BL84)))</f>
        <v>476.44424959999986</v>
      </c>
      <c r="BE85" s="13">
        <f>BD85*VLOOKUP('Données projet'!$B$11,Paramètres!$A$1:$I$89,3,0)*VLOOKUP('Données projet'!$B$11,Paramètres!$A$1:$I$89,5,0)</f>
        <v>222.97590881279993</v>
      </c>
      <c r="BF85" s="13">
        <f t="shared" si="91"/>
        <v>54.76117814161384</v>
      </c>
      <c r="BG85" s="20">
        <f t="shared" si="61"/>
        <v>483.72542644560394</v>
      </c>
      <c r="BH85" s="59">
        <f t="shared" si="62"/>
        <v>777.0587597789372</v>
      </c>
      <c r="BI85" s="59">
        <f ca="1">AVERAGE(OFFSET($BH$3,0,0,'Données projet'!$E$11+1,1))-AVERAGE(OFFSET($H$3,0,0,'Données projet'!$E$11+1,1))</f>
        <v>252.70779718608964</v>
      </c>
      <c r="BJ85" s="59">
        <f t="shared" si="92"/>
        <v>187.86969111712705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73.734519881242832</v>
      </c>
      <c r="BQ85" s="21">
        <f>EXP(-LN(2)/25)*BQ84+(1-EXP(-LN(2)/25))/(LN(2)/25)*Calculateur!BL85*Calculateur!BN85*VLOOKUP('Données projet'!$B$11,Paramètres!$A$1:$I$89,3,0)*0.475*44/12</f>
        <v>16.601778649501192</v>
      </c>
      <c r="BR85" s="21">
        <f>EXP(-LN(2)/2)*BR84+(1-EXP(-LN(2)/2))/(LN(2)/2)*BL85*BO85*VLOOKUP('Données projet'!$B$11,Paramètres!$A$1:$I$89,3,0)*0.475*44/12</f>
        <v>3.9667326117450337</v>
      </c>
      <c r="BS85" s="22">
        <f t="shared" si="63"/>
        <v>94.303031142489047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-2.2737367544323206E-13</v>
      </c>
      <c r="BZ85" s="13">
        <f>BY85*VLOOKUP('Données projet'!$B$12,Paramètres!$A$1:$I$89,3,0)*VLOOKUP('Données projet'!$B$12,Paramètres!$A$1:$I$89,5,0)</f>
        <v>-1.3596945791505279E-13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279.86432710889352</v>
      </c>
      <c r="CE85" s="59">
        <f t="shared" si="94"/>
        <v>297.01680128882509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82.076535246388545</v>
      </c>
      <c r="CL85" s="21">
        <f>EXP(-LN(2)/25)*CL84+(1-EXP(-LN(2)/25))/(LN(2)/25)*Calculateur!CG85*Calculateur!CI85*VLOOKUP('Données projet'!$B$12,Paramètres!$A$1:$I$89,3,0)*0.475*44/12</f>
        <v>59.486977354044221</v>
      </c>
      <c r="CM85" s="21">
        <f>EXP(-LN(2)/2)*CM84+(1-EXP(-LN(2)/2))/(LN(2)/2)*CG85*CJ85*VLOOKUP('Données projet'!$B$12,Paramètres!$A$1:$I$89,3,0)*0.475*44/12</f>
        <v>0.21074164216866215</v>
      </c>
      <c r="CN85" s="22">
        <f t="shared" si="66"/>
        <v>141.77425424260144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-12.000000000000284</v>
      </c>
      <c r="CU85" s="17">
        <f>CT85*VLOOKUP('Données projet'!$B$13,Paramètres!$A$1:$I$89,3,0)*VLOOKUP('Données projet'!$B$13,Paramètres!$A$1:$I$89,5,0)</f>
        <v>-9.5472000000002257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314.6300257056194</v>
      </c>
      <c r="CZ85" s="59">
        <f t="shared" si="96"/>
        <v>298.00555477466668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136.57535422594643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136.57535422594643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-12.000000000000284</v>
      </c>
      <c r="DP85" s="17">
        <f>DO85*VLOOKUP('Données projet'!$B$14,Paramètres!$A$1:$I$89,3,0)*VLOOKUP('Données projet'!$B$14,Paramètres!$A$1:$I$89,5,0)</f>
        <v>-9.5472000000002257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314.6300257056194</v>
      </c>
      <c r="DU85" s="59">
        <f t="shared" si="98"/>
        <v>298.00555477466668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136.57535422594643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136.57535422594643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14.053846153846138</v>
      </c>
      <c r="EJ85" s="12">
        <f>IF('Données projet'!$A$192&gt;35,EJ84+EI85-ER84,IF(A85&lt;'Données projet'!$A$192,$EG$205^A85,IF(A85='Données projet'!$A$192,'Données projet'!$B$192,EJ84+EI85-ER84)))</f>
        <v>467.18461538461577</v>
      </c>
      <c r="EK85" s="17">
        <f>EJ85*VLOOKUP('Données projet'!$B$15,Paramètres!$A$1:$I$89,3,0)*VLOOKUP('Données projet'!$B$15,Paramètres!$A$1:$I$89,5,0)</f>
        <v>224.71580000000017</v>
      </c>
      <c r="EL85" s="13">
        <f t="shared" si="99"/>
        <v>55.138572959459324</v>
      </c>
      <c r="EM85" s="20">
        <f t="shared" si="73"/>
        <v>487.41303290439191</v>
      </c>
      <c r="EN85" s="59">
        <f t="shared" si="74"/>
        <v>780.74636623772517</v>
      </c>
      <c r="EO85" s="59">
        <f ca="1">AVERAGE(OFFSET($EN$3,0,0,'Données projet'!$E$15+1,1))-AVERAGE(OFFSET($H$3,0,0,'Données projet'!$E$15+1,1))</f>
        <v>238.83604534181978</v>
      </c>
      <c r="EP85" s="59">
        <f t="shared" si="100"/>
        <v>114.85152559837792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5.6843418860808015E-14</v>
      </c>
      <c r="FF85" s="17">
        <f>FE85*VLOOKUP('Données projet'!$B$16,Paramètres!$A$1:$I$89,3,0)*VLOOKUP('Données projet'!$B$16,Paramètres!$A$1:$I$89,5,0)</f>
        <v>4.6111381379887463E-14</v>
      </c>
      <c r="FG85" s="13">
        <f t="shared" si="101"/>
        <v>7.5804141040779151E-13</v>
      </c>
      <c r="FH85" s="20">
        <f t="shared" si="76"/>
        <v>1.4005661123635408E-12</v>
      </c>
      <c r="FI85" s="59">
        <f t="shared" si="77"/>
        <v>293.33333333333474</v>
      </c>
      <c r="FJ85" s="59">
        <f ca="1">AVERAGE(OFFSET($FI$3,0,0,'Données projet'!$E$16+1,1))-AVERAGE(OFFSET($H$3,0,0,'Données projet'!$E$16+1,1))</f>
        <v>196.95467273423861</v>
      </c>
      <c r="FK85" s="59">
        <f t="shared" si="102"/>
        <v>173.8709326829258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82.338870796767395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20.602219465294134</v>
      </c>
      <c r="FT85" s="22">
        <f t="shared" si="78"/>
        <v>102.94109026206152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5.6843418860808015E-14</v>
      </c>
      <c r="GA85" s="17">
        <f>FZ85*VLOOKUP('Données projet'!$B$17,Paramètres!$A$1:$I$89,3,0)*VLOOKUP('Données projet'!$B$17,Paramètres!$A$1:$I$89,5,0)</f>
        <v>6.1186256061773749E-14</v>
      </c>
      <c r="GB85" s="13">
        <f t="shared" si="103"/>
        <v>9.7328366192051127E-13</v>
      </c>
      <c r="GC85" s="20">
        <f t="shared" si="79"/>
        <v>1.8017017738191463E-12</v>
      </c>
      <c r="GD85" s="59">
        <f t="shared" si="80"/>
        <v>293.33333333333513</v>
      </c>
      <c r="GE85" s="59">
        <f ca="1">AVERAGE(OFFSET($GD$3,0,0,'Données projet'!$E$17+1,1))-AVERAGE(OFFSET($H$3,0,0,'Données projet'!$E$17+1,1))</f>
        <v>275.5229427552884</v>
      </c>
      <c r="GF85" s="59">
        <f t="shared" si="104"/>
        <v>241.20234081716143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109.25734778801827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27.337560444332595</v>
      </c>
      <c r="GO85" s="21">
        <f t="shared" si="81"/>
        <v>136.59490823235086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274.57619581652199</v>
      </c>
      <c r="T86" s="59">
        <f t="shared" si="88"/>
        <v>366.15117322598775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 t="e">
        <f>EXP(-LN(2)/35)*Z85+(1-EXP(-LN(2)/35))/(LN(2)/35)*V86*W86*VLOOKUP('Données projet'!$B$9,Paramètres!$A$1:$I$89,3,0)*0.475*44/12</f>
        <v>#VALUE!</v>
      </c>
      <c r="AA86" s="21" t="e">
        <f>EXP(-LN(2)/25)*AA85+(1-EXP(-LN(2)/25))/(LN(2)/25)*Calculateur!V86*Calculateur!X86*VLOOKUP('Données projet'!$B$9,Paramètres!$A$1:$I$89,3,0)*0.475*44/12</f>
        <v>#VALUE!</v>
      </c>
      <c r="AB86" s="21" t="e">
        <f>EXP(-LN(2)/2)*AB85+(1-EXP(-LN(2)/2))/(LN(2)/2)*V86*Y86*VLOOKUP('Données projet'!$B$9,Paramètres!$A$1:$I$89,3,0)*0.475*44/12</f>
        <v>#VALUE!</v>
      </c>
      <c r="AC86" s="22" t="e">
        <f t="shared" si="57"/>
        <v>#VALUE!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175.05987582828078</v>
      </c>
      <c r="AO86" s="59">
        <f t="shared" si="90"/>
        <v>268.54782308462387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106.7453924522982</v>
      </c>
      <c r="AV86" s="21">
        <f>EXP(-LN(2)/25)*AV85+(1-EXP(-LN(2)/25))/(LN(2)/25)*Calculateur!AQ86*Calculateur!AS86*VLOOKUP('Données projet'!$B$10,Paramètres!$A$1:$I$89,3,0)*0.475*44/12</f>
        <v>22.274724512870268</v>
      </c>
      <c r="AW86" s="21">
        <f>EXP(-LN(2)/2)*AW85+(1-EXP(-LN(2)/2))/(LN(2)/2)*AQ86*AT86*VLOOKUP('Données projet'!$B$10,Paramètres!$A$1:$I$89,3,0)*0.475*44/12</f>
        <v>9.8261116414561697E-3</v>
      </c>
      <c r="AX86" s="21">
        <f t="shared" si="60"/>
        <v>129.02994307680993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17.499999999999993</v>
      </c>
      <c r="BD86" s="12">
        <f>IF('Données projet'!$A$88&gt;35,BD85+BC86-BL85,IF(A86&lt;'Données projet'!$A$88,$BA$205^A86,IF(A86='Données projet'!$A$88,'Données projet'!$B$88,BD85+BC86-BL85)))</f>
        <v>493.94424959999986</v>
      </c>
      <c r="BE86" s="13">
        <f>BD86*VLOOKUP('Données projet'!$B$11,Paramètres!$A$1:$I$89,3,0)*VLOOKUP('Données projet'!$B$11,Paramètres!$A$1:$I$89,5,0)</f>
        <v>231.16590881279993</v>
      </c>
      <c r="BF86" s="13">
        <f t="shared" si="91"/>
        <v>56.534704040348771</v>
      </c>
      <c r="BG86" s="20">
        <f t="shared" si="61"/>
        <v>501.07856738590061</v>
      </c>
      <c r="BH86" s="59">
        <f t="shared" si="62"/>
        <v>794.41190071923393</v>
      </c>
      <c r="BI86" s="59">
        <f ca="1">AVERAGE(OFFSET($BH$3,0,0,'Données projet'!$E$11+1,1))-AVERAGE(OFFSET($H$3,0,0,'Données projet'!$E$11+1,1))</f>
        <v>252.70779718608964</v>
      </c>
      <c r="BJ86" s="59">
        <f t="shared" si="92"/>
        <v>187.86969111712705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72.288630919988009</v>
      </c>
      <c r="BQ86" s="21">
        <f>EXP(-LN(2)/25)*BQ85+(1-EXP(-LN(2)/25))/(LN(2)/25)*Calculateur!BL86*Calculateur!BN86*VLOOKUP('Données projet'!$B$11,Paramètres!$A$1:$I$89,3,0)*0.475*44/12</f>
        <v>16.147802139280987</v>
      </c>
      <c r="BR86" s="21">
        <f>EXP(-LN(2)/2)*BR85+(1-EXP(-LN(2)/2))/(LN(2)/2)*BL86*BO86*VLOOKUP('Données projet'!$B$11,Paramètres!$A$1:$I$89,3,0)*0.475*44/12</f>
        <v>2.8049035289187381</v>
      </c>
      <c r="BS86" s="22">
        <f t="shared" si="63"/>
        <v>91.241336588187735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-2.2737367544323206E-13</v>
      </c>
      <c r="BZ86" s="13">
        <f>BY86*VLOOKUP('Données projet'!$B$12,Paramètres!$A$1:$I$89,3,0)*VLOOKUP('Données projet'!$B$12,Paramètres!$A$1:$I$89,5,0)</f>
        <v>-1.3596945791505279E-13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279.86432710889352</v>
      </c>
      <c r="CE86" s="59">
        <f t="shared" si="94"/>
        <v>297.01680128882509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80.467064451950179</v>
      </c>
      <c r="CL86" s="21">
        <f>EXP(-LN(2)/25)*CL85+(1-EXP(-LN(2)/25))/(LN(2)/25)*Calculateur!CG86*Calculateur!CI86*VLOOKUP('Données projet'!$B$12,Paramètres!$A$1:$I$89,3,0)*0.475*44/12</f>
        <v>57.860302830013701</v>
      </c>
      <c r="CM86" s="21">
        <f>EXP(-LN(2)/2)*CM85+(1-EXP(-LN(2)/2))/(LN(2)/2)*CG86*CJ86*VLOOKUP('Données projet'!$B$12,Paramètres!$A$1:$I$89,3,0)*0.475*44/12</f>
        <v>0.14901684425584988</v>
      </c>
      <c r="CN86" s="22">
        <f t="shared" si="66"/>
        <v>138.47638412621973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-12.000000000000284</v>
      </c>
      <c r="CU86" s="17">
        <f>CT86*VLOOKUP('Données projet'!$B$13,Paramètres!$A$1:$I$89,3,0)*VLOOKUP('Données projet'!$B$13,Paramètres!$A$1:$I$89,5,0)</f>
        <v>-9.5472000000002257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314.6300257056194</v>
      </c>
      <c r="CZ86" s="59">
        <f t="shared" si="96"/>
        <v>298.00555477466668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133.89719483231625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133.89719483231625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-12.000000000000284</v>
      </c>
      <c r="DP86" s="17">
        <f>DO86*VLOOKUP('Données projet'!$B$14,Paramètres!$A$1:$I$89,3,0)*VLOOKUP('Données projet'!$B$14,Paramètres!$A$1:$I$89,5,0)</f>
        <v>-9.5472000000002257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314.6300257056194</v>
      </c>
      <c r="DU86" s="59">
        <f t="shared" si="98"/>
        <v>298.00555477466668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133.89719483231625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133.89719483231625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>
        <f>VLOOKUP(A86,'Données projet'!$A$191:$I$211,2,0)</f>
        <v>481.23846153846154</v>
      </c>
      <c r="EH86" s="12">
        <f>VLOOKUP(A86,'Données projet'!$A$191:$I$211,9,0)</f>
        <v>14.053846153846138</v>
      </c>
      <c r="EI86" s="12">
        <f t="array" ref="EI86">INDEX(EH:EH,MIN(IF(ISNUMBER(EH86:EH282),ROW(EH86:EH282),"")))</f>
        <v>14.053846153846138</v>
      </c>
      <c r="EJ86" s="12">
        <f>IF('Données projet'!$A$192&gt;35,EJ85+EI86-ER85,IF(A86&lt;'Données projet'!$A$192,$EG$205^A86,IF(A86='Données projet'!$A$192,'Données projet'!$B$192,EJ85+EI86-ER85)))</f>
        <v>481.23846153846193</v>
      </c>
      <c r="EK86" s="17">
        <f>EJ86*VLOOKUP('Données projet'!$B$15,Paramètres!$A$1:$I$89,3,0)*VLOOKUP('Données projet'!$B$15,Paramètres!$A$1:$I$89,5,0)</f>
        <v>231.47570000000019</v>
      </c>
      <c r="EL86" s="13">
        <f t="shared" si="99"/>
        <v>56.601643506563306</v>
      </c>
      <c r="EM86" s="20">
        <f t="shared" si="73"/>
        <v>501.73470660726474</v>
      </c>
      <c r="EN86" s="59">
        <f t="shared" si="74"/>
        <v>795.06803994059806</v>
      </c>
      <c r="EO86" s="59">
        <f ca="1">AVERAGE(OFFSET($EN$3,0,0,'Données projet'!$E$15+1,1))-AVERAGE(OFFSET($H$3,0,0,'Données projet'!$E$15+1,1))</f>
        <v>238.83604534181978</v>
      </c>
      <c r="EP86" s="59">
        <f t="shared" si="100"/>
        <v>114.85152559837792</v>
      </c>
      <c r="EQ86" s="15">
        <f>IF(ISNA(VLOOKUP(A86,'Données projet'!$A$191:$I$211,3,0)),0,VLOOKUP(A86,'Données projet'!$A$191:$I$211,3,0))</f>
        <v>6</v>
      </c>
      <c r="ER86" s="15">
        <f>IF(ISNA(VLOOKUP(A86,'Données projet'!$A$191:$I$211,4,0)),0,VLOOKUP(A86,'Données projet'!$A$191:$I$211,4,0))</f>
        <v>91.153846153846146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5.6843418860808015E-14</v>
      </c>
      <c r="FF86" s="17">
        <f>FE86*VLOOKUP('Données projet'!$B$16,Paramètres!$A$1:$I$89,3,0)*VLOOKUP('Données projet'!$B$16,Paramètres!$A$1:$I$89,5,0)</f>
        <v>4.6111381379887463E-14</v>
      </c>
      <c r="FG86" s="13">
        <f t="shared" si="101"/>
        <v>7.5804141040779151E-13</v>
      </c>
      <c r="FH86" s="20">
        <f t="shared" si="76"/>
        <v>1.4005661123635408E-12</v>
      </c>
      <c r="FI86" s="59">
        <f t="shared" si="77"/>
        <v>293.33333333333474</v>
      </c>
      <c r="FJ86" s="59">
        <f ca="1">AVERAGE(OFFSET($FI$3,0,0,'Données projet'!$E$16+1,1))-AVERAGE(OFFSET($H$3,0,0,'Données projet'!$E$16+1,1))</f>
        <v>196.95467273423861</v>
      </c>
      <c r="FK86" s="59">
        <f t="shared" si="102"/>
        <v>173.8709326829258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80.724255762194986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14.56796909140297</v>
      </c>
      <c r="FT86" s="22">
        <f t="shared" si="78"/>
        <v>95.292224853597958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5.6843418860808015E-14</v>
      </c>
      <c r="GA86" s="17">
        <f>FZ86*VLOOKUP('Données projet'!$B$17,Paramètres!$A$1:$I$89,3,0)*VLOOKUP('Données projet'!$B$17,Paramètres!$A$1:$I$89,5,0)</f>
        <v>6.1186256061773749E-14</v>
      </c>
      <c r="GB86" s="13">
        <f t="shared" si="103"/>
        <v>9.7328366192051127E-13</v>
      </c>
      <c r="GC86" s="20">
        <f t="shared" si="79"/>
        <v>1.8017017738191463E-12</v>
      </c>
      <c r="GD86" s="59">
        <f t="shared" si="80"/>
        <v>293.33333333333513</v>
      </c>
      <c r="GE86" s="59">
        <f ca="1">AVERAGE(OFFSET($GD$3,0,0,'Données projet'!$E$17+1,1))-AVERAGE(OFFSET($H$3,0,0,'Données projet'!$E$17+1,1))</f>
        <v>275.5229427552884</v>
      </c>
      <c r="GF86" s="59">
        <f t="shared" si="104"/>
        <v>241.20234081716143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107.11487783829719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19.330574371284708</v>
      </c>
      <c r="GO86" s="21">
        <f t="shared" si="81"/>
        <v>126.4454522095819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274.57619581652199</v>
      </c>
      <c r="T87" s="59">
        <f t="shared" si="88"/>
        <v>366.15117322598775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 t="e">
        <f>EXP(-LN(2)/35)*Z86+(1-EXP(-LN(2)/35))/(LN(2)/35)*V87*W87*VLOOKUP('Données projet'!$B$9,Paramètres!$A$1:$I$89,3,0)*0.475*44/12</f>
        <v>#VALUE!</v>
      </c>
      <c r="AA87" s="21" t="e">
        <f>EXP(-LN(2)/25)*AA86+(1-EXP(-LN(2)/25))/(LN(2)/25)*Calculateur!V87*Calculateur!X87*VLOOKUP('Données projet'!$B$9,Paramètres!$A$1:$I$89,3,0)*0.475*44/12</f>
        <v>#VALUE!</v>
      </c>
      <c r="AB87" s="21" t="e">
        <f>EXP(-LN(2)/2)*AB86+(1-EXP(-LN(2)/2))/(LN(2)/2)*V87*Y87*VLOOKUP('Données projet'!$B$9,Paramètres!$A$1:$I$89,3,0)*0.475*44/12</f>
        <v>#VALUE!</v>
      </c>
      <c r="AC87" s="22" t="e">
        <f t="shared" si="57"/>
        <v>#VALUE!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175.05987582828078</v>
      </c>
      <c r="AO87" s="59">
        <f t="shared" si="90"/>
        <v>268.54782308462387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104.65218041456913</v>
      </c>
      <c r="AV87" s="21">
        <f>EXP(-LN(2)/25)*AV86+(1-EXP(-LN(2)/25))/(LN(2)/25)*Calculateur!AQ87*Calculateur!AS87*VLOOKUP('Données projet'!$B$10,Paramètres!$A$1:$I$89,3,0)*0.475*44/12</f>
        <v>21.665620999688979</v>
      </c>
      <c r="AW87" s="21">
        <f>EXP(-LN(2)/2)*AW86+(1-EXP(-LN(2)/2))/(LN(2)/2)*AQ87*AT87*VLOOKUP('Données projet'!$B$10,Paramètres!$A$1:$I$89,3,0)*0.475*44/12</f>
        <v>6.9481101743697352E-3</v>
      </c>
      <c r="AX87" s="21">
        <f t="shared" si="60"/>
        <v>126.32474952443248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17.499999999999993</v>
      </c>
      <c r="BD87" s="12">
        <f>IF('Données projet'!$A$88&gt;35,BD86+BC87-BL86,IF(A87&lt;'Données projet'!$A$88,$BA$205^A87,IF(A87='Données projet'!$A$88,'Données projet'!$B$88,BD86+BC87-BL86)))</f>
        <v>511.44424959999986</v>
      </c>
      <c r="BE87" s="13">
        <f>BD87*VLOOKUP('Données projet'!$B$11,Paramètres!$A$1:$I$89,3,0)*VLOOKUP('Données projet'!$B$11,Paramètres!$A$1:$I$89,5,0)</f>
        <v>239.35590881279992</v>
      </c>
      <c r="BF87" s="13">
        <f t="shared" si="91"/>
        <v>58.300929459017652</v>
      </c>
      <c r="BG87" s="20">
        <f t="shared" si="61"/>
        <v>518.41899332341563</v>
      </c>
      <c r="BH87" s="59">
        <f t="shared" si="62"/>
        <v>811.75232665674889</v>
      </c>
      <c r="BI87" s="59">
        <f ca="1">AVERAGE(OFFSET($BH$3,0,0,'Données projet'!$E$11+1,1))-AVERAGE(OFFSET($H$3,0,0,'Données projet'!$E$11+1,1))</f>
        <v>252.70779718608964</v>
      </c>
      <c r="BJ87" s="59">
        <f t="shared" si="92"/>
        <v>187.86969111712705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70.871094959358217</v>
      </c>
      <c r="BQ87" s="21">
        <f>EXP(-LN(2)/25)*BQ86+(1-EXP(-LN(2)/25))/(LN(2)/25)*Calculateur!BL87*Calculateur!BN87*VLOOKUP('Données projet'!$B$11,Paramètres!$A$1:$I$89,3,0)*0.475*44/12</f>
        <v>15.70623964060634</v>
      </c>
      <c r="BR87" s="21">
        <f>EXP(-LN(2)/2)*BR86+(1-EXP(-LN(2)/2))/(LN(2)/2)*BL87*BO87*VLOOKUP('Données projet'!$B$11,Paramètres!$A$1:$I$89,3,0)*0.475*44/12</f>
        <v>1.9833663058725173</v>
      </c>
      <c r="BS87" s="22">
        <f t="shared" si="63"/>
        <v>88.560700905837081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-2.2737367544323206E-13</v>
      </c>
      <c r="BZ87" s="13">
        <f>BY87*VLOOKUP('Données projet'!$B$12,Paramètres!$A$1:$I$89,3,0)*VLOOKUP('Données projet'!$B$12,Paramètres!$A$1:$I$89,5,0)</f>
        <v>-1.3596945791505279E-13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279.86432710889352</v>
      </c>
      <c r="CE87" s="59">
        <f t="shared" si="94"/>
        <v>297.01680128882509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78.889154398110492</v>
      </c>
      <c r="CL87" s="21">
        <f>EXP(-LN(2)/25)*CL86+(1-EXP(-LN(2)/25))/(LN(2)/25)*Calculateur!CG87*Calculateur!CI87*VLOOKUP('Données projet'!$B$12,Paramètres!$A$1:$I$89,3,0)*0.475*44/12</f>
        <v>56.278109806385892</v>
      </c>
      <c r="CM87" s="21">
        <f>EXP(-LN(2)/2)*CM86+(1-EXP(-LN(2)/2))/(LN(2)/2)*CG87*CJ87*VLOOKUP('Données projet'!$B$12,Paramètres!$A$1:$I$89,3,0)*0.475*44/12</f>
        <v>0.10537082108433107</v>
      </c>
      <c r="CN87" s="22">
        <f t="shared" si="66"/>
        <v>135.27263502558071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-12.000000000000284</v>
      </c>
      <c r="CU87" s="17">
        <f>CT87*VLOOKUP('Données projet'!$B$13,Paramètres!$A$1:$I$89,3,0)*VLOOKUP('Données projet'!$B$13,Paramètres!$A$1:$I$89,5,0)</f>
        <v>-9.5472000000002257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314.6300257056194</v>
      </c>
      <c r="CZ87" s="59">
        <f t="shared" si="96"/>
        <v>298.00555477466668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131.27155251087922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131.27155251087922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-12.000000000000284</v>
      </c>
      <c r="DP87" s="17">
        <f>DO87*VLOOKUP('Données projet'!$B$14,Paramètres!$A$1:$I$89,3,0)*VLOOKUP('Données projet'!$B$14,Paramètres!$A$1:$I$89,5,0)</f>
        <v>-9.5472000000002257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314.6300257056194</v>
      </c>
      <c r="DU87" s="59">
        <f t="shared" si="98"/>
        <v>298.00555477466668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131.27155251087922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131.27155251087922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12.899999999999977</v>
      </c>
      <c r="EJ87" s="12">
        <f>IF('Données projet'!$A$192&gt;35,EJ86+EI87-ER86,IF(A87&lt;'Données projet'!$A$192,$EG$205^A87,IF(A87='Données projet'!$A$192,'Données projet'!$B$192,EJ86+EI87-ER86)))</f>
        <v>402.98461538461578</v>
      </c>
      <c r="EK87" s="17">
        <f>EJ87*VLOOKUP('Données projet'!$B$15,Paramètres!$A$1:$I$89,3,0)*VLOOKUP('Données projet'!$B$15,Paramètres!$A$1:$I$89,5,0)</f>
        <v>193.83560000000017</v>
      </c>
      <c r="EL87" s="13">
        <f t="shared" si="99"/>
        <v>48.386960642887786</v>
      </c>
      <c r="EM87" s="20">
        <f t="shared" si="73"/>
        <v>421.87095978636313</v>
      </c>
      <c r="EN87" s="59">
        <f t="shared" si="74"/>
        <v>715.20429311969644</v>
      </c>
      <c r="EO87" s="59">
        <f ca="1">AVERAGE(OFFSET($EN$3,0,0,'Données projet'!$E$15+1,1))-AVERAGE(OFFSET($H$3,0,0,'Données projet'!$E$15+1,1))</f>
        <v>238.83604534181978</v>
      </c>
      <c r="EP87" s="59">
        <f t="shared" si="100"/>
        <v>114.85152559837792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5.6843418860808015E-14</v>
      </c>
      <c r="FF87" s="17">
        <f>FE87*VLOOKUP('Données projet'!$B$16,Paramètres!$A$1:$I$89,3,0)*VLOOKUP('Données projet'!$B$16,Paramètres!$A$1:$I$89,5,0)</f>
        <v>4.6111381379887463E-14</v>
      </c>
      <c r="FG87" s="13">
        <f t="shared" si="101"/>
        <v>7.5804141040779151E-13</v>
      </c>
      <c r="FH87" s="20">
        <f t="shared" si="76"/>
        <v>1.4005661123635408E-12</v>
      </c>
      <c r="FI87" s="59">
        <f t="shared" si="77"/>
        <v>293.33333333333474</v>
      </c>
      <c r="FJ87" s="59">
        <f ca="1">AVERAGE(OFFSET($FI$3,0,0,'Données projet'!$E$16+1,1))-AVERAGE(OFFSET($H$3,0,0,'Données projet'!$E$16+1,1))</f>
        <v>196.95467273423861</v>
      </c>
      <c r="FK87" s="59">
        <f t="shared" si="102"/>
        <v>173.8709326829258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79.141302343632617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10.301109732647069</v>
      </c>
      <c r="FT87" s="22">
        <f t="shared" si="78"/>
        <v>89.44241207627968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5.6843418860808015E-14</v>
      </c>
      <c r="GA87" s="17">
        <f>FZ87*VLOOKUP('Données projet'!$B$17,Paramètres!$A$1:$I$89,3,0)*VLOOKUP('Données projet'!$B$17,Paramètres!$A$1:$I$89,5,0)</f>
        <v>6.1186256061773749E-14</v>
      </c>
      <c r="GB87" s="13">
        <f t="shared" si="103"/>
        <v>9.7328366192051127E-13</v>
      </c>
      <c r="GC87" s="20">
        <f t="shared" si="79"/>
        <v>1.8017017738191463E-12</v>
      </c>
      <c r="GD87" s="59">
        <f t="shared" si="80"/>
        <v>293.33333333333513</v>
      </c>
      <c r="GE87" s="59">
        <f ca="1">AVERAGE(OFFSET($GD$3,0,0,'Données projet'!$E$17+1,1))-AVERAGE(OFFSET($H$3,0,0,'Données projet'!$E$17+1,1))</f>
        <v>275.5229427552884</v>
      </c>
      <c r="GF87" s="59">
        <f t="shared" si="104"/>
        <v>241.20234081716143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105.0144204175125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13.668780222166301</v>
      </c>
      <c r="GO87" s="21">
        <f t="shared" si="81"/>
        <v>118.6832006396788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274.57619581652199</v>
      </c>
      <c r="T88" s="59">
        <f t="shared" si="88"/>
        <v>366.15117322598775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 t="e">
        <f>EXP(-LN(2)/35)*Z87+(1-EXP(-LN(2)/35))/(LN(2)/35)*V88*W88*VLOOKUP('Données projet'!$B$9,Paramètres!$A$1:$I$89,3,0)*0.475*44/12</f>
        <v>#VALUE!</v>
      </c>
      <c r="AA88" s="21" t="e">
        <f>EXP(-LN(2)/25)*AA87+(1-EXP(-LN(2)/25))/(LN(2)/25)*Calculateur!V88*Calculateur!X88*VLOOKUP('Données projet'!$B$9,Paramètres!$A$1:$I$89,3,0)*0.475*44/12</f>
        <v>#VALUE!</v>
      </c>
      <c r="AB88" s="21" t="e">
        <f>EXP(-LN(2)/2)*AB87+(1-EXP(-LN(2)/2))/(LN(2)/2)*V88*Y88*VLOOKUP('Données projet'!$B$9,Paramètres!$A$1:$I$89,3,0)*0.475*44/12</f>
        <v>#VALUE!</v>
      </c>
      <c r="AC88" s="22" t="e">
        <f t="shared" si="57"/>
        <v>#VALUE!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175.05987582828078</v>
      </c>
      <c r="AO88" s="59">
        <f t="shared" si="90"/>
        <v>268.54782308462387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102.60001498816665</v>
      </c>
      <c r="AV88" s="21">
        <f>EXP(-LN(2)/25)*AV87+(1-EXP(-LN(2)/25))/(LN(2)/25)*Calculateur!AQ88*Calculateur!AS88*VLOOKUP('Données projet'!$B$10,Paramètres!$A$1:$I$89,3,0)*0.475*44/12</f>
        <v>21.073173454106993</v>
      </c>
      <c r="AW88" s="21">
        <f>EXP(-LN(2)/2)*AW87+(1-EXP(-LN(2)/2))/(LN(2)/2)*AQ88*AT88*VLOOKUP('Données projet'!$B$10,Paramètres!$A$1:$I$89,3,0)*0.475*44/12</f>
        <v>4.9130558207280848E-3</v>
      </c>
      <c r="AX88" s="21">
        <f t="shared" si="60"/>
        <v>123.67810149809436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17.499999999999993</v>
      </c>
      <c r="BD88" s="12">
        <f>IF('Données projet'!$A$88&gt;35,BD87+BC88-BL87,IF(A88&lt;'Données projet'!$A$88,$BA$205^A88,IF(A88='Données projet'!$A$88,'Données projet'!$B$88,BD87+BC88-BL87)))</f>
        <v>528.94424959999981</v>
      </c>
      <c r="BE88" s="13">
        <f>BD88*VLOOKUP('Données projet'!$B$11,Paramètres!$A$1:$I$89,3,0)*VLOOKUP('Données projet'!$B$11,Paramètres!$A$1:$I$89,5,0)</f>
        <v>247.54590881279992</v>
      </c>
      <c r="BF88" s="13">
        <f t="shared" si="91"/>
        <v>60.060132829307605</v>
      </c>
      <c r="BG88" s="20">
        <f t="shared" si="61"/>
        <v>535.74718919333725</v>
      </c>
      <c r="BH88" s="59">
        <f t="shared" si="62"/>
        <v>829.08052252667062</v>
      </c>
      <c r="BI88" s="59">
        <f ca="1">AVERAGE(OFFSET($BH$3,0,0,'Données projet'!$E$11+1,1))-AVERAGE(OFFSET($H$3,0,0,'Données projet'!$E$11+1,1))</f>
        <v>252.70779718608964</v>
      </c>
      <c r="BJ88" s="59">
        <f t="shared" si="92"/>
        <v>187.86969111712705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69.481356014304808</v>
      </c>
      <c r="BQ88" s="21">
        <f>EXP(-LN(2)/25)*BQ87+(1-EXP(-LN(2)/25))/(LN(2)/25)*Calculateur!BL88*Calculateur!BN88*VLOOKUP('Données projet'!$B$11,Paramètres!$A$1:$I$89,3,0)*0.475*44/12</f>
        <v>15.276751691678713</v>
      </c>
      <c r="BR88" s="21">
        <f>EXP(-LN(2)/2)*BR87+(1-EXP(-LN(2)/2))/(LN(2)/2)*BL88*BO88*VLOOKUP('Données projet'!$B$11,Paramètres!$A$1:$I$89,3,0)*0.475*44/12</f>
        <v>1.4024517644593693</v>
      </c>
      <c r="BS88" s="22">
        <f t="shared" si="63"/>
        <v>86.160559470442891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-2.2737367544323206E-13</v>
      </c>
      <c r="BZ88" s="13">
        <f>BY88*VLOOKUP('Données projet'!$B$12,Paramètres!$A$1:$I$89,3,0)*VLOOKUP('Données projet'!$B$12,Paramètres!$A$1:$I$89,5,0)</f>
        <v>-1.3596945791505279E-13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279.86432710889352</v>
      </c>
      <c r="CE88" s="59">
        <f t="shared" si="94"/>
        <v>297.01680128882509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77.342186197996512</v>
      </c>
      <c r="CL88" s="21">
        <f>EXP(-LN(2)/25)*CL87+(1-EXP(-LN(2)/25))/(LN(2)/25)*Calculateur!CG88*Calculateur!CI88*VLOOKUP('Données projet'!$B$12,Paramètres!$A$1:$I$89,3,0)*0.475*44/12</f>
        <v>54.739181934193098</v>
      </c>
      <c r="CM88" s="21">
        <f>EXP(-LN(2)/2)*CM87+(1-EXP(-LN(2)/2))/(LN(2)/2)*CG88*CJ88*VLOOKUP('Données projet'!$B$12,Paramètres!$A$1:$I$89,3,0)*0.475*44/12</f>
        <v>7.4508422127924939E-2</v>
      </c>
      <c r="CN88" s="22">
        <f t="shared" si="66"/>
        <v>132.15587655431753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-12.000000000000284</v>
      </c>
      <c r="CU88" s="17">
        <f>CT88*VLOOKUP('Données projet'!$B$13,Paramètres!$A$1:$I$89,3,0)*VLOOKUP('Données projet'!$B$13,Paramètres!$A$1:$I$89,5,0)</f>
        <v>-9.5472000000002257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314.6300257056194</v>
      </c>
      <c r="CZ88" s="59">
        <f t="shared" si="96"/>
        <v>298.00555477466668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128.69739743388189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128.69739743388189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-12.000000000000284</v>
      </c>
      <c r="DP88" s="17">
        <f>DO88*VLOOKUP('Données projet'!$B$14,Paramètres!$A$1:$I$89,3,0)*VLOOKUP('Données projet'!$B$14,Paramètres!$A$1:$I$89,5,0)</f>
        <v>-9.5472000000002257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314.6300257056194</v>
      </c>
      <c r="DU88" s="59">
        <f t="shared" si="98"/>
        <v>298.00555477466668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128.69739743388189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128.69739743388189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415.88461538461536</v>
      </c>
      <c r="EH88" s="12">
        <f>VLOOKUP(A88,'Données projet'!$A$191:$I$211,9,0)</f>
        <v>12.899999999999977</v>
      </c>
      <c r="EI88" s="12">
        <f t="array" ref="EI88">INDEX(EH:EH,MIN(IF(ISNUMBER(EH88:EH284),ROW(EH88:EH284),"")))</f>
        <v>12.899999999999977</v>
      </c>
      <c r="EJ88" s="12">
        <f>IF('Données projet'!$A$192&gt;35,EJ87+EI88-ER87,IF(A88&lt;'Données projet'!$A$192,$EG$205^A88,IF(A88='Données projet'!$A$192,'Données projet'!$B$192,EJ87+EI88-ER87)))</f>
        <v>415.88461538461576</v>
      </c>
      <c r="EK88" s="17">
        <f>EJ88*VLOOKUP('Données projet'!$B$15,Paramètres!$A$1:$I$89,3,0)*VLOOKUP('Données projet'!$B$15,Paramètres!$A$1:$I$89,5,0)</f>
        <v>200.04050000000018</v>
      </c>
      <c r="EL88" s="13">
        <f t="shared" si="99"/>
        <v>49.753068294679139</v>
      </c>
      <c r="EM88" s="20">
        <f t="shared" si="73"/>
        <v>435.05713144656647</v>
      </c>
      <c r="EN88" s="59">
        <f t="shared" si="74"/>
        <v>728.39046477989973</v>
      </c>
      <c r="EO88" s="59">
        <f ca="1">AVERAGE(OFFSET($EN$3,0,0,'Données projet'!$E$15+1,1))-AVERAGE(OFFSET($H$3,0,0,'Données projet'!$E$15+1,1))</f>
        <v>238.83604534181978</v>
      </c>
      <c r="EP88" s="59">
        <f t="shared" si="100"/>
        <v>114.85152559837792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5.6843418860808015E-14</v>
      </c>
      <c r="FF88" s="17">
        <f>FE88*VLOOKUP('Données projet'!$B$16,Paramètres!$A$1:$I$89,3,0)*VLOOKUP('Données projet'!$B$16,Paramètres!$A$1:$I$89,5,0)</f>
        <v>4.6111381379887463E-14</v>
      </c>
      <c r="FG88" s="13">
        <f t="shared" si="101"/>
        <v>7.5804141040779151E-13</v>
      </c>
      <c r="FH88" s="20">
        <f t="shared" si="76"/>
        <v>1.4005661123635408E-12</v>
      </c>
      <c r="FI88" s="59">
        <f t="shared" si="77"/>
        <v>293.33333333333474</v>
      </c>
      <c r="FJ88" s="59">
        <f ca="1">AVERAGE(OFFSET($FI$3,0,0,'Données projet'!$E$16+1,1))-AVERAGE(OFFSET($H$3,0,0,'Données projet'!$E$16+1,1))</f>
        <v>196.95467273423861</v>
      </c>
      <c r="FK88" s="59">
        <f t="shared" si="102"/>
        <v>173.8709326829258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77.589389676102002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7.283984545701486</v>
      </c>
      <c r="FT88" s="22">
        <f t="shared" si="78"/>
        <v>84.873374221803488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5.6843418860808015E-14</v>
      </c>
      <c r="GA88" s="17">
        <f>FZ88*VLOOKUP('Données projet'!$B$17,Paramètres!$A$1:$I$89,3,0)*VLOOKUP('Données projet'!$B$17,Paramètres!$A$1:$I$89,5,0)</f>
        <v>6.1186256061773749E-14</v>
      </c>
      <c r="GB88" s="13">
        <f t="shared" si="103"/>
        <v>9.7328366192051127E-13</v>
      </c>
      <c r="GC88" s="20">
        <f t="shared" si="79"/>
        <v>1.8017017738191463E-12</v>
      </c>
      <c r="GD88" s="59">
        <f t="shared" si="80"/>
        <v>293.33333333333513</v>
      </c>
      <c r="GE88" s="59">
        <f ca="1">AVERAGE(OFFSET($GD$3,0,0,'Données projet'!$E$17+1,1))-AVERAGE(OFFSET($H$3,0,0,'Données projet'!$E$17+1,1))</f>
        <v>275.5229427552884</v>
      </c>
      <c r="GF88" s="59">
        <f t="shared" si="104"/>
        <v>241.20234081716143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102.95515168559687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9.6652871856423559</v>
      </c>
      <c r="GO88" s="21">
        <f t="shared" si="81"/>
        <v>112.62043887123923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274.57619581652199</v>
      </c>
      <c r="T89" s="59">
        <f t="shared" si="88"/>
        <v>366.15117322598775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 t="e">
        <f>EXP(-LN(2)/35)*Z88+(1-EXP(-LN(2)/35))/(LN(2)/35)*V89*W89*VLOOKUP('Données projet'!$B$9,Paramètres!$A$1:$I$89,3,0)*0.475*44/12</f>
        <v>#VALUE!</v>
      </c>
      <c r="AA89" s="21" t="e">
        <f>EXP(-LN(2)/25)*AA88+(1-EXP(-LN(2)/25))/(LN(2)/25)*Calculateur!V89*Calculateur!X89*VLOOKUP('Données projet'!$B$9,Paramètres!$A$1:$I$89,3,0)*0.475*44/12</f>
        <v>#VALUE!</v>
      </c>
      <c r="AB89" s="21" t="e">
        <f>EXP(-LN(2)/2)*AB88+(1-EXP(-LN(2)/2))/(LN(2)/2)*V89*Y89*VLOOKUP('Données projet'!$B$9,Paramètres!$A$1:$I$89,3,0)*0.475*44/12</f>
        <v>#VALUE!</v>
      </c>
      <c r="AC89" s="22" t="e">
        <f t="shared" si="57"/>
        <v>#VALUE!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175.05987582828078</v>
      </c>
      <c r="AO89" s="59">
        <f t="shared" si="90"/>
        <v>268.54782308462387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100.58809127407859</v>
      </c>
      <c r="AV89" s="21">
        <f>EXP(-LN(2)/25)*AV88+(1-EXP(-LN(2)/25))/(LN(2)/25)*Calculateur!AQ89*Calculateur!AS89*VLOOKUP('Données projet'!$B$10,Paramètres!$A$1:$I$89,3,0)*0.475*44/12</f>
        <v>20.496926417814407</v>
      </c>
      <c r="AW89" s="21">
        <f>EXP(-LN(2)/2)*AW88+(1-EXP(-LN(2)/2))/(LN(2)/2)*AQ89*AT89*VLOOKUP('Données projet'!$B$10,Paramètres!$A$1:$I$89,3,0)*0.475*44/12</f>
        <v>3.4740550871848676E-3</v>
      </c>
      <c r="AX89" s="21">
        <f t="shared" si="60"/>
        <v>121.08849174698018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17.499999999999993</v>
      </c>
      <c r="BD89" s="12">
        <f>IF('Données projet'!$A$88&gt;35,BD88+BC89-BL88,IF(A89&lt;'Données projet'!$A$88,$BA$205^A89,IF(A89='Données projet'!$A$88,'Données projet'!$B$88,BD88+BC89-BL88)))</f>
        <v>546.44424959999981</v>
      </c>
      <c r="BE89" s="13">
        <f>BD89*VLOOKUP('Données projet'!$B$11,Paramètres!$A$1:$I$89,3,0)*VLOOKUP('Données projet'!$B$11,Paramètres!$A$1:$I$89,5,0)</f>
        <v>255.73590881279992</v>
      </c>
      <c r="BF89" s="13">
        <f t="shared" si="91"/>
        <v>61.812573113643019</v>
      </c>
      <c r="BG89" s="20">
        <f t="shared" si="61"/>
        <v>553.06360602188818</v>
      </c>
      <c r="BH89" s="59">
        <f t="shared" si="62"/>
        <v>846.39693935522155</v>
      </c>
      <c r="BI89" s="59">
        <f ca="1">AVERAGE(OFFSET($BH$3,0,0,'Données projet'!$E$11+1,1))-AVERAGE(OFFSET($H$3,0,0,'Données projet'!$E$11+1,1))</f>
        <v>252.70779718608964</v>
      </c>
      <c r="BJ89" s="59">
        <f t="shared" si="92"/>
        <v>187.86969111712705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68.118869002306838</v>
      </c>
      <c r="BQ89" s="21">
        <f>EXP(-LN(2)/25)*BQ88+(1-EXP(-LN(2)/25))/(LN(2)/25)*Calculateur!BL89*Calculateur!BN89*VLOOKUP('Données projet'!$B$11,Paramètres!$A$1:$I$89,3,0)*0.475*44/12</f>
        <v>14.859008113300304</v>
      </c>
      <c r="BR89" s="21">
        <f>EXP(-LN(2)/2)*BR88+(1-EXP(-LN(2)/2))/(LN(2)/2)*BL89*BO89*VLOOKUP('Données projet'!$B$11,Paramètres!$A$1:$I$89,3,0)*0.475*44/12</f>
        <v>0.99168315293625875</v>
      </c>
      <c r="BS89" s="22">
        <f t="shared" si="63"/>
        <v>83.969560268543404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-2.2737367544323206E-13</v>
      </c>
      <c r="BZ89" s="13">
        <f>BY89*VLOOKUP('Données projet'!$B$12,Paramètres!$A$1:$I$89,3,0)*VLOOKUP('Données projet'!$B$12,Paramètres!$A$1:$I$89,5,0)</f>
        <v>-1.3596945791505279E-13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279.86432710889352</v>
      </c>
      <c r="CE89" s="59">
        <f t="shared" si="94"/>
        <v>297.01680128882509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75.825553100729323</v>
      </c>
      <c r="CL89" s="21">
        <f>EXP(-LN(2)/25)*CL88+(1-EXP(-LN(2)/25))/(LN(2)/25)*Calculateur!CG89*Calculateur!CI89*VLOOKUP('Données projet'!$B$12,Paramètres!$A$1:$I$89,3,0)*0.475*44/12</f>
        <v>53.242336125594122</v>
      </c>
      <c r="CM89" s="21">
        <f>EXP(-LN(2)/2)*CM88+(1-EXP(-LN(2)/2))/(LN(2)/2)*CG89*CJ89*VLOOKUP('Données projet'!$B$12,Paramètres!$A$1:$I$89,3,0)*0.475*44/12</f>
        <v>5.2685410542165537E-2</v>
      </c>
      <c r="CN89" s="22">
        <f t="shared" si="66"/>
        <v>129.1205746368656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-12.000000000000284</v>
      </c>
      <c r="CU89" s="17">
        <f>CT89*VLOOKUP('Données projet'!$B$13,Paramètres!$A$1:$I$89,3,0)*VLOOKUP('Données projet'!$B$13,Paramètres!$A$1:$I$89,5,0)</f>
        <v>-9.5472000000002257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314.6300257056194</v>
      </c>
      <c r="CZ89" s="59">
        <f t="shared" si="96"/>
        <v>298.00555477466668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126.1737199678649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126.1737199678649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-12.000000000000284</v>
      </c>
      <c r="DP89" s="17">
        <f>DO89*VLOOKUP('Données projet'!$B$14,Paramètres!$A$1:$I$89,3,0)*VLOOKUP('Données projet'!$B$14,Paramètres!$A$1:$I$89,5,0)</f>
        <v>-9.5472000000002257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314.6300257056194</v>
      </c>
      <c r="DU89" s="59">
        <f t="shared" si="98"/>
        <v>298.00555477466668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126.1737199678649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126.1737199678649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12.623076923076923</v>
      </c>
      <c r="EJ89" s="12">
        <f>IF('Données projet'!$A$192&gt;35,EJ88+EI89-ER88,IF(A89&lt;'Données projet'!$A$192,$EG$205^A89,IF(A89='Données projet'!$A$192,'Données projet'!$B$192,EJ88+EI89-ER88)))</f>
        <v>428.50769230769265</v>
      </c>
      <c r="EK89" s="17">
        <f>EJ89*VLOOKUP('Données projet'!$B$15,Paramètres!$A$1:$I$89,3,0)*VLOOKUP('Données projet'!$B$15,Paramètres!$A$1:$I$89,5,0)</f>
        <v>206.11220000000017</v>
      </c>
      <c r="EL89" s="13">
        <f t="shared" si="99"/>
        <v>51.085081809228022</v>
      </c>
      <c r="EM89" s="20">
        <f t="shared" si="73"/>
        <v>447.95193248440569</v>
      </c>
      <c r="EN89" s="59">
        <f t="shared" si="74"/>
        <v>741.28526581773895</v>
      </c>
      <c r="EO89" s="59">
        <f ca="1">AVERAGE(OFFSET($EN$3,0,0,'Données projet'!$E$15+1,1))-AVERAGE(OFFSET($H$3,0,0,'Données projet'!$E$15+1,1))</f>
        <v>238.83604534181978</v>
      </c>
      <c r="EP89" s="59">
        <f t="shared" si="100"/>
        <v>114.85152559837792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5.6843418860808015E-14</v>
      </c>
      <c r="FF89" s="17">
        <f>FE89*VLOOKUP('Données projet'!$B$16,Paramètres!$A$1:$I$89,3,0)*VLOOKUP('Données projet'!$B$16,Paramètres!$A$1:$I$89,5,0)</f>
        <v>4.6111381379887463E-14</v>
      </c>
      <c r="FG89" s="13">
        <f t="shared" si="101"/>
        <v>7.5804141040779151E-13</v>
      </c>
      <c r="FH89" s="20">
        <f t="shared" si="76"/>
        <v>1.4005661123635408E-12</v>
      </c>
      <c r="FI89" s="59">
        <f t="shared" si="77"/>
        <v>293.33333333333474</v>
      </c>
      <c r="FJ89" s="59">
        <f ca="1">AVERAGE(OFFSET($FI$3,0,0,'Données projet'!$E$16+1,1))-AVERAGE(OFFSET($H$3,0,0,'Données projet'!$E$16+1,1))</f>
        <v>196.95467273423861</v>
      </c>
      <c r="FK89" s="59">
        <f t="shared" si="102"/>
        <v>173.8709326829258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76.067909069408401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5.1505548663235352</v>
      </c>
      <c r="FT89" s="22">
        <f t="shared" si="78"/>
        <v>81.218463935731933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5.6843418860808015E-14</v>
      </c>
      <c r="GA89" s="17">
        <f>FZ89*VLOOKUP('Données projet'!$B$17,Paramètres!$A$1:$I$89,3,0)*VLOOKUP('Données projet'!$B$17,Paramètres!$A$1:$I$89,5,0)</f>
        <v>6.1186256061773749E-14</v>
      </c>
      <c r="GB89" s="13">
        <f t="shared" si="103"/>
        <v>9.7328366192051127E-13</v>
      </c>
      <c r="GC89" s="20">
        <f t="shared" si="79"/>
        <v>1.8017017738191463E-12</v>
      </c>
      <c r="GD89" s="59">
        <f t="shared" si="80"/>
        <v>293.33333333333513</v>
      </c>
      <c r="GE89" s="59">
        <f ca="1">AVERAGE(OFFSET($GD$3,0,0,'Données projet'!$E$17+1,1))-AVERAGE(OFFSET($H$3,0,0,'Données projet'!$E$17+1,1))</f>
        <v>275.5229427552884</v>
      </c>
      <c r="GF89" s="59">
        <f t="shared" si="104"/>
        <v>241.20234081716143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100.93626395748421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6.8343901110831515</v>
      </c>
      <c r="GO89" s="21">
        <f t="shared" si="81"/>
        <v>107.77065406856737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274.57619581652199</v>
      </c>
      <c r="T90" s="59">
        <f t="shared" si="88"/>
        <v>366.15117322598775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 t="e">
        <f>EXP(-LN(2)/35)*Z89+(1-EXP(-LN(2)/35))/(LN(2)/35)*V90*W90*VLOOKUP('Données projet'!$B$9,Paramètres!$A$1:$I$89,3,0)*0.475*44/12</f>
        <v>#VALUE!</v>
      </c>
      <c r="AA90" s="21" t="e">
        <f>EXP(-LN(2)/25)*AA89+(1-EXP(-LN(2)/25))/(LN(2)/25)*Calculateur!V90*Calculateur!X90*VLOOKUP('Données projet'!$B$9,Paramètres!$A$1:$I$89,3,0)*0.475*44/12</f>
        <v>#VALUE!</v>
      </c>
      <c r="AB90" s="21" t="e">
        <f>EXP(-LN(2)/2)*AB89+(1-EXP(-LN(2)/2))/(LN(2)/2)*V90*Y90*VLOOKUP('Données projet'!$B$9,Paramètres!$A$1:$I$89,3,0)*0.475*44/12</f>
        <v>#VALUE!</v>
      </c>
      <c r="AC90" s="22" t="e">
        <f t="shared" si="57"/>
        <v>#VALUE!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175.05987582828078</v>
      </c>
      <c r="AO90" s="59">
        <f t="shared" si="90"/>
        <v>268.54782308462387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98.615620156871515</v>
      </c>
      <c r="AV90" s="21">
        <f>EXP(-LN(2)/25)*AV89+(1-EXP(-LN(2)/25))/(LN(2)/25)*Calculateur!AQ90*Calculateur!AS90*VLOOKUP('Données projet'!$B$10,Paramètres!$A$1:$I$89,3,0)*0.475*44/12</f>
        <v>19.936436887032759</v>
      </c>
      <c r="AW90" s="21">
        <f>EXP(-LN(2)/2)*AW89+(1-EXP(-LN(2)/2))/(LN(2)/2)*AQ90*AT90*VLOOKUP('Données projet'!$B$10,Paramètres!$A$1:$I$89,3,0)*0.475*44/12</f>
        <v>2.4565279103640424E-3</v>
      </c>
      <c r="AX90" s="21">
        <f t="shared" si="60"/>
        <v>118.55451357181464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17.499999999999993</v>
      </c>
      <c r="BD90" s="12">
        <f>IF('Données projet'!$A$88&gt;35,BD89+BC90-BL89,IF(A90&lt;'Données projet'!$A$88,$BA$205^A90,IF(A90='Données projet'!$A$88,'Données projet'!$B$88,BD89+BC90-BL89)))</f>
        <v>563.94424959999981</v>
      </c>
      <c r="BE90" s="13">
        <f>BD90*VLOOKUP('Données projet'!$B$11,Paramètres!$A$1:$I$89,3,0)*VLOOKUP('Données projet'!$B$11,Paramètres!$A$1:$I$89,5,0)</f>
        <v>263.92590881279989</v>
      </c>
      <c r="BF90" s="13">
        <f t="shared" si="91"/>
        <v>63.558491746020437</v>
      </c>
      <c r="BG90" s="20">
        <f t="shared" si="61"/>
        <v>570.368664306612</v>
      </c>
      <c r="BH90" s="59">
        <f t="shared" si="62"/>
        <v>863.70199763994538</v>
      </c>
      <c r="BI90" s="59">
        <f ca="1">AVERAGE(OFFSET($BH$3,0,0,'Données projet'!$E$11+1,1))-AVERAGE(OFFSET($H$3,0,0,'Données projet'!$E$11+1,1))</f>
        <v>252.70779718608964</v>
      </c>
      <c r="BJ90" s="59">
        <f t="shared" si="92"/>
        <v>187.86969111712705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66.783099529579133</v>
      </c>
      <c r="BQ90" s="21">
        <f>EXP(-LN(2)/25)*BQ89+(1-EXP(-LN(2)/25))/(LN(2)/25)*Calculateur!BL90*Calculateur!BN90*VLOOKUP('Données projet'!$B$11,Paramètres!$A$1:$I$89,3,0)*0.475*44/12</f>
        <v>14.452687755040831</v>
      </c>
      <c r="BR90" s="21">
        <f>EXP(-LN(2)/2)*BR89+(1-EXP(-LN(2)/2))/(LN(2)/2)*BL90*BO90*VLOOKUP('Données projet'!$B$11,Paramètres!$A$1:$I$89,3,0)*0.475*44/12</f>
        <v>0.70122588222968474</v>
      </c>
      <c r="BS90" s="22">
        <f t="shared" si="63"/>
        <v>81.937013166849638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-2.2737367544323206E-13</v>
      </c>
      <c r="BZ90" s="13">
        <f>BY90*VLOOKUP('Données projet'!$B$12,Paramètres!$A$1:$I$89,3,0)*VLOOKUP('Données projet'!$B$12,Paramètres!$A$1:$I$89,5,0)</f>
        <v>-1.3596945791505279E-13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279.86432710889352</v>
      </c>
      <c r="CE90" s="59">
        <f t="shared" si="94"/>
        <v>297.01680128882509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74.338660253444701</v>
      </c>
      <c r="CL90" s="21">
        <f>EXP(-LN(2)/25)*CL89+(1-EXP(-LN(2)/25))/(LN(2)/25)*Calculateur!CG90*Calculateur!CI90*VLOOKUP('Données projet'!$B$12,Paramètres!$A$1:$I$89,3,0)*0.475*44/12</f>
        <v>51.78642164434698</v>
      </c>
      <c r="CM90" s="21">
        <f>EXP(-LN(2)/2)*CM89+(1-EXP(-LN(2)/2))/(LN(2)/2)*CG90*CJ90*VLOOKUP('Données projet'!$B$12,Paramètres!$A$1:$I$89,3,0)*0.475*44/12</f>
        <v>3.725421106396247E-2</v>
      </c>
      <c r="CN90" s="22">
        <f t="shared" si="66"/>
        <v>126.16233610885565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-12.000000000000284</v>
      </c>
      <c r="CU90" s="17">
        <f>CT90*VLOOKUP('Données projet'!$B$13,Paramètres!$A$1:$I$89,3,0)*VLOOKUP('Données projet'!$B$13,Paramètres!$A$1:$I$89,5,0)</f>
        <v>-9.5472000000002257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314.6300257056194</v>
      </c>
      <c r="CZ90" s="59">
        <f t="shared" si="96"/>
        <v>298.00555477466668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123.69953027766525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123.69953027766525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-12.000000000000284</v>
      </c>
      <c r="DP90" s="17">
        <f>DO90*VLOOKUP('Données projet'!$B$14,Paramètres!$A$1:$I$89,3,0)*VLOOKUP('Données projet'!$B$14,Paramètres!$A$1:$I$89,5,0)</f>
        <v>-9.5472000000002257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314.6300257056194</v>
      </c>
      <c r="DU90" s="59">
        <f t="shared" si="98"/>
        <v>298.00555477466668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123.69953027766525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123.69953027766525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12.623076923076923</v>
      </c>
      <c r="EJ90" s="12">
        <f>IF('Données projet'!$A$192&gt;35,EJ89+EI90-ER89,IF(A90&lt;'Données projet'!$A$192,$EG$205^A90,IF(A90='Données projet'!$A$192,'Données projet'!$B$192,EJ89+EI90-ER89)))</f>
        <v>441.1307692307696</v>
      </c>
      <c r="EK90" s="17">
        <f>EJ90*VLOOKUP('Données projet'!$B$15,Paramètres!$A$1:$I$89,3,0)*VLOOKUP('Données projet'!$B$15,Paramètres!$A$1:$I$89,5,0)</f>
        <v>212.18390000000019</v>
      </c>
      <c r="EL90" s="13">
        <f t="shared" si="99"/>
        <v>52.412535057317655</v>
      </c>
      <c r="EM90" s="20">
        <f t="shared" si="73"/>
        <v>460.83879105816192</v>
      </c>
      <c r="EN90" s="59">
        <f t="shared" si="74"/>
        <v>754.17212439149523</v>
      </c>
      <c r="EO90" s="59">
        <f ca="1">AVERAGE(OFFSET($EN$3,0,0,'Données projet'!$E$15+1,1))-AVERAGE(OFFSET($H$3,0,0,'Données projet'!$E$15+1,1))</f>
        <v>238.83604534181978</v>
      </c>
      <c r="EP90" s="59">
        <f t="shared" si="100"/>
        <v>114.85152559837792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5.6843418860808015E-14</v>
      </c>
      <c r="FF90" s="17">
        <f>FE90*VLOOKUP('Données projet'!$B$16,Paramètres!$A$1:$I$89,3,0)*VLOOKUP('Données projet'!$B$16,Paramètres!$A$1:$I$89,5,0)</f>
        <v>4.6111381379887463E-14</v>
      </c>
      <c r="FG90" s="13">
        <f t="shared" si="101"/>
        <v>7.5804141040779151E-13</v>
      </c>
      <c r="FH90" s="20">
        <f t="shared" si="76"/>
        <v>1.4005661123635408E-12</v>
      </c>
      <c r="FI90" s="59">
        <f t="shared" si="77"/>
        <v>293.33333333333474</v>
      </c>
      <c r="FJ90" s="59">
        <f ca="1">AVERAGE(OFFSET($FI$3,0,0,'Données projet'!$E$16+1,1))-AVERAGE(OFFSET($H$3,0,0,'Données projet'!$E$16+1,1))</f>
        <v>196.95467273423861</v>
      </c>
      <c r="FK90" s="59">
        <f t="shared" si="102"/>
        <v>173.8709326829258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74.576263769400526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3.6419922728507439</v>
      </c>
      <c r="FT90" s="22">
        <f t="shared" si="78"/>
        <v>78.218256042251269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5.6843418860808015E-14</v>
      </c>
      <c r="GA90" s="17">
        <f>FZ90*VLOOKUP('Données projet'!$B$17,Paramètres!$A$1:$I$89,3,0)*VLOOKUP('Données projet'!$B$17,Paramètres!$A$1:$I$89,5,0)</f>
        <v>6.1186256061773749E-14</v>
      </c>
      <c r="GB90" s="13">
        <f t="shared" si="103"/>
        <v>9.7328366192051127E-13</v>
      </c>
      <c r="GC90" s="20">
        <f t="shared" si="79"/>
        <v>1.8017017738191463E-12</v>
      </c>
      <c r="GD90" s="59">
        <f t="shared" si="80"/>
        <v>293.33333333333513</v>
      </c>
      <c r="GE90" s="59">
        <f ca="1">AVERAGE(OFFSET($GD$3,0,0,'Données projet'!$E$17+1,1))-AVERAGE(OFFSET($H$3,0,0,'Données projet'!$E$17+1,1))</f>
        <v>275.5229427552884</v>
      </c>
      <c r="GF90" s="59">
        <f t="shared" si="104"/>
        <v>241.20234081716143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98.956965386319922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4.8326435928211788</v>
      </c>
      <c r="GO90" s="21">
        <f t="shared" si="81"/>
        <v>103.78960897914111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274.57619581652199</v>
      </c>
      <c r="T91" s="59">
        <f t="shared" si="88"/>
        <v>366.15117322598775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 t="e">
        <f>EXP(-LN(2)/35)*Z90+(1-EXP(-LN(2)/35))/(LN(2)/35)*V91*W91*VLOOKUP('Données projet'!$B$9,Paramètres!$A$1:$I$89,3,0)*0.475*44/12</f>
        <v>#VALUE!</v>
      </c>
      <c r="AA91" s="21" t="e">
        <f>EXP(-LN(2)/25)*AA90+(1-EXP(-LN(2)/25))/(LN(2)/25)*Calculateur!V91*Calculateur!X91*VLOOKUP('Données projet'!$B$9,Paramètres!$A$1:$I$89,3,0)*0.475*44/12</f>
        <v>#VALUE!</v>
      </c>
      <c r="AB91" s="21" t="e">
        <f>EXP(-LN(2)/2)*AB90+(1-EXP(-LN(2)/2))/(LN(2)/2)*V91*Y91*VLOOKUP('Données projet'!$B$9,Paramètres!$A$1:$I$89,3,0)*0.475*44/12</f>
        <v>#VALUE!</v>
      </c>
      <c r="AC91" s="22" t="e">
        <f t="shared" si="57"/>
        <v>#VALUE!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175.05987582828078</v>
      </c>
      <c r="AO91" s="59">
        <f t="shared" si="90"/>
        <v>268.54782308462387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96.681827995184278</v>
      </c>
      <c r="AV91" s="21">
        <f>EXP(-LN(2)/25)*AV90+(1-EXP(-LN(2)/25))/(LN(2)/25)*Calculateur!AQ91*Calculateur!AS91*VLOOKUP('Données projet'!$B$10,Paramètres!$A$1:$I$89,3,0)*0.475*44/12</f>
        <v>19.391273971945196</v>
      </c>
      <c r="AW91" s="21">
        <f>EXP(-LN(2)/2)*AW90+(1-EXP(-LN(2)/2))/(LN(2)/2)*AQ91*AT91*VLOOKUP('Données projet'!$B$10,Paramètres!$A$1:$I$89,3,0)*0.475*44/12</f>
        <v>1.7370275435924338E-3</v>
      </c>
      <c r="AX91" s="21">
        <f t="shared" si="60"/>
        <v>116.07483899467307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17.499999999999993</v>
      </c>
      <c r="BD91" s="12">
        <f>IF('Données projet'!$A$88&gt;35,BD90+BC91-BL90,IF(A91&lt;'Données projet'!$A$88,$BA$205^A91,IF(A91='Données projet'!$A$88,'Données projet'!$B$88,BD90+BC91-BL90)))</f>
        <v>581.44424959999981</v>
      </c>
      <c r="BE91" s="13">
        <f>BD91*VLOOKUP('Données projet'!$B$11,Paramètres!$A$1:$I$89,3,0)*VLOOKUP('Données projet'!$B$11,Paramètres!$A$1:$I$89,5,0)</f>
        <v>272.11590881279994</v>
      </c>
      <c r="BF91" s="13">
        <f t="shared" si="91"/>
        <v>65.298114325168072</v>
      </c>
      <c r="BG91" s="20">
        <f t="shared" si="61"/>
        <v>587.66275696529431</v>
      </c>
      <c r="BH91" s="59">
        <f t="shared" si="62"/>
        <v>880.99609029862768</v>
      </c>
      <c r="BI91" s="59">
        <f ca="1">AVERAGE(OFFSET($BH$3,0,0,'Données projet'!$E$11+1,1))-AVERAGE(OFFSET($H$3,0,0,'Données projet'!$E$11+1,1))</f>
        <v>252.70779718608964</v>
      </c>
      <c r="BJ91" s="59">
        <f t="shared" si="92"/>
        <v>187.86969111712705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65.473523681472685</v>
      </c>
      <c r="BQ91" s="21">
        <f>EXP(-LN(2)/25)*BQ90+(1-EXP(-LN(2)/25))/(LN(2)/25)*Calculateur!BL91*Calculateur!BN91*VLOOKUP('Données projet'!$B$11,Paramètres!$A$1:$I$89,3,0)*0.475*44/12</f>
        <v>14.057478248345422</v>
      </c>
      <c r="BR91" s="21">
        <f>EXP(-LN(2)/2)*BR90+(1-EXP(-LN(2)/2))/(LN(2)/2)*BL91*BO91*VLOOKUP('Données projet'!$B$11,Paramètres!$A$1:$I$89,3,0)*0.475*44/12</f>
        <v>0.49584157646812949</v>
      </c>
      <c r="BS91" s="22">
        <f t="shared" si="63"/>
        <v>80.026843506286227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-2.2737367544323206E-13</v>
      </c>
      <c r="BZ91" s="13">
        <f>BY91*VLOOKUP('Données projet'!$B$12,Paramètres!$A$1:$I$89,3,0)*VLOOKUP('Données projet'!$B$12,Paramètres!$A$1:$I$89,5,0)</f>
        <v>-1.3596945791505279E-13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279.86432710889352</v>
      </c>
      <c r="CE91" s="59">
        <f t="shared" si="94"/>
        <v>297.01680128882509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72.88092446798025</v>
      </c>
      <c r="CL91" s="21">
        <f>EXP(-LN(2)/25)*CL90+(1-EXP(-LN(2)/25))/(LN(2)/25)*Calculateur!CG91*Calculateur!CI91*VLOOKUP('Données projet'!$B$12,Paramètres!$A$1:$I$89,3,0)*0.475*44/12</f>
        <v>50.370319221152755</v>
      </c>
      <c r="CM91" s="21">
        <f>EXP(-LN(2)/2)*CM90+(1-EXP(-LN(2)/2))/(LN(2)/2)*CG91*CJ91*VLOOKUP('Données projet'!$B$12,Paramètres!$A$1:$I$89,3,0)*0.475*44/12</f>
        <v>2.6342705271082768E-2</v>
      </c>
      <c r="CN91" s="22">
        <f t="shared" si="66"/>
        <v>123.27758639440408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-12.000000000000284</v>
      </c>
      <c r="CU91" s="17">
        <f>CT91*VLOOKUP('Données projet'!$B$13,Paramètres!$A$1:$I$89,3,0)*VLOOKUP('Données projet'!$B$13,Paramètres!$A$1:$I$89,5,0)</f>
        <v>-9.5472000000002257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314.6300257056194</v>
      </c>
      <c r="CZ91" s="59">
        <f t="shared" si="96"/>
        <v>298.00555477466668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121.27385793818371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121.27385793818371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-12.000000000000284</v>
      </c>
      <c r="DP91" s="17">
        <f>DO91*VLOOKUP('Données projet'!$B$14,Paramètres!$A$1:$I$89,3,0)*VLOOKUP('Données projet'!$B$14,Paramètres!$A$1:$I$89,5,0)</f>
        <v>-9.5472000000002257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314.6300257056194</v>
      </c>
      <c r="DU91" s="59">
        <f t="shared" si="98"/>
        <v>298.00555477466668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121.27385793818371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121.27385793818371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12.623076923076923</v>
      </c>
      <c r="EJ91" s="12">
        <f>IF('Données projet'!$A$192&gt;35,EJ90+EI91-ER90,IF(A91&lt;'Données projet'!$A$192,$EG$205^A91,IF(A91='Données projet'!$A$192,'Données projet'!$B$192,EJ90+EI91-ER90)))</f>
        <v>453.75384615384655</v>
      </c>
      <c r="EK91" s="17">
        <f>EJ91*VLOOKUP('Données projet'!$B$15,Paramètres!$A$1:$I$89,3,0)*VLOOKUP('Données projet'!$B$15,Paramètres!$A$1:$I$89,5,0)</f>
        <v>218.25560000000019</v>
      </c>
      <c r="EL91" s="13">
        <f t="shared" si="99"/>
        <v>53.735573519511561</v>
      </c>
      <c r="EM91" s="20">
        <f t="shared" si="73"/>
        <v>473.71796054648297</v>
      </c>
      <c r="EN91" s="59">
        <f t="shared" si="74"/>
        <v>767.05129387981628</v>
      </c>
      <c r="EO91" s="59">
        <f ca="1">AVERAGE(OFFSET($EN$3,0,0,'Données projet'!$E$15+1,1))-AVERAGE(OFFSET($H$3,0,0,'Données projet'!$E$15+1,1))</f>
        <v>238.83604534181978</v>
      </c>
      <c r="EP91" s="59">
        <f t="shared" si="100"/>
        <v>114.85152559837792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5.6843418860808015E-14</v>
      </c>
      <c r="FF91" s="17">
        <f>FE91*VLOOKUP('Données projet'!$B$16,Paramètres!$A$1:$I$89,3,0)*VLOOKUP('Données projet'!$B$16,Paramètres!$A$1:$I$89,5,0)</f>
        <v>4.6111381379887463E-14</v>
      </c>
      <c r="FG91" s="13">
        <f t="shared" si="101"/>
        <v>7.5804141040779151E-13</v>
      </c>
      <c r="FH91" s="20">
        <f t="shared" si="76"/>
        <v>1.4005661123635408E-12</v>
      </c>
      <c r="FI91" s="59">
        <f t="shared" si="77"/>
        <v>293.33333333333474</v>
      </c>
      <c r="FJ91" s="59">
        <f ca="1">AVERAGE(OFFSET($FI$3,0,0,'Données projet'!$E$16+1,1))-AVERAGE(OFFSET($H$3,0,0,'Données projet'!$E$16+1,1))</f>
        <v>196.95467273423861</v>
      </c>
      <c r="FK91" s="59">
        <f t="shared" si="102"/>
        <v>173.8709326829258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73.113868723912006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2.575277433161768</v>
      </c>
      <c r="FT91" s="22">
        <f t="shared" si="78"/>
        <v>75.689146157073779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5.6843418860808015E-14</v>
      </c>
      <c r="GA91" s="17">
        <f>FZ91*VLOOKUP('Données projet'!$B$17,Paramètres!$A$1:$I$89,3,0)*VLOOKUP('Données projet'!$B$17,Paramètres!$A$1:$I$89,5,0)</f>
        <v>6.1186256061773749E-14</v>
      </c>
      <c r="GB91" s="13">
        <f t="shared" si="103"/>
        <v>9.7328366192051127E-13</v>
      </c>
      <c r="GC91" s="20">
        <f t="shared" si="79"/>
        <v>1.8017017738191463E-12</v>
      </c>
      <c r="GD91" s="59">
        <f t="shared" si="80"/>
        <v>293.33333333333513</v>
      </c>
      <c r="GE91" s="59">
        <f ca="1">AVERAGE(OFFSET($GD$3,0,0,'Données projet'!$E$17+1,1))-AVERAGE(OFFSET($H$3,0,0,'Données projet'!$E$17+1,1))</f>
        <v>275.5229427552884</v>
      </c>
      <c r="GF91" s="59">
        <f t="shared" si="104"/>
        <v>241.20234081716143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97.016479652883234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3.4171950555415762</v>
      </c>
      <c r="GO91" s="21">
        <f t="shared" si="81"/>
        <v>100.4336747084248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274.57619581652199</v>
      </c>
      <c r="T92" s="59">
        <f t="shared" si="88"/>
        <v>366.15117322598775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 t="e">
        <f>EXP(-LN(2)/35)*Z91+(1-EXP(-LN(2)/35))/(LN(2)/35)*V92*W92*VLOOKUP('Données projet'!$B$9,Paramètres!$A$1:$I$89,3,0)*0.475*44/12</f>
        <v>#VALUE!</v>
      </c>
      <c r="AA92" s="21" t="e">
        <f>EXP(-LN(2)/25)*AA91+(1-EXP(-LN(2)/25))/(LN(2)/25)*Calculateur!V92*Calculateur!X92*VLOOKUP('Données projet'!$B$9,Paramètres!$A$1:$I$89,3,0)*0.475*44/12</f>
        <v>#VALUE!</v>
      </c>
      <c r="AB92" s="21" t="e">
        <f>EXP(-LN(2)/2)*AB91+(1-EXP(-LN(2)/2))/(LN(2)/2)*V92*Y92*VLOOKUP('Données projet'!$B$9,Paramètres!$A$1:$I$89,3,0)*0.475*44/12</f>
        <v>#VALUE!</v>
      </c>
      <c r="AC92" s="22" t="e">
        <f t="shared" si="57"/>
        <v>#VALUE!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175.05987582828078</v>
      </c>
      <c r="AO92" s="59">
        <f t="shared" si="90"/>
        <v>268.54782308462387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94.785956318290985</v>
      </c>
      <c r="AV92" s="21">
        <f>EXP(-LN(2)/25)*AV91+(1-EXP(-LN(2)/25))/(LN(2)/25)*Calculateur!AQ92*Calculateur!AS92*VLOOKUP('Données projet'!$B$10,Paramètres!$A$1:$I$89,3,0)*0.475*44/12</f>
        <v>18.861018565439576</v>
      </c>
      <c r="AW92" s="21">
        <f>EXP(-LN(2)/2)*AW91+(1-EXP(-LN(2)/2))/(LN(2)/2)*AQ92*AT92*VLOOKUP('Données projet'!$B$10,Paramètres!$A$1:$I$89,3,0)*0.475*44/12</f>
        <v>1.2282639551820212E-3</v>
      </c>
      <c r="AX92" s="21">
        <f t="shared" si="60"/>
        <v>113.64820314768575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17.499999999999993</v>
      </c>
      <c r="BD92" s="12">
        <f>IF('Données projet'!$A$88&gt;35,BD91+BC92-BL91,IF(A92&lt;'Données projet'!$A$88,$BA$205^A92,IF(A92='Données projet'!$A$88,'Données projet'!$B$88,BD91+BC92-BL91)))</f>
        <v>598.94424959999981</v>
      </c>
      <c r="BE92" s="13">
        <f>BD92*VLOOKUP('Données projet'!$B$11,Paramètres!$A$1:$I$89,3,0)*VLOOKUP('Données projet'!$B$11,Paramètres!$A$1:$I$89,5,0)</f>
        <v>280.30590881279988</v>
      </c>
      <c r="BF92" s="13">
        <f t="shared" si="91"/>
        <v>67.031652098138792</v>
      </c>
      <c r="BG92" s="20">
        <f t="shared" si="61"/>
        <v>604.94625191988484</v>
      </c>
      <c r="BH92" s="59">
        <f t="shared" si="62"/>
        <v>898.2795852532181</v>
      </c>
      <c r="BI92" s="59">
        <f ca="1">AVERAGE(OFFSET($BH$3,0,0,'Données projet'!$E$11+1,1))-AVERAGE(OFFSET($H$3,0,0,'Données projet'!$E$11+1,1))</f>
        <v>252.70779718608964</v>
      </c>
      <c r="BJ92" s="59">
        <f t="shared" si="92"/>
        <v>187.86969111712705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64.189627816985208</v>
      </c>
      <c r="BQ92" s="21">
        <f>EXP(-LN(2)/25)*BQ91+(1-EXP(-LN(2)/25))/(LN(2)/25)*Calculateur!BL92*Calculateur!BN92*VLOOKUP('Données projet'!$B$11,Paramètres!$A$1:$I$89,3,0)*0.475*44/12</f>
        <v>13.673075766393763</v>
      </c>
      <c r="BR92" s="21">
        <f>EXP(-LN(2)/2)*BR91+(1-EXP(-LN(2)/2))/(LN(2)/2)*BL92*BO92*VLOOKUP('Données projet'!$B$11,Paramètres!$A$1:$I$89,3,0)*0.475*44/12</f>
        <v>0.35061294111484242</v>
      </c>
      <c r="BS92" s="22">
        <f t="shared" si="63"/>
        <v>78.21331652449382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-2.2737367544323206E-13</v>
      </c>
      <c r="BZ92" s="13">
        <f>BY92*VLOOKUP('Données projet'!$B$12,Paramètres!$A$1:$I$89,3,0)*VLOOKUP('Données projet'!$B$12,Paramètres!$A$1:$I$89,5,0)</f>
        <v>-1.3596945791505279E-13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279.86432710889352</v>
      </c>
      <c r="CE92" s="59">
        <f t="shared" si="94"/>
        <v>297.01680128882509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71.451773992137717</v>
      </c>
      <c r="CL92" s="21">
        <f>EXP(-LN(2)/25)*CL91+(1-EXP(-LN(2)/25))/(LN(2)/25)*Calculateur!CG92*Calculateur!CI92*VLOOKUP('Données projet'!$B$12,Paramètres!$A$1:$I$89,3,0)*0.475*44/12</f>
        <v>48.992940193190371</v>
      </c>
      <c r="CM92" s="21">
        <f>EXP(-LN(2)/2)*CM91+(1-EXP(-LN(2)/2))/(LN(2)/2)*CG92*CJ92*VLOOKUP('Données projet'!$B$12,Paramètres!$A$1:$I$89,3,0)*0.475*44/12</f>
        <v>1.8627105531981235E-2</v>
      </c>
      <c r="CN92" s="22">
        <f t="shared" si="66"/>
        <v>120.46334129086006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-12.000000000000284</v>
      </c>
      <c r="CU92" s="17">
        <f>CT92*VLOOKUP('Données projet'!$B$13,Paramètres!$A$1:$I$89,3,0)*VLOOKUP('Données projet'!$B$13,Paramètres!$A$1:$I$89,5,0)</f>
        <v>-9.5472000000002257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314.6300257056194</v>
      </c>
      <c r="CZ92" s="59">
        <f t="shared" si="96"/>
        <v>298.00555477466668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118.89575155376536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118.89575155376536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-12.000000000000284</v>
      </c>
      <c r="DP92" s="17">
        <f>DO92*VLOOKUP('Données projet'!$B$14,Paramètres!$A$1:$I$89,3,0)*VLOOKUP('Données projet'!$B$14,Paramètres!$A$1:$I$89,5,0)</f>
        <v>-9.5472000000002257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314.6300257056194</v>
      </c>
      <c r="DU92" s="59">
        <f t="shared" si="98"/>
        <v>298.00555477466668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118.89575155376536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118.89575155376536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12.623076923076923</v>
      </c>
      <c r="EJ92" s="12">
        <f>IF('Données projet'!$A$192&gt;35,EJ91+EI92-ER91,IF(A92&lt;'Données projet'!$A$192,$EG$205^A92,IF(A92='Données projet'!$A$192,'Données projet'!$B$192,EJ91+EI92-ER91)))</f>
        <v>466.3769230769235</v>
      </c>
      <c r="EK92" s="17">
        <f>EJ92*VLOOKUP('Données projet'!$B$15,Paramètres!$A$1:$I$89,3,0)*VLOOKUP('Données projet'!$B$15,Paramètres!$A$1:$I$89,5,0)</f>
        <v>224.32730000000024</v>
      </c>
      <c r="EL92" s="13">
        <f t="shared" si="99"/>
        <v>55.054334121490328</v>
      </c>
      <c r="EM92" s="20">
        <f t="shared" si="73"/>
        <v>486.58967942826274</v>
      </c>
      <c r="EN92" s="59">
        <f t="shared" si="74"/>
        <v>779.92301276159606</v>
      </c>
      <c r="EO92" s="59">
        <f ca="1">AVERAGE(OFFSET($EN$3,0,0,'Données projet'!$E$15+1,1))-AVERAGE(OFFSET($H$3,0,0,'Données projet'!$E$15+1,1))</f>
        <v>238.83604534181978</v>
      </c>
      <c r="EP92" s="59">
        <f t="shared" si="100"/>
        <v>114.85152559837792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5.6843418860808015E-14</v>
      </c>
      <c r="FF92" s="17">
        <f>FE92*VLOOKUP('Données projet'!$B$16,Paramètres!$A$1:$I$89,3,0)*VLOOKUP('Données projet'!$B$16,Paramètres!$A$1:$I$89,5,0)</f>
        <v>4.6111381379887463E-14</v>
      </c>
      <c r="FG92" s="13">
        <f t="shared" si="101"/>
        <v>7.5804141040779151E-13</v>
      </c>
      <c r="FH92" s="20">
        <f t="shared" si="76"/>
        <v>1.4005661123635408E-12</v>
      </c>
      <c r="FI92" s="59">
        <f t="shared" si="77"/>
        <v>293.33333333333474</v>
      </c>
      <c r="FJ92" s="59">
        <f ca="1">AVERAGE(OFFSET($FI$3,0,0,'Données projet'!$E$16+1,1))-AVERAGE(OFFSET($H$3,0,0,'Données projet'!$E$16+1,1))</f>
        <v>196.95467273423861</v>
      </c>
      <c r="FK92" s="59">
        <f t="shared" si="102"/>
        <v>173.8709326829258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71.680150353292618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1.8209961364253722</v>
      </c>
      <c r="FT92" s="22">
        <f t="shared" si="78"/>
        <v>73.501146489717996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5.6843418860808015E-14</v>
      </c>
      <c r="GA92" s="17">
        <f>FZ92*VLOOKUP('Données projet'!$B$17,Paramètres!$A$1:$I$89,3,0)*VLOOKUP('Données projet'!$B$17,Paramètres!$A$1:$I$89,5,0)</f>
        <v>6.1186256061773749E-14</v>
      </c>
      <c r="GB92" s="13">
        <f t="shared" si="103"/>
        <v>9.7328366192051127E-13</v>
      </c>
      <c r="GC92" s="20">
        <f t="shared" si="79"/>
        <v>1.8017017738191463E-12</v>
      </c>
      <c r="GD92" s="59">
        <f t="shared" si="80"/>
        <v>293.33333333333513</v>
      </c>
      <c r="GE92" s="59">
        <f ca="1">AVERAGE(OFFSET($GD$3,0,0,'Données projet'!$E$17+1,1))-AVERAGE(OFFSET($H$3,0,0,'Données projet'!$E$17+1,1))</f>
        <v>275.5229427552884</v>
      </c>
      <c r="GF92" s="59">
        <f t="shared" si="104"/>
        <v>241.20234081716143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95.114045661099809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2.4163217964105894</v>
      </c>
      <c r="GO92" s="21">
        <f t="shared" si="81"/>
        <v>97.530367457510394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274.57619581652199</v>
      </c>
      <c r="T93" s="59">
        <f t="shared" si="88"/>
        <v>366.15117322598775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 t="e">
        <f>EXP(-LN(2)/35)*Z92+(1-EXP(-LN(2)/35))/(LN(2)/35)*V93*W93*VLOOKUP('Données projet'!$B$9,Paramètres!$A$1:$I$89,3,0)*0.475*44/12</f>
        <v>#VALUE!</v>
      </c>
      <c r="AA93" s="21" t="e">
        <f>EXP(-LN(2)/25)*AA92+(1-EXP(-LN(2)/25))/(LN(2)/25)*Calculateur!V93*Calculateur!X93*VLOOKUP('Données projet'!$B$9,Paramètres!$A$1:$I$89,3,0)*0.475*44/12</f>
        <v>#VALUE!</v>
      </c>
      <c r="AB93" s="21" t="e">
        <f>EXP(-LN(2)/2)*AB92+(1-EXP(-LN(2)/2))/(LN(2)/2)*V93*Y93*VLOOKUP('Données projet'!$B$9,Paramètres!$A$1:$I$89,3,0)*0.475*44/12</f>
        <v>#VALUE!</v>
      </c>
      <c r="AC93" s="22" t="e">
        <f t="shared" si="57"/>
        <v>#VALUE!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175.05987582828078</v>
      </c>
      <c r="AO93" s="59">
        <f t="shared" si="90"/>
        <v>268.54782308462387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92.927261528614025</v>
      </c>
      <c r="AV93" s="21">
        <f>EXP(-LN(2)/25)*AV92+(1-EXP(-LN(2)/25))/(LN(2)/25)*Calculateur!AQ93*Calculateur!AS93*VLOOKUP('Données projet'!$B$10,Paramètres!$A$1:$I$89,3,0)*0.475*44/12</f>
        <v>18.345263020909773</v>
      </c>
      <c r="AW93" s="21">
        <f>EXP(-LN(2)/2)*AW92+(1-EXP(-LN(2)/2))/(LN(2)/2)*AQ93*AT93*VLOOKUP('Données projet'!$B$10,Paramètres!$A$1:$I$89,3,0)*0.475*44/12</f>
        <v>8.685137717962169E-4</v>
      </c>
      <c r="AX93" s="21">
        <f t="shared" si="60"/>
        <v>111.27339306329559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616.44424959999992</v>
      </c>
      <c r="BB93" s="12">
        <f>VLOOKUP(A93,'Données projet'!$A$87:$I$107,9,0)</f>
        <v>17.499999999999993</v>
      </c>
      <c r="BC93" s="12">
        <f t="array" ref="BC93">INDEX(BB:BB,MIN(IF(ISNUMBER(BB93:BB289),ROW(BB93:BB289),"")))</f>
        <v>17.499999999999993</v>
      </c>
      <c r="BD93" s="12">
        <f>IF('Données projet'!$A$88&gt;35,BD92+BC93-BL92,IF(A93&lt;'Données projet'!$A$88,$BA$205^A93,IF(A93='Données projet'!$A$88,'Données projet'!$B$88,BD92+BC93-BL92)))</f>
        <v>616.44424959999981</v>
      </c>
      <c r="BE93" s="13">
        <f>BD93*VLOOKUP('Données projet'!$B$11,Paramètres!$A$1:$I$89,3,0)*VLOOKUP('Données projet'!$B$11,Paramètres!$A$1:$I$89,5,0)</f>
        <v>288.49590881279994</v>
      </c>
      <c r="BF93" s="13">
        <f t="shared" si="91"/>
        <v>68.759303265639417</v>
      </c>
      <c r="BG93" s="20">
        <f t="shared" si="61"/>
        <v>622.21949436994851</v>
      </c>
      <c r="BH93" s="59">
        <f t="shared" si="62"/>
        <v>915.55282770328176</v>
      </c>
      <c r="BI93" s="59">
        <f ca="1">AVERAGE(OFFSET($BH$3,0,0,'Données projet'!$E$11+1,1))-AVERAGE(OFFSET($H$3,0,0,'Données projet'!$E$11+1,1))</f>
        <v>252.70779718608964</v>
      </c>
      <c r="BJ93" s="59">
        <f t="shared" si="92"/>
        <v>187.86969111712705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123.28884991999999</v>
      </c>
      <c r="BM93" s="16">
        <f>IF(ISNA(VLOOKUP(A93,'Données projet'!$A$87:$I$107,5,0)),0%,VLOOKUP(A93,'Données projet'!$A$87:$I$107,5,0)*VLOOKUP('Données projet'!$B$11,Paramètres!$A$1:$I$89,7,0))</f>
        <v>0.38500000000000001</v>
      </c>
      <c r="BN93" s="16">
        <f>IF(ISNA(VLOOKUP(A93,'Données projet'!$A$87:$I$107,6,0)),0%,VLOOKUP(A93,'Données projet'!$A$87:$I$107,6,0)*VLOOKUP('Données projet'!$B$11,Paramètres!$A$1:$I$89,7,0))</f>
        <v>9.240000000000001E-2</v>
      </c>
      <c r="BO93" s="16">
        <f>IF(ISNA(VLOOKUP(A93,'Données projet'!$A$87:$I$107,7,0)),0%,VLOOKUP(A93,'Données projet'!$A$87:$I$107,7,0))</f>
        <v>0.13200000000000001</v>
      </c>
      <c r="BP93" s="21">
        <f>EXP(-LN(2)/35)*BP92+(1-EXP(-LN(2)/35))/(LN(2)/35)*BL93*BM93*VLOOKUP('Données projet'!$B$11,Paramètres!$A$1:$I$89,3,0)*0.475*44/12</f>
        <v>92.399456566451789</v>
      </c>
      <c r="BQ93" s="21">
        <f>EXP(-LN(2)/25)*BQ92+(1-EXP(-LN(2)/25))/(LN(2)/25)*Calculateur!BL93*Calculateur!BN93*VLOOKUP('Données projet'!$B$11,Paramètres!$A$1:$I$89,3,0)*0.475*44/12</f>
        <v>20.343789421684338</v>
      </c>
      <c r="BR93" s="21">
        <f>EXP(-LN(2)/2)*BR92+(1-EXP(-LN(2)/2))/(LN(2)/2)*BL93*BO93*VLOOKUP('Données projet'!$B$11,Paramètres!$A$1:$I$89,3,0)*0.475*44/12</f>
        <v>8.8713325697135677</v>
      </c>
      <c r="BS93" s="22">
        <f t="shared" si="63"/>
        <v>121.6145785578497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-2.2737367544323206E-13</v>
      </c>
      <c r="BZ93" s="13">
        <f>BY93*VLOOKUP('Données projet'!$B$12,Paramètres!$A$1:$I$89,3,0)*VLOOKUP('Données projet'!$B$12,Paramètres!$A$1:$I$89,5,0)</f>
        <v>-1.3596945791505279E-13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279.86432710889352</v>
      </c>
      <c r="CE93" s="59">
        <f t="shared" si="94"/>
        <v>297.01680128882509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70.050648285430739</v>
      </c>
      <c r="CL93" s="21">
        <f>EXP(-LN(2)/25)*CL92+(1-EXP(-LN(2)/25))/(LN(2)/25)*Calculateur!CG93*Calculateur!CI93*VLOOKUP('Données projet'!$B$12,Paramètres!$A$1:$I$89,3,0)*0.475*44/12</f>
        <v>47.653225667180834</v>
      </c>
      <c r="CM93" s="21">
        <f>EXP(-LN(2)/2)*CM92+(1-EXP(-LN(2)/2))/(LN(2)/2)*CG93*CJ93*VLOOKUP('Données projet'!$B$12,Paramètres!$A$1:$I$89,3,0)*0.475*44/12</f>
        <v>1.3171352635541384E-2</v>
      </c>
      <c r="CN93" s="22">
        <f t="shared" si="66"/>
        <v>117.71704530524711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-12.000000000000284</v>
      </c>
      <c r="CU93" s="17">
        <f>CT93*VLOOKUP('Données projet'!$B$13,Paramètres!$A$1:$I$89,3,0)*VLOOKUP('Données projet'!$B$13,Paramètres!$A$1:$I$89,5,0)</f>
        <v>-9.5472000000002257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314.6300257056194</v>
      </c>
      <c r="CZ93" s="59">
        <f t="shared" si="96"/>
        <v>298.00555477466668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116.56427838504379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116.56427838504379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-12.000000000000284</v>
      </c>
      <c r="DP93" s="17">
        <f>DO93*VLOOKUP('Données projet'!$B$14,Paramètres!$A$1:$I$89,3,0)*VLOOKUP('Données projet'!$B$14,Paramètres!$A$1:$I$89,5,0)</f>
        <v>-9.5472000000002257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314.6300257056194</v>
      </c>
      <c r="DU93" s="59">
        <f t="shared" si="98"/>
        <v>298.00555477466668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116.56427838504379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116.56427838504379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12.623076923076923</v>
      </c>
      <c r="EJ93" s="12">
        <f>IF('Données projet'!$A$192&gt;35,EJ92+EI93-ER92,IF(A93&lt;'Données projet'!$A$192,$EG$205^A93,IF(A93='Données projet'!$A$192,'Données projet'!$B$192,EJ92+EI93-ER92)))</f>
        <v>479.00000000000045</v>
      </c>
      <c r="EK93" s="17">
        <f>EJ93*VLOOKUP('Données projet'!$B$15,Paramètres!$A$1:$I$89,3,0)*VLOOKUP('Données projet'!$B$15,Paramètres!$A$1:$I$89,5,0)</f>
        <v>230.39900000000023</v>
      </c>
      <c r="EL93" s="13">
        <f t="shared" si="99"/>
        <v>56.368945954870547</v>
      </c>
      <c r="EM93" s="20">
        <f t="shared" si="73"/>
        <v>499.45417253806659</v>
      </c>
      <c r="EN93" s="59">
        <f t="shared" si="74"/>
        <v>792.78750587139984</v>
      </c>
      <c r="EO93" s="59">
        <f ca="1">AVERAGE(OFFSET($EN$3,0,0,'Données projet'!$E$15+1,1))-AVERAGE(OFFSET($H$3,0,0,'Données projet'!$E$15+1,1))</f>
        <v>238.83604534181978</v>
      </c>
      <c r="EP93" s="59">
        <f t="shared" si="100"/>
        <v>114.85152559837792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5.6843418860808015E-14</v>
      </c>
      <c r="FF93" s="17">
        <f>FE93*VLOOKUP('Données projet'!$B$16,Paramètres!$A$1:$I$89,3,0)*VLOOKUP('Données projet'!$B$16,Paramètres!$A$1:$I$89,5,0)</f>
        <v>4.6111381379887463E-14</v>
      </c>
      <c r="FG93" s="13">
        <f t="shared" si="101"/>
        <v>7.5804141040779151E-13</v>
      </c>
      <c r="FH93" s="20">
        <f t="shared" si="76"/>
        <v>1.4005661123635408E-12</v>
      </c>
      <c r="FI93" s="59">
        <f t="shared" si="77"/>
        <v>293.33333333333474</v>
      </c>
      <c r="FJ93" s="59">
        <f ca="1">AVERAGE(OFFSET($FI$3,0,0,'Données projet'!$E$16+1,1))-AVERAGE(OFFSET($H$3,0,0,'Données projet'!$E$16+1,1))</f>
        <v>196.95467273423861</v>
      </c>
      <c r="FK93" s="59">
        <f t="shared" si="102"/>
        <v>173.8709326829258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70.274546325439218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1.2876387165808842</v>
      </c>
      <c r="FT93" s="22">
        <f t="shared" si="78"/>
        <v>71.562185042020104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5.6843418860808015E-14</v>
      </c>
      <c r="GA93" s="17">
        <f>FZ93*VLOOKUP('Données projet'!$B$17,Paramètres!$A$1:$I$89,3,0)*VLOOKUP('Données projet'!$B$17,Paramètres!$A$1:$I$89,5,0)</f>
        <v>6.1186256061773749E-14</v>
      </c>
      <c r="GB93" s="13">
        <f t="shared" si="103"/>
        <v>9.7328366192051127E-13</v>
      </c>
      <c r="GC93" s="20">
        <f t="shared" si="79"/>
        <v>1.8017017738191463E-12</v>
      </c>
      <c r="GD93" s="59">
        <f t="shared" si="80"/>
        <v>293.33333333333513</v>
      </c>
      <c r="GE93" s="59">
        <f ca="1">AVERAGE(OFFSET($GD$3,0,0,'Données projet'!$E$17+1,1))-AVERAGE(OFFSET($H$3,0,0,'Données projet'!$E$17+1,1))</f>
        <v>275.5229427552884</v>
      </c>
      <c r="GF93" s="59">
        <f t="shared" si="104"/>
        <v>241.20234081716143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93.248917239525099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1.7085975277707881</v>
      </c>
      <c r="GO93" s="21">
        <f t="shared" si="81"/>
        <v>94.957514767295891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274.57619581652199</v>
      </c>
      <c r="T94" s="59">
        <f t="shared" si="88"/>
        <v>366.15117322598775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 t="e">
        <f>EXP(-LN(2)/35)*Z93+(1-EXP(-LN(2)/35))/(LN(2)/35)*V94*W94*VLOOKUP('Données projet'!$B$9,Paramètres!$A$1:$I$89,3,0)*0.475*44/12</f>
        <v>#VALUE!</v>
      </c>
      <c r="AA94" s="21" t="e">
        <f>EXP(-LN(2)/25)*AA93+(1-EXP(-LN(2)/25))/(LN(2)/25)*Calculateur!V94*Calculateur!X94*VLOOKUP('Données projet'!$B$9,Paramètres!$A$1:$I$89,3,0)*0.475*44/12</f>
        <v>#VALUE!</v>
      </c>
      <c r="AB94" s="21" t="e">
        <f>EXP(-LN(2)/2)*AB93+(1-EXP(-LN(2)/2))/(LN(2)/2)*V94*Y94*VLOOKUP('Données projet'!$B$9,Paramètres!$A$1:$I$89,3,0)*0.475*44/12</f>
        <v>#VALUE!</v>
      </c>
      <c r="AC94" s="22" t="e">
        <f t="shared" si="57"/>
        <v>#VALUE!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175.05987582828078</v>
      </c>
      <c r="AO94" s="59">
        <f t="shared" si="90"/>
        <v>268.54782308462387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91.105014610070754</v>
      </c>
      <c r="AV94" s="21">
        <f>EXP(-LN(2)/25)*AV93+(1-EXP(-LN(2)/25))/(LN(2)/25)*Calculateur!AQ94*Calculateur!AS94*VLOOKUP('Données projet'!$B$10,Paramètres!$A$1:$I$89,3,0)*0.475*44/12</f>
        <v>17.843610838867541</v>
      </c>
      <c r="AW94" s="21">
        <f>EXP(-LN(2)/2)*AW93+(1-EXP(-LN(2)/2))/(LN(2)/2)*AQ94*AT94*VLOOKUP('Données projet'!$B$10,Paramètres!$A$1:$I$89,3,0)*0.475*44/12</f>
        <v>6.141319775910106E-4</v>
      </c>
      <c r="AX94" s="21">
        <f t="shared" si="60"/>
        <v>108.94923958091587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18.5</v>
      </c>
      <c r="BD94" s="12">
        <f>IF('Données projet'!$A$88&gt;35,BD93+BC94-BL93,IF(A94&lt;'Données projet'!$A$88,$BA$205^A94,IF(A94='Données projet'!$A$88,'Données projet'!$B$88,BD93+BC94-BL93)))</f>
        <v>511.65539967999985</v>
      </c>
      <c r="BE94" s="13">
        <f>BD94*VLOOKUP('Données projet'!$B$11,Paramètres!$A$1:$I$89,3,0)*VLOOKUP('Données projet'!$B$11,Paramètres!$A$1:$I$89,5,0)</f>
        <v>239.45472705023991</v>
      </c>
      <c r="BF94" s="13">
        <f t="shared" si="91"/>
        <v>58.322196824880955</v>
      </c>
      <c r="BG94" s="20">
        <f t="shared" si="61"/>
        <v>518.62814241583544</v>
      </c>
      <c r="BH94" s="59">
        <f t="shared" si="62"/>
        <v>811.96147574916881</v>
      </c>
      <c r="BI94" s="59">
        <f ca="1">AVERAGE(OFFSET($BH$3,0,0,'Données projet'!$E$11+1,1))-AVERAGE(OFFSET($H$3,0,0,'Données projet'!$E$11+1,1))</f>
        <v>252.70779718608964</v>
      </c>
      <c r="BJ94" s="59">
        <f t="shared" si="92"/>
        <v>187.86969111712705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90.58755958128728</v>
      </c>
      <c r="BQ94" s="21">
        <f>EXP(-LN(2)/25)*BQ93+(1-EXP(-LN(2)/25))/(LN(2)/25)*Calculateur!BL94*Calculateur!BN94*VLOOKUP('Données projet'!$B$11,Paramètres!$A$1:$I$89,3,0)*0.475*44/12</f>
        <v>19.787487430114989</v>
      </c>
      <c r="BR94" s="21">
        <f>EXP(-LN(2)/2)*BR93+(1-EXP(-LN(2)/2))/(LN(2)/2)*BL94*BO94*VLOOKUP('Données projet'!$B$11,Paramètres!$A$1:$I$89,3,0)*0.475*44/12</f>
        <v>6.2729794182055443</v>
      </c>
      <c r="BS94" s="22">
        <f t="shared" si="63"/>
        <v>116.64802642960782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-2.2737367544323206E-13</v>
      </c>
      <c r="BZ94" s="13">
        <f>BY94*VLOOKUP('Données projet'!$B$12,Paramètres!$A$1:$I$89,3,0)*VLOOKUP('Données projet'!$B$12,Paramètres!$A$1:$I$89,5,0)</f>
        <v>-1.3596945791505279E-13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279.86432710889352</v>
      </c>
      <c r="CE94" s="59">
        <f t="shared" si="94"/>
        <v>297.01680128882509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68.676997799229994</v>
      </c>
      <c r="CL94" s="21">
        <f>EXP(-LN(2)/25)*CL93+(1-EXP(-LN(2)/25))/(LN(2)/25)*Calculateur!CG94*Calculateur!CI94*VLOOKUP('Données projet'!$B$12,Paramètres!$A$1:$I$89,3,0)*0.475*44/12</f>
        <v>46.350145705337546</v>
      </c>
      <c r="CM94" s="21">
        <f>EXP(-LN(2)/2)*CM93+(1-EXP(-LN(2)/2))/(LN(2)/2)*CG94*CJ94*VLOOKUP('Données projet'!$B$12,Paramètres!$A$1:$I$89,3,0)*0.475*44/12</f>
        <v>9.3135527659906174E-3</v>
      </c>
      <c r="CN94" s="22">
        <f t="shared" si="66"/>
        <v>115.03645705733352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-12.000000000000284</v>
      </c>
      <c r="CU94" s="17">
        <f>CT94*VLOOKUP('Données projet'!$B$13,Paramètres!$A$1:$I$89,3,0)*VLOOKUP('Données projet'!$B$13,Paramètres!$A$1:$I$89,5,0)</f>
        <v>-9.5472000000002257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314.6300257056194</v>
      </c>
      <c r="CZ94" s="59">
        <f t="shared" si="96"/>
        <v>298.00555477466668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114.27852398310263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114.27852398310263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-12.000000000000284</v>
      </c>
      <c r="DP94" s="17">
        <f>DO94*VLOOKUP('Données projet'!$B$14,Paramètres!$A$1:$I$89,3,0)*VLOOKUP('Données projet'!$B$14,Paramètres!$A$1:$I$89,5,0)</f>
        <v>-9.5472000000002257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314.6300257056194</v>
      </c>
      <c r="DU94" s="59">
        <f t="shared" si="98"/>
        <v>298.00555477466668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114.27852398310263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114.27852398310263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>
        <f>VLOOKUP(A94,'Données projet'!$A$191:$I$211,2,0)</f>
        <v>491.62307692307689</v>
      </c>
      <c r="EH94" s="12">
        <f>VLOOKUP(A94,'Données projet'!$A$191:$I$211,9,0)</f>
        <v>12.623076923076923</v>
      </c>
      <c r="EI94" s="12">
        <f t="array" ref="EI94">INDEX(EH:EH,MIN(IF(ISNUMBER(EH94:EH290),ROW(EH94:EH290),"")))</f>
        <v>12.623076923076923</v>
      </c>
      <c r="EJ94" s="12">
        <f>IF('Données projet'!$A$192&gt;35,EJ93+EI94-ER93,IF(A94&lt;'Données projet'!$A$192,$EG$205^A94,IF(A94='Données projet'!$A$192,'Données projet'!$B$192,EJ93+EI94-ER93)))</f>
        <v>491.62307692307741</v>
      </c>
      <c r="EK94" s="17">
        <f>EJ94*VLOOKUP('Données projet'!$B$15,Paramètres!$A$1:$I$89,3,0)*VLOOKUP('Données projet'!$B$15,Paramètres!$A$1:$I$89,5,0)</f>
        <v>236.47070000000025</v>
      </c>
      <c r="EL94" s="13">
        <f t="shared" si="99"/>
        <v>57.679530919903378</v>
      </c>
      <c r="EM94" s="20">
        <f t="shared" si="73"/>
        <v>512.3116521854987</v>
      </c>
      <c r="EN94" s="59">
        <f t="shared" si="74"/>
        <v>805.64498551883207</v>
      </c>
      <c r="EO94" s="59">
        <f ca="1">AVERAGE(OFFSET($EN$3,0,0,'Données projet'!$E$15+1,1))-AVERAGE(OFFSET($H$3,0,0,'Données projet'!$E$15+1,1))</f>
        <v>238.83604534181978</v>
      </c>
      <c r="EP94" s="59">
        <f t="shared" si="100"/>
        <v>114.85152559837792</v>
      </c>
      <c r="EQ94" s="15">
        <f>IF(ISNA(VLOOKUP(A94,'Données projet'!$A$191:$I$211,3,0)),0,VLOOKUP(A94,'Données projet'!$A$191:$I$211,3,0))</f>
        <v>7</v>
      </c>
      <c r="ER94" s="15">
        <f>IF(ISNA(VLOOKUP(A94,'Données projet'!$A$191:$I$211,4,0)),0,VLOOKUP(A94,'Données projet'!$A$191:$I$211,4,0))</f>
        <v>87.884615384615387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5.6843418860808015E-14</v>
      </c>
      <c r="FF94" s="17">
        <f>FE94*VLOOKUP('Données projet'!$B$16,Paramètres!$A$1:$I$89,3,0)*VLOOKUP('Données projet'!$B$16,Paramètres!$A$1:$I$89,5,0)</f>
        <v>4.6111381379887463E-14</v>
      </c>
      <c r="FG94" s="13">
        <f t="shared" si="101"/>
        <v>7.5804141040779151E-13</v>
      </c>
      <c r="FH94" s="20">
        <f t="shared" si="76"/>
        <v>1.4005661123635408E-12</v>
      </c>
      <c r="FI94" s="59">
        <f t="shared" si="77"/>
        <v>293.33333333333474</v>
      </c>
      <c r="FJ94" s="59">
        <f ca="1">AVERAGE(OFFSET($FI$3,0,0,'Données projet'!$E$16+1,1))-AVERAGE(OFFSET($H$3,0,0,'Données projet'!$E$16+1,1))</f>
        <v>196.95467273423861</v>
      </c>
      <c r="FK94" s="59">
        <f t="shared" si="102"/>
        <v>173.8709326829258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68.896505335238217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0.91049806821268631</v>
      </c>
      <c r="FT94" s="22">
        <f t="shared" si="78"/>
        <v>69.807003403450906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5.6843418860808015E-14</v>
      </c>
      <c r="GA94" s="17">
        <f>FZ94*VLOOKUP('Données projet'!$B$17,Paramètres!$A$1:$I$89,3,0)*VLOOKUP('Données projet'!$B$17,Paramètres!$A$1:$I$89,5,0)</f>
        <v>6.1186256061773749E-14</v>
      </c>
      <c r="GB94" s="13">
        <f t="shared" si="103"/>
        <v>9.7328366192051127E-13</v>
      </c>
      <c r="GC94" s="20">
        <f t="shared" si="79"/>
        <v>1.8017017738191463E-12</v>
      </c>
      <c r="GD94" s="59">
        <f t="shared" si="80"/>
        <v>293.33333333333513</v>
      </c>
      <c r="GE94" s="59">
        <f ca="1">AVERAGE(OFFSET($GD$3,0,0,'Données projet'!$E$17+1,1))-AVERAGE(OFFSET($H$3,0,0,'Données projet'!$E$17+1,1))</f>
        <v>275.5229427552884</v>
      </c>
      <c r="GF94" s="59">
        <f t="shared" si="104"/>
        <v>241.20234081716143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91.420362848681464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1.2081608982052947</v>
      </c>
      <c r="GO94" s="21">
        <f t="shared" si="81"/>
        <v>92.628523746886756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274.57619581652199</v>
      </c>
      <c r="T95" s="59">
        <f t="shared" si="88"/>
        <v>366.15117322598775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 t="e">
        <f>EXP(-LN(2)/35)*Z94+(1-EXP(-LN(2)/35))/(LN(2)/35)*V95*W95*VLOOKUP('Données projet'!$B$9,Paramètres!$A$1:$I$89,3,0)*0.475*44/12</f>
        <v>#VALUE!</v>
      </c>
      <c r="AA95" s="21" t="e">
        <f>EXP(-LN(2)/25)*AA94+(1-EXP(-LN(2)/25))/(LN(2)/25)*Calculateur!V95*Calculateur!X95*VLOOKUP('Données projet'!$B$9,Paramètres!$A$1:$I$89,3,0)*0.475*44/12</f>
        <v>#VALUE!</v>
      </c>
      <c r="AB95" s="21" t="e">
        <f>EXP(-LN(2)/2)*AB94+(1-EXP(-LN(2)/2))/(LN(2)/2)*V95*Y95*VLOOKUP('Données projet'!$B$9,Paramètres!$A$1:$I$89,3,0)*0.475*44/12</f>
        <v>#VALUE!</v>
      </c>
      <c r="AC95" s="22" t="e">
        <f t="shared" si="57"/>
        <v>#VALUE!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175.05987582828078</v>
      </c>
      <c r="AO95" s="59">
        <f t="shared" si="90"/>
        <v>268.54782308462387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89.318500842139244</v>
      </c>
      <c r="AV95" s="21">
        <f>EXP(-LN(2)/25)*AV94+(1-EXP(-LN(2)/25))/(LN(2)/25)*Calculateur!AQ95*Calculateur!AS95*VLOOKUP('Données projet'!$B$10,Paramètres!$A$1:$I$89,3,0)*0.475*44/12</f>
        <v>17.355676362123997</v>
      </c>
      <c r="AW95" s="21">
        <f>EXP(-LN(2)/2)*AW94+(1-EXP(-LN(2)/2))/(LN(2)/2)*AQ95*AT95*VLOOKUP('Données projet'!$B$10,Paramètres!$A$1:$I$89,3,0)*0.475*44/12</f>
        <v>4.3425688589810845E-4</v>
      </c>
      <c r="AX95" s="21">
        <f t="shared" si="60"/>
        <v>106.67461146114914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18.5</v>
      </c>
      <c r="BD95" s="12">
        <f>IF('Données projet'!$A$88&gt;35,BD94+BC95-BL94,IF(A95&lt;'Données projet'!$A$88,$BA$205^A95,IF(A95='Données projet'!$A$88,'Données projet'!$B$88,BD94+BC95-BL94)))</f>
        <v>530.15539967999985</v>
      </c>
      <c r="BE95" s="13">
        <f>BD95*VLOOKUP('Données projet'!$B$11,Paramètres!$A$1:$I$89,3,0)*VLOOKUP('Données projet'!$B$11,Paramètres!$A$1:$I$89,5,0)</f>
        <v>248.11272705023993</v>
      </c>
      <c r="BF95" s="13">
        <f t="shared" si="91"/>
        <v>60.181631696147214</v>
      </c>
      <c r="BG95" s="20">
        <f t="shared" si="61"/>
        <v>536.94600814995761</v>
      </c>
      <c r="BH95" s="59">
        <f t="shared" si="62"/>
        <v>830.27934148329086</v>
      </c>
      <c r="BI95" s="59">
        <f ca="1">AVERAGE(OFFSET($BH$3,0,0,'Données projet'!$E$11+1,1))-AVERAGE(OFFSET($H$3,0,0,'Données projet'!$E$11+1,1))</f>
        <v>252.70779718608964</v>
      </c>
      <c r="BJ95" s="59">
        <f t="shared" si="92"/>
        <v>187.86969111712705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88.811192790853809</v>
      </c>
      <c r="BQ95" s="21">
        <f>EXP(-LN(2)/25)*BQ94+(1-EXP(-LN(2)/25))/(LN(2)/25)*Calculateur!BL95*Calculateur!BN95*VLOOKUP('Données projet'!$B$11,Paramètres!$A$1:$I$89,3,0)*0.475*44/12</f>
        <v>19.246397545759756</v>
      </c>
      <c r="BR95" s="21">
        <f>EXP(-LN(2)/2)*BR94+(1-EXP(-LN(2)/2))/(LN(2)/2)*BL95*BO95*VLOOKUP('Données projet'!$B$11,Paramètres!$A$1:$I$89,3,0)*0.475*44/12</f>
        <v>4.4356662848567847</v>
      </c>
      <c r="BS95" s="22">
        <f t="shared" si="63"/>
        <v>112.49325662147035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-2.2737367544323206E-13</v>
      </c>
      <c r="BZ95" s="13">
        <f>BY95*VLOOKUP('Données projet'!$B$12,Paramètres!$A$1:$I$89,3,0)*VLOOKUP('Données projet'!$B$12,Paramètres!$A$1:$I$89,5,0)</f>
        <v>-1.3596945791505279E-13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279.86432710889352</v>
      </c>
      <c r="CE95" s="59">
        <f t="shared" si="94"/>
        <v>297.01680128882509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67.330283761219576</v>
      </c>
      <c r="CL95" s="21">
        <f>EXP(-LN(2)/25)*CL94+(1-EXP(-LN(2)/25))/(LN(2)/25)*Calculateur!CG95*Calculateur!CI95*VLOOKUP('Données projet'!$B$12,Paramètres!$A$1:$I$89,3,0)*0.475*44/12</f>
        <v>45.08269853357686</v>
      </c>
      <c r="CM95" s="21">
        <f>EXP(-LN(2)/2)*CM94+(1-EXP(-LN(2)/2))/(LN(2)/2)*CG95*CJ95*VLOOKUP('Données projet'!$B$12,Paramètres!$A$1:$I$89,3,0)*0.475*44/12</f>
        <v>6.5856763177706921E-3</v>
      </c>
      <c r="CN95" s="22">
        <f t="shared" si="66"/>
        <v>112.4195679711142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-12.000000000000284</v>
      </c>
      <c r="CU95" s="17">
        <f>CT95*VLOOKUP('Données projet'!$B$13,Paramètres!$A$1:$I$89,3,0)*VLOOKUP('Données projet'!$B$13,Paramètres!$A$1:$I$89,5,0)</f>
        <v>-9.5472000000002257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314.6300257056194</v>
      </c>
      <c r="CZ95" s="59">
        <f t="shared" si="96"/>
        <v>298.00555477466668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112.03759183081101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112.03759183081101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-12.000000000000284</v>
      </c>
      <c r="DP95" s="17">
        <f>DO95*VLOOKUP('Données projet'!$B$14,Paramètres!$A$1:$I$89,3,0)*VLOOKUP('Données projet'!$B$14,Paramètres!$A$1:$I$89,5,0)</f>
        <v>-9.5472000000002257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314.6300257056194</v>
      </c>
      <c r="DU95" s="59">
        <f t="shared" si="98"/>
        <v>298.00555477466668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112.03759183081101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112.03759183081101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11.546153846153857</v>
      </c>
      <c r="EJ95" s="12">
        <f>IF('Données projet'!$A$192&gt;35,EJ94+EI95-ER94,IF(A95&lt;'Données projet'!$A$192,$EG$205^A95,IF(A95='Données projet'!$A$192,'Données projet'!$B$192,EJ94+EI95-ER94)))</f>
        <v>415.2846153846159</v>
      </c>
      <c r="EK95" s="17">
        <f>EJ95*VLOOKUP('Données projet'!$B$15,Paramètres!$A$1:$I$89,3,0)*VLOOKUP('Données projet'!$B$15,Paramètres!$A$1:$I$89,5,0)</f>
        <v>199.75190000000023</v>
      </c>
      <c r="EL95" s="13">
        <f t="shared" si="99"/>
        <v>49.68963891626727</v>
      </c>
      <c r="EM95" s="20">
        <f t="shared" si="73"/>
        <v>434.44401361249925</v>
      </c>
      <c r="EN95" s="59">
        <f t="shared" si="74"/>
        <v>727.77734694583251</v>
      </c>
      <c r="EO95" s="59">
        <f ca="1">AVERAGE(OFFSET($EN$3,0,0,'Données projet'!$E$15+1,1))-AVERAGE(OFFSET($H$3,0,0,'Données projet'!$E$15+1,1))</f>
        <v>238.83604534181978</v>
      </c>
      <c r="EP95" s="59">
        <f t="shared" si="100"/>
        <v>114.85152559837792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5.6843418860808015E-14</v>
      </c>
      <c r="FF95" s="17">
        <f>FE95*VLOOKUP('Données projet'!$B$16,Paramètres!$A$1:$I$89,3,0)*VLOOKUP('Données projet'!$B$16,Paramètres!$A$1:$I$89,5,0)</f>
        <v>4.6111381379887463E-14</v>
      </c>
      <c r="FG95" s="13">
        <f t="shared" si="101"/>
        <v>7.5804141040779151E-13</v>
      </c>
      <c r="FH95" s="20">
        <f t="shared" si="76"/>
        <v>1.4005661123635408E-12</v>
      </c>
      <c r="FI95" s="59">
        <f t="shared" si="77"/>
        <v>293.33333333333474</v>
      </c>
      <c r="FJ95" s="59">
        <f ca="1">AVERAGE(OFFSET($FI$3,0,0,'Données projet'!$E$16+1,1))-AVERAGE(OFFSET($H$3,0,0,'Données projet'!$E$16+1,1))</f>
        <v>196.95467273423861</v>
      </c>
      <c r="FK95" s="59">
        <f t="shared" si="102"/>
        <v>173.8709326829258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67.545486888333045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0.64381935829044223</v>
      </c>
      <c r="FT95" s="22">
        <f t="shared" si="78"/>
        <v>68.189306246623488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5.6843418860808015E-14</v>
      </c>
      <c r="GA95" s="17">
        <f>FZ95*VLOOKUP('Données projet'!$B$17,Paramètres!$A$1:$I$89,3,0)*VLOOKUP('Données projet'!$B$17,Paramètres!$A$1:$I$89,5,0)</f>
        <v>6.1186256061773749E-14</v>
      </c>
      <c r="GB95" s="13">
        <f t="shared" si="103"/>
        <v>9.7328366192051127E-13</v>
      </c>
      <c r="GC95" s="20">
        <f t="shared" si="79"/>
        <v>1.8017017738191463E-12</v>
      </c>
      <c r="GD95" s="59">
        <f t="shared" si="80"/>
        <v>293.33333333333513</v>
      </c>
      <c r="GE95" s="59">
        <f ca="1">AVERAGE(OFFSET($GD$3,0,0,'Données projet'!$E$17+1,1))-AVERAGE(OFFSET($H$3,0,0,'Données projet'!$E$17+1,1))</f>
        <v>275.5229427552884</v>
      </c>
      <c r="GF95" s="59">
        <f t="shared" si="104"/>
        <v>241.20234081716143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89.627665294134218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0.85429876388539405</v>
      </c>
      <c r="GO95" s="21">
        <f t="shared" si="81"/>
        <v>90.481964058019614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274.57619581652199</v>
      </c>
      <c r="T96" s="59">
        <f t="shared" si="88"/>
        <v>366.15117322598775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 t="e">
        <f>EXP(-LN(2)/35)*Z95+(1-EXP(-LN(2)/35))/(LN(2)/35)*V96*W96*VLOOKUP('Données projet'!$B$9,Paramètres!$A$1:$I$89,3,0)*0.475*44/12</f>
        <v>#VALUE!</v>
      </c>
      <c r="AA96" s="21" t="e">
        <f>EXP(-LN(2)/25)*AA95+(1-EXP(-LN(2)/25))/(LN(2)/25)*Calculateur!V96*Calculateur!X96*VLOOKUP('Données projet'!$B$9,Paramètres!$A$1:$I$89,3,0)*0.475*44/12</f>
        <v>#VALUE!</v>
      </c>
      <c r="AB96" s="21" t="e">
        <f>EXP(-LN(2)/2)*AB95+(1-EXP(-LN(2)/2))/(LN(2)/2)*V96*Y96*VLOOKUP('Données projet'!$B$9,Paramètres!$A$1:$I$89,3,0)*0.475*44/12</f>
        <v>#VALUE!</v>
      </c>
      <c r="AC96" s="22" t="e">
        <f t="shared" si="57"/>
        <v>#VALUE!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175.05987582828078</v>
      </c>
      <c r="AO96" s="59">
        <f t="shared" si="90"/>
        <v>268.54782308462387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87.567019519531058</v>
      </c>
      <c r="AV96" s="21">
        <f>EXP(-LN(2)/25)*AV95+(1-EXP(-LN(2)/25))/(LN(2)/25)*Calculateur!AQ96*Calculateur!AS96*VLOOKUP('Données projet'!$B$10,Paramètres!$A$1:$I$89,3,0)*0.475*44/12</f>
        <v>16.881084479306363</v>
      </c>
      <c r="AW96" s="21">
        <f>EXP(-LN(2)/2)*AW95+(1-EXP(-LN(2)/2))/(LN(2)/2)*AQ96*AT96*VLOOKUP('Données projet'!$B$10,Paramètres!$A$1:$I$89,3,0)*0.475*44/12</f>
        <v>3.070659887955053E-4</v>
      </c>
      <c r="AX96" s="21">
        <f t="shared" si="60"/>
        <v>104.44841106482622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18.5</v>
      </c>
      <c r="BD96" s="12">
        <f>IF('Données projet'!$A$88&gt;35,BD95+BC96-BL95,IF(A96&lt;'Données projet'!$A$88,$BA$205^A96,IF(A96='Données projet'!$A$88,'Données projet'!$B$88,BD95+BC96-BL95)))</f>
        <v>548.65539967999985</v>
      </c>
      <c r="BE96" s="13">
        <f>BD96*VLOOKUP('Données projet'!$B$11,Paramètres!$A$1:$I$89,3,0)*VLOOKUP('Données projet'!$B$11,Paramètres!$A$1:$I$89,5,0)</f>
        <v>256.77072705023988</v>
      </c>
      <c r="BF96" s="13">
        <f t="shared" si="91"/>
        <v>62.033527564831047</v>
      </c>
      <c r="BG96" s="20">
        <f t="shared" si="61"/>
        <v>555.25074345458188</v>
      </c>
      <c r="BH96" s="59">
        <f t="shared" si="62"/>
        <v>848.58407678791514</v>
      </c>
      <c r="BI96" s="59">
        <f ca="1">AVERAGE(OFFSET($BH$3,0,0,'Données projet'!$E$11+1,1))-AVERAGE(OFFSET($H$3,0,0,'Données projet'!$E$11+1,1))</f>
        <v>252.70779718608964</v>
      </c>
      <c r="BJ96" s="59">
        <f t="shared" si="92"/>
        <v>187.86969111712705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87.069659469703979</v>
      </c>
      <c r="BQ96" s="21">
        <f>EXP(-LN(2)/25)*BQ95+(1-EXP(-LN(2)/25))/(LN(2)/25)*Calculateur!BL96*Calculateur!BN96*VLOOKUP('Données projet'!$B$11,Paramètres!$A$1:$I$89,3,0)*0.475*44/12</f>
        <v>18.720103792746897</v>
      </c>
      <c r="BR96" s="21">
        <f>EXP(-LN(2)/2)*BR95+(1-EXP(-LN(2)/2))/(LN(2)/2)*BL96*BO96*VLOOKUP('Données projet'!$B$11,Paramètres!$A$1:$I$89,3,0)*0.475*44/12</f>
        <v>3.136489709102773</v>
      </c>
      <c r="BS96" s="22">
        <f t="shared" si="63"/>
        <v>108.92625297155365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-2.2737367544323206E-13</v>
      </c>
      <c r="BZ96" s="13">
        <f>BY96*VLOOKUP('Données projet'!$B$12,Paramètres!$A$1:$I$89,3,0)*VLOOKUP('Données projet'!$B$12,Paramètres!$A$1:$I$89,5,0)</f>
        <v>-1.3596945791505279E-13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279.86432710889352</v>
      </c>
      <c r="CE96" s="59">
        <f t="shared" si="94"/>
        <v>297.01680128882509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66.009977964080079</v>
      </c>
      <c r="CL96" s="21">
        <f>EXP(-LN(2)/25)*CL95+(1-EXP(-LN(2)/25))/(LN(2)/25)*Calculateur!CG96*Calculateur!CI96*VLOOKUP('Données projet'!$B$12,Paramètres!$A$1:$I$89,3,0)*0.475*44/12</f>
        <v>43.849909771380119</v>
      </c>
      <c r="CM96" s="21">
        <f>EXP(-LN(2)/2)*CM95+(1-EXP(-LN(2)/2))/(LN(2)/2)*CG96*CJ96*VLOOKUP('Données projet'!$B$12,Paramètres!$A$1:$I$89,3,0)*0.475*44/12</f>
        <v>4.6567763829953087E-3</v>
      </c>
      <c r="CN96" s="22">
        <f t="shared" si="66"/>
        <v>109.86454451184321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-12.000000000000284</v>
      </c>
      <c r="CU96" s="17">
        <f>CT96*VLOOKUP('Données projet'!$B$13,Paramètres!$A$1:$I$89,3,0)*VLOOKUP('Données projet'!$B$13,Paramètres!$A$1:$I$89,5,0)</f>
        <v>-9.5472000000002257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314.6300257056194</v>
      </c>
      <c r="CZ96" s="59">
        <f t="shared" si="96"/>
        <v>298.00555477466668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109.84060299119218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109.84060299119218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-12.000000000000284</v>
      </c>
      <c r="DP96" s="17">
        <f>DO96*VLOOKUP('Données projet'!$B$14,Paramètres!$A$1:$I$89,3,0)*VLOOKUP('Données projet'!$B$14,Paramètres!$A$1:$I$89,5,0)</f>
        <v>-9.5472000000002257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314.6300257056194</v>
      </c>
      <c r="DU96" s="59">
        <f t="shared" si="98"/>
        <v>298.00555477466668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109.84060299119218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109.84060299119218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11.546153846153857</v>
      </c>
      <c r="EJ96" s="12">
        <f>IF('Données projet'!$A$192&gt;35,EJ95+EI96-ER95,IF(A96&lt;'Données projet'!$A$192,$EG$205^A96,IF(A96='Données projet'!$A$192,'Données projet'!$B$192,EJ95+EI96-ER95)))</f>
        <v>426.83076923076976</v>
      </c>
      <c r="EK96" s="17">
        <f>EJ96*VLOOKUP('Données projet'!$B$15,Paramètres!$A$1:$I$89,3,0)*VLOOKUP('Données projet'!$B$15,Paramètres!$A$1:$I$89,5,0)</f>
        <v>205.30560000000025</v>
      </c>
      <c r="EL96" s="13">
        <f t="shared" si="99"/>
        <v>50.908395309504677</v>
      </c>
      <c r="EM96" s="20">
        <f t="shared" si="73"/>
        <v>446.23937516405437</v>
      </c>
      <c r="EN96" s="59">
        <f t="shared" si="74"/>
        <v>739.57270849738768</v>
      </c>
      <c r="EO96" s="59">
        <f ca="1">AVERAGE(OFFSET($EN$3,0,0,'Données projet'!$E$15+1,1))-AVERAGE(OFFSET($H$3,0,0,'Données projet'!$E$15+1,1))</f>
        <v>238.83604534181978</v>
      </c>
      <c r="EP96" s="59">
        <f t="shared" si="100"/>
        <v>114.85152559837792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5.6843418860808015E-14</v>
      </c>
      <c r="FF96" s="17">
        <f>FE96*VLOOKUP('Données projet'!$B$16,Paramètres!$A$1:$I$89,3,0)*VLOOKUP('Données projet'!$B$16,Paramètres!$A$1:$I$89,5,0)</f>
        <v>4.6111381379887463E-14</v>
      </c>
      <c r="FG96" s="13">
        <f t="shared" si="101"/>
        <v>7.5804141040779151E-13</v>
      </c>
      <c r="FH96" s="20">
        <f t="shared" si="76"/>
        <v>1.4005661123635408E-12</v>
      </c>
      <c r="FI96" s="59">
        <f t="shared" si="77"/>
        <v>293.33333333333474</v>
      </c>
      <c r="FJ96" s="59">
        <f ca="1">AVERAGE(OFFSET($FI$3,0,0,'Données projet'!$E$16+1,1))-AVERAGE(OFFSET($H$3,0,0,'Données projet'!$E$16+1,1))</f>
        <v>196.95467273423861</v>
      </c>
      <c r="FK96" s="59">
        <f t="shared" si="102"/>
        <v>173.8709326829258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66.220961089131805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0.45524903410634321</v>
      </c>
      <c r="FT96" s="22">
        <f t="shared" si="78"/>
        <v>66.67621012323815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5.6843418860808015E-14</v>
      </c>
      <c r="GA96" s="17">
        <f>FZ96*VLOOKUP('Données projet'!$B$17,Paramètres!$A$1:$I$89,3,0)*VLOOKUP('Données projet'!$B$17,Paramètres!$A$1:$I$89,5,0)</f>
        <v>6.1186256061773749E-14</v>
      </c>
      <c r="GB96" s="13">
        <f t="shared" si="103"/>
        <v>9.7328366192051127E-13</v>
      </c>
      <c r="GC96" s="20">
        <f t="shared" si="79"/>
        <v>1.8017017738191463E-12</v>
      </c>
      <c r="GD96" s="59">
        <f t="shared" si="80"/>
        <v>293.33333333333513</v>
      </c>
      <c r="GE96" s="59">
        <f ca="1">AVERAGE(OFFSET($GD$3,0,0,'Données projet'!$E$17+1,1))-AVERAGE(OFFSET($H$3,0,0,'Données projet'!$E$17+1,1))</f>
        <v>275.5229427552884</v>
      </c>
      <c r="GF96" s="59">
        <f t="shared" si="104"/>
        <v>241.20234081716143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87.870121445194115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0.60408044910264735</v>
      </c>
      <c r="GO96" s="21">
        <f t="shared" si="81"/>
        <v>88.474201894296769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274.57619581652199</v>
      </c>
      <c r="T97" s="59">
        <f t="shared" si="88"/>
        <v>366.15117322598775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 t="e">
        <f>EXP(-LN(2)/35)*Z96+(1-EXP(-LN(2)/35))/(LN(2)/35)*V97*W97*VLOOKUP('Données projet'!$B$9,Paramètres!$A$1:$I$89,3,0)*0.475*44/12</f>
        <v>#VALUE!</v>
      </c>
      <c r="AA97" s="21" t="e">
        <f>EXP(-LN(2)/25)*AA96+(1-EXP(-LN(2)/25))/(LN(2)/25)*Calculateur!V97*Calculateur!X97*VLOOKUP('Données projet'!$B$9,Paramètres!$A$1:$I$89,3,0)*0.475*44/12</f>
        <v>#VALUE!</v>
      </c>
      <c r="AB97" s="21" t="e">
        <f>EXP(-LN(2)/2)*AB96+(1-EXP(-LN(2)/2))/(LN(2)/2)*V97*Y97*VLOOKUP('Données projet'!$B$9,Paramètres!$A$1:$I$89,3,0)*0.475*44/12</f>
        <v>#VALUE!</v>
      </c>
      <c r="AC97" s="22" t="e">
        <f t="shared" si="57"/>
        <v>#VALUE!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175.05987582828078</v>
      </c>
      <c r="AO97" s="59">
        <f t="shared" si="90"/>
        <v>268.54782308462387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85.849883677361106</v>
      </c>
      <c r="AV97" s="21">
        <f>EXP(-LN(2)/25)*AV96+(1-EXP(-LN(2)/25))/(LN(2)/25)*Calculateur!AQ97*Calculateur!AS97*VLOOKUP('Données projet'!$B$10,Paramètres!$A$1:$I$89,3,0)*0.475*44/12</f>
        <v>16.419470336482082</v>
      </c>
      <c r="AW97" s="21">
        <f>EXP(-LN(2)/2)*AW96+(1-EXP(-LN(2)/2))/(LN(2)/2)*AQ97*AT97*VLOOKUP('Données projet'!$B$10,Paramètres!$A$1:$I$89,3,0)*0.475*44/12</f>
        <v>2.1712844294905422E-4</v>
      </c>
      <c r="AX97" s="21">
        <f t="shared" si="60"/>
        <v>102.26957114228614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18.5</v>
      </c>
      <c r="BD97" s="12">
        <f>IF('Données projet'!$A$88&gt;35,BD96+BC97-BL96,IF(A97&lt;'Données projet'!$A$88,$BA$205^A97,IF(A97='Données projet'!$A$88,'Données projet'!$B$88,BD96+BC97-BL96)))</f>
        <v>567.15539967999985</v>
      </c>
      <c r="BE97" s="13">
        <f>BD97*VLOOKUP('Données projet'!$B$11,Paramètres!$A$1:$I$89,3,0)*VLOOKUP('Données projet'!$B$11,Paramètres!$A$1:$I$89,5,0)</f>
        <v>265.42872705023996</v>
      </c>
      <c r="BF97" s="13">
        <f t="shared" si="91"/>
        <v>63.878167779495556</v>
      </c>
      <c r="BG97" s="20">
        <f t="shared" si="61"/>
        <v>573.54284182845595</v>
      </c>
      <c r="BH97" s="59">
        <f t="shared" si="62"/>
        <v>866.87617516178921</v>
      </c>
      <c r="BI97" s="59">
        <f ca="1">AVERAGE(OFFSET($BH$3,0,0,'Données projet'!$E$11+1,1))-AVERAGE(OFFSET($H$3,0,0,'Données projet'!$E$11+1,1))</f>
        <v>252.70779718608964</v>
      </c>
      <c r="BJ97" s="59">
        <f t="shared" si="92"/>
        <v>187.86969111712705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85.36227655475146</v>
      </c>
      <c r="BQ97" s="21">
        <f>EXP(-LN(2)/25)*BQ96+(1-EXP(-LN(2)/25))/(LN(2)/25)*Calculateur!BL97*Calculateur!BN97*VLOOKUP('Données projet'!$B$11,Paramètres!$A$1:$I$89,3,0)*0.475*44/12</f>
        <v>18.208201570086761</v>
      </c>
      <c r="BR97" s="21">
        <f>EXP(-LN(2)/2)*BR96+(1-EXP(-LN(2)/2))/(LN(2)/2)*BL97*BO97*VLOOKUP('Données projet'!$B$11,Paramètres!$A$1:$I$89,3,0)*0.475*44/12</f>
        <v>2.2178331424283928</v>
      </c>
      <c r="BS97" s="22">
        <f t="shared" si="63"/>
        <v>105.78831126726661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-2.2737367544323206E-13</v>
      </c>
      <c r="BZ97" s="13">
        <f>BY97*VLOOKUP('Données projet'!$B$12,Paramètres!$A$1:$I$89,3,0)*VLOOKUP('Données projet'!$B$12,Paramètres!$A$1:$I$89,5,0)</f>
        <v>-1.3596945791505279E-13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279.86432710889352</v>
      </c>
      <c r="CE97" s="59">
        <f t="shared" si="94"/>
        <v>297.01680128882509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64.715562558315469</v>
      </c>
      <c r="CL97" s="21">
        <f>EXP(-LN(2)/25)*CL96+(1-EXP(-LN(2)/25))/(LN(2)/25)*Calculateur!CG97*Calculateur!CI97*VLOOKUP('Données projet'!$B$12,Paramètres!$A$1:$I$89,3,0)*0.475*44/12</f>
        <v>42.650831682715193</v>
      </c>
      <c r="CM97" s="21">
        <f>EXP(-LN(2)/2)*CM96+(1-EXP(-LN(2)/2))/(LN(2)/2)*CG97*CJ97*VLOOKUP('Données projet'!$B$12,Paramètres!$A$1:$I$89,3,0)*0.475*44/12</f>
        <v>3.292838158885346E-3</v>
      </c>
      <c r="CN97" s="22">
        <f t="shared" si="66"/>
        <v>107.36968707918955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-12.000000000000284</v>
      </c>
      <c r="CU97" s="17">
        <f>CT97*VLOOKUP('Données projet'!$B$13,Paramètres!$A$1:$I$89,3,0)*VLOOKUP('Données projet'!$B$13,Paramètres!$A$1:$I$89,5,0)</f>
        <v>-9.5472000000002257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314.6300257056194</v>
      </c>
      <c r="CZ97" s="59">
        <f t="shared" si="96"/>
        <v>298.00555477466668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107.68669576268741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107.68669576268741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-12.000000000000284</v>
      </c>
      <c r="DP97" s="17">
        <f>DO97*VLOOKUP('Données projet'!$B$14,Paramètres!$A$1:$I$89,3,0)*VLOOKUP('Données projet'!$B$14,Paramètres!$A$1:$I$89,5,0)</f>
        <v>-9.5472000000002257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314.6300257056194</v>
      </c>
      <c r="DU97" s="59">
        <f t="shared" si="98"/>
        <v>298.00555477466668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107.68669576268741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107.68669576268741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>
        <f>VLOOKUP(A97,'Données projet'!$A$191:$I$211,2,0)</f>
        <v>438.37692307692305</v>
      </c>
      <c r="EH97" s="12">
        <f>VLOOKUP(A97,'Données projet'!$A$191:$I$211,9,0)</f>
        <v>11.546153846153857</v>
      </c>
      <c r="EI97" s="12">
        <f t="array" ref="EI97">INDEX(EH:EH,MIN(IF(ISNUMBER(EH97:EH293),ROW(EH97:EH293),"")))</f>
        <v>11.546153846153857</v>
      </c>
      <c r="EJ97" s="12">
        <f>IF('Données projet'!$A$192&gt;35,EJ96+EI97-ER96,IF(A97&lt;'Données projet'!$A$192,$EG$205^A97,IF(A97='Données projet'!$A$192,'Données projet'!$B$192,EJ96+EI97-ER96)))</f>
        <v>438.37692307692362</v>
      </c>
      <c r="EK97" s="17">
        <f>EJ97*VLOOKUP('Données projet'!$B$15,Paramètres!$A$1:$I$89,3,0)*VLOOKUP('Données projet'!$B$15,Paramètres!$A$1:$I$89,5,0)</f>
        <v>210.85930000000027</v>
      </c>
      <c r="EL97" s="13">
        <f t="shared" si="99"/>
        <v>52.123319716646925</v>
      </c>
      <c r="EM97" s="20">
        <f t="shared" si="73"/>
        <v>458.02806267316049</v>
      </c>
      <c r="EN97" s="59">
        <f t="shared" si="74"/>
        <v>751.36139600649381</v>
      </c>
      <c r="EO97" s="59">
        <f ca="1">AVERAGE(OFFSET($EN$3,0,0,'Données projet'!$E$15+1,1))-AVERAGE(OFFSET($H$3,0,0,'Données projet'!$E$15+1,1))</f>
        <v>238.83604534181978</v>
      </c>
      <c r="EP97" s="59">
        <f t="shared" si="100"/>
        <v>114.85152559837792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5.6843418860808015E-14</v>
      </c>
      <c r="FF97" s="17">
        <f>FE97*VLOOKUP('Données projet'!$B$16,Paramètres!$A$1:$I$89,3,0)*VLOOKUP('Données projet'!$B$16,Paramètres!$A$1:$I$89,5,0)</f>
        <v>4.6111381379887463E-14</v>
      </c>
      <c r="FG97" s="13">
        <f t="shared" si="101"/>
        <v>7.5804141040779151E-13</v>
      </c>
      <c r="FH97" s="20">
        <f t="shared" si="76"/>
        <v>1.4005661123635408E-12</v>
      </c>
      <c r="FI97" s="59">
        <f t="shared" si="77"/>
        <v>293.33333333333474</v>
      </c>
      <c r="FJ97" s="59">
        <f ca="1">AVERAGE(OFFSET($FI$3,0,0,'Données projet'!$E$16+1,1))-AVERAGE(OFFSET($H$3,0,0,'Données projet'!$E$16+1,1))</f>
        <v>196.95467273423861</v>
      </c>
      <c r="FK97" s="59">
        <f t="shared" si="102"/>
        <v>173.8709326829258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64.922408432971935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0.32190967914522117</v>
      </c>
      <c r="FT97" s="22">
        <f t="shared" si="78"/>
        <v>65.244318112117156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5.6843418860808015E-14</v>
      </c>
      <c r="GA97" s="17">
        <f>FZ97*VLOOKUP('Données projet'!$B$17,Paramètres!$A$1:$I$89,3,0)*VLOOKUP('Données projet'!$B$17,Paramètres!$A$1:$I$89,5,0)</f>
        <v>6.1186256061773749E-14</v>
      </c>
      <c r="GB97" s="13">
        <f t="shared" si="103"/>
        <v>9.7328366192051127E-13</v>
      </c>
      <c r="GC97" s="20">
        <f t="shared" si="79"/>
        <v>1.8017017738191463E-12</v>
      </c>
      <c r="GD97" s="59">
        <f t="shared" si="80"/>
        <v>293.33333333333513</v>
      </c>
      <c r="GE97" s="59">
        <f ca="1">AVERAGE(OFFSET($GD$3,0,0,'Données projet'!$E$17+1,1))-AVERAGE(OFFSET($H$3,0,0,'Données projet'!$E$17+1,1))</f>
        <v>275.5229427552884</v>
      </c>
      <c r="GF97" s="59">
        <f t="shared" si="104"/>
        <v>241.20234081716143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86.147041959135819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0.42714938194269703</v>
      </c>
      <c r="GO97" s="21">
        <f t="shared" si="81"/>
        <v>86.574191341078517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274.57619581652199</v>
      </c>
      <c r="T98" s="59">
        <f t="shared" si="88"/>
        <v>366.15117322598775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 t="e">
        <f>EXP(-LN(2)/35)*Z97+(1-EXP(-LN(2)/35))/(LN(2)/35)*V98*W98*VLOOKUP('Données projet'!$B$9,Paramètres!$A$1:$I$89,3,0)*0.475*44/12</f>
        <v>#VALUE!</v>
      </c>
      <c r="AA98" s="21" t="e">
        <f>EXP(-LN(2)/25)*AA97+(1-EXP(-LN(2)/25))/(LN(2)/25)*Calculateur!V98*Calculateur!X98*VLOOKUP('Données projet'!$B$9,Paramètres!$A$1:$I$89,3,0)*0.475*44/12</f>
        <v>#VALUE!</v>
      </c>
      <c r="AB98" s="21" t="e">
        <f>EXP(-LN(2)/2)*AB97+(1-EXP(-LN(2)/2))/(LN(2)/2)*V98*Y98*VLOOKUP('Données projet'!$B$9,Paramètres!$A$1:$I$89,3,0)*0.475*44/12</f>
        <v>#VALUE!</v>
      </c>
      <c r="AC98" s="22" t="e">
        <f t="shared" si="57"/>
        <v>#VALUE!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175.05987582828078</v>
      </c>
      <c r="AO98" s="59">
        <f t="shared" si="90"/>
        <v>268.54782308462387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84.166419821706654</v>
      </c>
      <c r="AV98" s="21">
        <f>EXP(-LN(2)/25)*AV97+(1-EXP(-LN(2)/25))/(LN(2)/25)*Calculateur!AQ98*Calculateur!AS98*VLOOKUP('Données projet'!$B$10,Paramètres!$A$1:$I$89,3,0)*0.475*44/12</f>
        <v>15.970479056668561</v>
      </c>
      <c r="AW98" s="21">
        <f>EXP(-LN(2)/2)*AW97+(1-EXP(-LN(2)/2))/(LN(2)/2)*AQ98*AT98*VLOOKUP('Données projet'!$B$10,Paramètres!$A$1:$I$89,3,0)*0.475*44/12</f>
        <v>1.5353299439775265E-4</v>
      </c>
      <c r="AX98" s="21">
        <f t="shared" si="60"/>
        <v>100.13705241136962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18.5</v>
      </c>
      <c r="BD98" s="12">
        <f>IF('Données projet'!$A$88&gt;35,BD97+BC98-BL97,IF(A98&lt;'Données projet'!$A$88,$BA$205^A98,IF(A98='Données projet'!$A$88,'Données projet'!$B$88,BD97+BC98-BL97)))</f>
        <v>585.65539967999985</v>
      </c>
      <c r="BE98" s="13">
        <f>BD98*VLOOKUP('Données projet'!$B$11,Paramètres!$A$1:$I$89,3,0)*VLOOKUP('Données projet'!$B$11,Paramètres!$A$1:$I$89,5,0)</f>
        <v>274.08672705023992</v>
      </c>
      <c r="BF98" s="13">
        <f t="shared" si="91"/>
        <v>65.715816154384129</v>
      </c>
      <c r="BG98" s="20">
        <f t="shared" si="61"/>
        <v>591.82276274805349</v>
      </c>
      <c r="BH98" s="59">
        <f t="shared" si="62"/>
        <v>885.15609608138675</v>
      </c>
      <c r="BI98" s="59">
        <f ca="1">AVERAGE(OFFSET($BH$3,0,0,'Données projet'!$E$11+1,1))-AVERAGE(OFFSET($H$3,0,0,'Données projet'!$E$11+1,1))</f>
        <v>252.70779718608964</v>
      </c>
      <c r="BJ98" s="59">
        <f t="shared" si="92"/>
        <v>187.86969111712705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83.688374377360404</v>
      </c>
      <c r="BQ98" s="21">
        <f>EXP(-LN(2)/25)*BQ97+(1-EXP(-LN(2)/25))/(LN(2)/25)*Calculateur!BL98*Calculateur!BN98*VLOOKUP('Données projet'!$B$11,Paramètres!$A$1:$I$89,3,0)*0.475*44/12</f>
        <v>17.710297340625033</v>
      </c>
      <c r="BR98" s="21">
        <f>EXP(-LN(2)/2)*BR97+(1-EXP(-LN(2)/2))/(LN(2)/2)*BL98*BO98*VLOOKUP('Données projet'!$B$11,Paramètres!$A$1:$I$89,3,0)*0.475*44/12</f>
        <v>1.5682448545513867</v>
      </c>
      <c r="BS98" s="22">
        <f t="shared" si="63"/>
        <v>102.96691657253682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-2.2737367544323206E-13</v>
      </c>
      <c r="BZ98" s="13">
        <f>BY98*VLOOKUP('Données projet'!$B$12,Paramètres!$A$1:$I$89,3,0)*VLOOKUP('Données projet'!$B$12,Paramètres!$A$1:$I$89,5,0)</f>
        <v>-1.3596945791505279E-13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279.86432710889352</v>
      </c>
      <c r="CE98" s="59">
        <f t="shared" si="94"/>
        <v>297.01680128882509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63.446529849142465</v>
      </c>
      <c r="CL98" s="21">
        <f>EXP(-LN(2)/25)*CL97+(1-EXP(-LN(2)/25))/(LN(2)/25)*Calculateur!CG98*Calculateur!CI98*VLOOKUP('Données projet'!$B$12,Paramètres!$A$1:$I$89,3,0)*0.475*44/12</f>
        <v>41.484542447441591</v>
      </c>
      <c r="CM98" s="21">
        <f>EXP(-LN(2)/2)*CM97+(1-EXP(-LN(2)/2))/(LN(2)/2)*CG98*CJ98*VLOOKUP('Données projet'!$B$12,Paramètres!$A$1:$I$89,3,0)*0.475*44/12</f>
        <v>2.3283881914976544E-3</v>
      </c>
      <c r="CN98" s="22">
        <f t="shared" si="66"/>
        <v>104.93340068477556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-12.000000000000284</v>
      </c>
      <c r="CU98" s="17">
        <f>CT98*VLOOKUP('Données projet'!$B$13,Paramètres!$A$1:$I$89,3,0)*VLOOKUP('Données projet'!$B$13,Paramètres!$A$1:$I$89,5,0)</f>
        <v>-9.5472000000002257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314.6300257056194</v>
      </c>
      <c r="CZ98" s="59">
        <f t="shared" si="96"/>
        <v>298.00555477466668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105.57502534117992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105.57502534117992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-12.000000000000284</v>
      </c>
      <c r="DP98" s="17">
        <f>DO98*VLOOKUP('Données projet'!$B$14,Paramètres!$A$1:$I$89,3,0)*VLOOKUP('Données projet'!$B$14,Paramètres!$A$1:$I$89,5,0)</f>
        <v>-9.5472000000002257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314.6300257056194</v>
      </c>
      <c r="DU98" s="59">
        <f t="shared" si="98"/>
        <v>298.00555477466668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105.57502534117992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105.57502534117992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11.223076923076928</v>
      </c>
      <c r="EJ98" s="12">
        <f>IF('Données projet'!$A$192&gt;35,EJ97+EI98-ER97,IF(A98&lt;'Données projet'!$A$192,$EG$205^A98,IF(A98='Données projet'!$A$192,'Données projet'!$B$192,EJ97+EI98-ER97)))</f>
        <v>449.60000000000053</v>
      </c>
      <c r="EK98" s="17">
        <f>EJ98*VLOOKUP('Données projet'!$B$15,Paramètres!$A$1:$I$89,3,0)*VLOOKUP('Données projet'!$B$15,Paramètres!$A$1:$I$89,5,0)</f>
        <v>216.25760000000028</v>
      </c>
      <c r="EL98" s="13">
        <f t="shared" si="99"/>
        <v>53.30068314034375</v>
      </c>
      <c r="EM98" s="20">
        <f t="shared" si="73"/>
        <v>469.48067646943247</v>
      </c>
      <c r="EN98" s="59">
        <f t="shared" si="74"/>
        <v>762.81400980276578</v>
      </c>
      <c r="EO98" s="59">
        <f ca="1">AVERAGE(OFFSET($EN$3,0,0,'Données projet'!$E$15+1,1))-AVERAGE(OFFSET($H$3,0,0,'Données projet'!$E$15+1,1))</f>
        <v>238.83604534181978</v>
      </c>
      <c r="EP98" s="59">
        <f t="shared" si="100"/>
        <v>114.85152559837792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5.6843418860808015E-14</v>
      </c>
      <c r="FF98" s="17">
        <f>FE98*VLOOKUP('Données projet'!$B$16,Paramètres!$A$1:$I$89,3,0)*VLOOKUP('Données projet'!$B$16,Paramètres!$A$1:$I$89,5,0)</f>
        <v>4.6111381379887463E-14</v>
      </c>
      <c r="FG98" s="13">
        <f t="shared" si="101"/>
        <v>7.5804141040779151E-13</v>
      </c>
      <c r="FH98" s="20">
        <f t="shared" si="76"/>
        <v>1.4005661123635408E-12</v>
      </c>
      <c r="FI98" s="59">
        <f t="shared" si="77"/>
        <v>293.33333333333474</v>
      </c>
      <c r="FJ98" s="59">
        <f ca="1">AVERAGE(OFFSET($FI$3,0,0,'Données projet'!$E$16+1,1))-AVERAGE(OFFSET($H$3,0,0,'Données projet'!$E$16+1,1))</f>
        <v>196.95467273423861</v>
      </c>
      <c r="FK98" s="59">
        <f t="shared" si="102"/>
        <v>173.8709326829258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63.64931960236045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0.22762451705317163</v>
      </c>
      <c r="FT98" s="22">
        <f t="shared" si="78"/>
        <v>63.876944119413622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5.6843418860808015E-14</v>
      </c>
      <c r="GA98" s="17">
        <f>FZ98*VLOOKUP('Données projet'!$B$17,Paramètres!$A$1:$I$89,3,0)*VLOOKUP('Données projet'!$B$17,Paramètres!$A$1:$I$89,5,0)</f>
        <v>6.1186256061773749E-14</v>
      </c>
      <c r="GB98" s="13">
        <f t="shared" si="103"/>
        <v>9.7328366192051127E-13</v>
      </c>
      <c r="GC98" s="20">
        <f t="shared" si="79"/>
        <v>1.8017017738191463E-12</v>
      </c>
      <c r="GD98" s="59">
        <f t="shared" si="80"/>
        <v>293.33333333333513</v>
      </c>
      <c r="GE98" s="59">
        <f ca="1">AVERAGE(OFFSET($GD$3,0,0,'Données projet'!$E$17+1,1))-AVERAGE(OFFSET($H$3,0,0,'Données projet'!$E$17+1,1))</f>
        <v>275.5229427552884</v>
      </c>
      <c r="GF98" s="59">
        <f t="shared" si="104"/>
        <v>241.20234081716143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84.457751010824424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0.30204022455132368</v>
      </c>
      <c r="GO98" s="21">
        <f t="shared" si="81"/>
        <v>84.759791235375744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274.57619581652199</v>
      </c>
      <c r="T99" s="59">
        <f t="shared" si="88"/>
        <v>366.15117322598775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 t="e">
        <f>EXP(-LN(2)/35)*Z98+(1-EXP(-LN(2)/35))/(LN(2)/35)*V99*W99*VLOOKUP('Données projet'!$B$9,Paramètres!$A$1:$I$89,3,0)*0.475*44/12</f>
        <v>#VALUE!</v>
      </c>
      <c r="AA99" s="21" t="e">
        <f>EXP(-LN(2)/25)*AA98+(1-EXP(-LN(2)/25))/(LN(2)/25)*Calculateur!V99*Calculateur!X99*VLOOKUP('Données projet'!$B$9,Paramètres!$A$1:$I$89,3,0)*0.475*44/12</f>
        <v>#VALUE!</v>
      </c>
      <c r="AB99" s="21" t="e">
        <f>EXP(-LN(2)/2)*AB98+(1-EXP(-LN(2)/2))/(LN(2)/2)*V99*Y99*VLOOKUP('Données projet'!$B$9,Paramètres!$A$1:$I$89,3,0)*0.475*44/12</f>
        <v>#VALUE!</v>
      </c>
      <c r="AC99" s="22" t="e">
        <f t="shared" si="57"/>
        <v>#VALUE!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175.05987582828078</v>
      </c>
      <c r="AO99" s="59">
        <f t="shared" si="90"/>
        <v>268.54782308462387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82.51596766545002</v>
      </c>
      <c r="AV99" s="21">
        <f>EXP(-LN(2)/25)*AV98+(1-EXP(-LN(2)/25))/(LN(2)/25)*Calculateur!AQ99*Calculateur!AS99*VLOOKUP('Données projet'!$B$10,Paramètres!$A$1:$I$89,3,0)*0.475*44/12</f>
        <v>15.533765467012966</v>
      </c>
      <c r="AW99" s="21">
        <f>EXP(-LN(2)/2)*AW98+(1-EXP(-LN(2)/2))/(LN(2)/2)*AQ99*AT99*VLOOKUP('Données projet'!$B$10,Paramètres!$A$1:$I$89,3,0)*0.475*44/12</f>
        <v>1.0856422147452711E-4</v>
      </c>
      <c r="AX99" s="21">
        <f t="shared" si="60"/>
        <v>98.049841696684467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18.5</v>
      </c>
      <c r="BD99" s="12">
        <f>IF('Données projet'!$A$88&gt;35,BD98+BC99-BL98,IF(A99&lt;'Données projet'!$A$88,$BA$205^A99,IF(A99='Données projet'!$A$88,'Données projet'!$B$88,BD98+BC99-BL98)))</f>
        <v>604.15539967999985</v>
      </c>
      <c r="BE99" s="13">
        <f>BD99*VLOOKUP('Données projet'!$B$11,Paramètres!$A$1:$I$89,3,0)*VLOOKUP('Données projet'!$B$11,Paramètres!$A$1:$I$89,5,0)</f>
        <v>282.74472705023993</v>
      </c>
      <c r="BF99" s="13">
        <f t="shared" si="91"/>
        <v>67.546718890199884</v>
      </c>
      <c r="BG99" s="20">
        <f t="shared" si="61"/>
        <v>610.09093501293262</v>
      </c>
      <c r="BH99" s="59">
        <f t="shared" si="62"/>
        <v>903.42426834626599</v>
      </c>
      <c r="BI99" s="59">
        <f ca="1">AVERAGE(OFFSET($BH$3,0,0,'Données projet'!$E$11+1,1))-AVERAGE(OFFSET($H$3,0,0,'Données projet'!$E$11+1,1))</f>
        <v>252.70779718608964</v>
      </c>
      <c r="BJ99" s="59">
        <f t="shared" si="92"/>
        <v>187.86969111712705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82.047296400688481</v>
      </c>
      <c r="BQ99" s="21">
        <f>EXP(-LN(2)/25)*BQ98+(1-EXP(-LN(2)/25))/(LN(2)/25)*Calculateur!BL99*Calculateur!BN99*VLOOKUP('Données projet'!$B$11,Paramètres!$A$1:$I$89,3,0)*0.475*44/12</f>
        <v>17.226008328501582</v>
      </c>
      <c r="BR99" s="21">
        <f>EXP(-LN(2)/2)*BR98+(1-EXP(-LN(2)/2))/(LN(2)/2)*BL99*BO99*VLOOKUP('Données projet'!$B$11,Paramètres!$A$1:$I$89,3,0)*0.475*44/12</f>
        <v>1.1089165712141966</v>
      </c>
      <c r="BS99" s="22">
        <f t="shared" si="63"/>
        <v>100.38222130040425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-2.2737367544323206E-13</v>
      </c>
      <c r="BZ99" s="13">
        <f>BY99*VLOOKUP('Données projet'!$B$12,Paramètres!$A$1:$I$89,3,0)*VLOOKUP('Données projet'!$B$12,Paramètres!$A$1:$I$89,5,0)</f>
        <v>-1.3596945791505279E-13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279.86432710889352</v>
      </c>
      <c r="CE99" s="59">
        <f t="shared" si="94"/>
        <v>297.01680128882509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62.202382097362822</v>
      </c>
      <c r="CL99" s="21">
        <f>EXP(-LN(2)/25)*CL98+(1-EXP(-LN(2)/25))/(LN(2)/25)*Calculateur!CG99*Calculateur!CI99*VLOOKUP('Données projet'!$B$12,Paramètres!$A$1:$I$89,3,0)*0.475*44/12</f>
        <v>40.350145452639026</v>
      </c>
      <c r="CM99" s="21">
        <f>EXP(-LN(2)/2)*CM98+(1-EXP(-LN(2)/2))/(LN(2)/2)*CG99*CJ99*VLOOKUP('Données projet'!$B$12,Paramètres!$A$1:$I$89,3,0)*0.475*44/12</f>
        <v>1.646419079442673E-3</v>
      </c>
      <c r="CN99" s="22">
        <f t="shared" si="66"/>
        <v>102.5541739690813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-12.000000000000284</v>
      </c>
      <c r="CU99" s="17">
        <f>CT99*VLOOKUP('Données projet'!$B$13,Paramètres!$A$1:$I$89,3,0)*VLOOKUP('Données projet'!$B$13,Paramètres!$A$1:$I$89,5,0)</f>
        <v>-9.5472000000002257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314.6300257056194</v>
      </c>
      <c r="CZ99" s="59">
        <f t="shared" si="96"/>
        <v>298.00555477466668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103.50476348864642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103.50476348864642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-12.000000000000284</v>
      </c>
      <c r="DP99" s="17">
        <f>DO99*VLOOKUP('Données projet'!$B$14,Paramètres!$A$1:$I$89,3,0)*VLOOKUP('Données projet'!$B$14,Paramètres!$A$1:$I$89,5,0)</f>
        <v>-9.5472000000002257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314.6300257056194</v>
      </c>
      <c r="DU99" s="59">
        <f t="shared" si="98"/>
        <v>298.00555477466668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103.50476348864642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103.50476348864642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11.223076923076928</v>
      </c>
      <c r="EJ99" s="12">
        <f>IF('Données projet'!$A$192&gt;35,EJ98+EI99-ER98,IF(A99&lt;'Données projet'!$A$192,$EG$205^A99,IF(A99='Données projet'!$A$192,'Données projet'!$B$192,EJ98+EI99-ER98)))</f>
        <v>460.82307692307745</v>
      </c>
      <c r="EK99" s="17">
        <f>EJ99*VLOOKUP('Données projet'!$B$15,Paramètres!$A$1:$I$89,3,0)*VLOOKUP('Données projet'!$B$15,Paramètres!$A$1:$I$89,5,0)</f>
        <v>221.65590000000026</v>
      </c>
      <c r="EL99" s="13">
        <f t="shared" si="99"/>
        <v>54.474630185138487</v>
      </c>
      <c r="EM99" s="20">
        <f t="shared" si="73"/>
        <v>480.92734007244991</v>
      </c>
      <c r="EN99" s="59">
        <f t="shared" si="74"/>
        <v>774.26067340578322</v>
      </c>
      <c r="EO99" s="59">
        <f ca="1">AVERAGE(OFFSET($EN$3,0,0,'Données projet'!$E$15+1,1))-AVERAGE(OFFSET($H$3,0,0,'Données projet'!$E$15+1,1))</f>
        <v>238.83604534181978</v>
      </c>
      <c r="EP99" s="59">
        <f t="shared" si="100"/>
        <v>114.85152559837792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5.6843418860808015E-14</v>
      </c>
      <c r="FF99" s="17">
        <f>FE99*VLOOKUP('Données projet'!$B$16,Paramètres!$A$1:$I$89,3,0)*VLOOKUP('Données projet'!$B$16,Paramètres!$A$1:$I$89,5,0)</f>
        <v>4.6111381379887463E-14</v>
      </c>
      <c r="FG99" s="13">
        <f t="shared" si="101"/>
        <v>7.5804141040779151E-13</v>
      </c>
      <c r="FH99" s="20">
        <f t="shared" si="76"/>
        <v>1.4005661123635408E-12</v>
      </c>
      <c r="FI99" s="59">
        <f t="shared" si="77"/>
        <v>293.33333333333474</v>
      </c>
      <c r="FJ99" s="59">
        <f ca="1">AVERAGE(OFFSET($FI$3,0,0,'Données projet'!$E$16+1,1))-AVERAGE(OFFSET($H$3,0,0,'Données projet'!$E$16+1,1))</f>
        <v>196.95467273423861</v>
      </c>
      <c r="FK99" s="59">
        <f t="shared" si="102"/>
        <v>173.8709326829258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62.401195267209737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0.16095483957261059</v>
      </c>
      <c r="FT99" s="22">
        <f t="shared" si="78"/>
        <v>62.562150106782347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5.6843418860808015E-14</v>
      </c>
      <c r="GA99" s="17">
        <f>FZ99*VLOOKUP('Données projet'!$B$17,Paramètres!$A$1:$I$89,3,0)*VLOOKUP('Données projet'!$B$17,Paramètres!$A$1:$I$89,5,0)</f>
        <v>6.1186256061773749E-14</v>
      </c>
      <c r="GB99" s="13">
        <f t="shared" si="103"/>
        <v>9.7328366192051127E-13</v>
      </c>
      <c r="GC99" s="20">
        <f t="shared" si="79"/>
        <v>1.8017017738191463E-12</v>
      </c>
      <c r="GD99" s="59">
        <f t="shared" si="80"/>
        <v>293.33333333333513</v>
      </c>
      <c r="GE99" s="59">
        <f ca="1">AVERAGE(OFFSET($GD$3,0,0,'Données projet'!$E$17+1,1))-AVERAGE(OFFSET($H$3,0,0,'Données projet'!$E$17+1,1))</f>
        <v>275.5229427552884</v>
      </c>
      <c r="GF99" s="59">
        <f t="shared" si="104"/>
        <v>241.20234081716143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82.80158602764368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0.21357469097134851</v>
      </c>
      <c r="GO99" s="21">
        <f t="shared" si="81"/>
        <v>83.015160718615022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274.57619581652199</v>
      </c>
      <c r="T100" s="59">
        <f t="shared" si="88"/>
        <v>366.15117322598775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 t="e">
        <f>EXP(-LN(2)/35)*Z99+(1-EXP(-LN(2)/35))/(LN(2)/35)*V100*W100*VLOOKUP('Données projet'!$B$9,Paramètres!$A$1:$I$89,3,0)*0.475*44/12</f>
        <v>#VALUE!</v>
      </c>
      <c r="AA100" s="21" t="e">
        <f>EXP(-LN(2)/25)*AA99+(1-EXP(-LN(2)/25))/(LN(2)/25)*Calculateur!V100*Calculateur!X100*VLOOKUP('Données projet'!$B$9,Paramètres!$A$1:$I$89,3,0)*0.475*44/12</f>
        <v>#VALUE!</v>
      </c>
      <c r="AB100" s="21" t="e">
        <f>EXP(-LN(2)/2)*AB99+(1-EXP(-LN(2)/2))/(LN(2)/2)*V100*Y100*VLOOKUP('Données projet'!$B$9,Paramètres!$A$1:$I$89,3,0)*0.475*44/12</f>
        <v>#VALUE!</v>
      </c>
      <c r="AC100" s="22" t="e">
        <f t="shared" si="57"/>
        <v>#VALUE!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175.05987582828078</v>
      </c>
      <c r="AO100" s="59">
        <f t="shared" si="90"/>
        <v>268.54782308462387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80.897879869301164</v>
      </c>
      <c r="AV100" s="21">
        <f>EXP(-LN(2)/25)*AV99+(1-EXP(-LN(2)/25))/(LN(2)/25)*Calculateur!AQ100*Calculateur!AS100*VLOOKUP('Données projet'!$B$10,Paramètres!$A$1:$I$89,3,0)*0.475*44/12</f>
        <v>15.108993833432274</v>
      </c>
      <c r="AW100" s="21">
        <f>EXP(-LN(2)/2)*AW99+(1-EXP(-LN(2)/2))/(LN(2)/2)*AQ100*AT100*VLOOKUP('Données projet'!$B$10,Paramètres!$A$1:$I$89,3,0)*0.475*44/12</f>
        <v>7.6766497198876325E-5</v>
      </c>
      <c r="AX100" s="21">
        <f t="shared" si="60"/>
        <v>96.006950469230645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18.5</v>
      </c>
      <c r="BD100" s="12">
        <f>IF('Données projet'!$A$88&gt;35,BD99+BC100-BL99,IF(A100&lt;'Données projet'!$A$88,$BA$205^A100,IF(A100='Données projet'!$A$88,'Données projet'!$B$88,BD99+BC100-BL99)))</f>
        <v>622.65539967999985</v>
      </c>
      <c r="BE100" s="13">
        <f>BD100*VLOOKUP('Données projet'!$B$11,Paramètres!$A$1:$I$89,3,0)*VLOOKUP('Données projet'!$B$11,Paramètres!$A$1:$I$89,5,0)</f>
        <v>291.40272705023995</v>
      </c>
      <c r="BF100" s="13">
        <f t="shared" si="91"/>
        <v>69.371106253007881</v>
      </c>
      <c r="BG100" s="20">
        <f t="shared" si="61"/>
        <v>628.3477596698234</v>
      </c>
      <c r="BH100" s="59">
        <f t="shared" si="62"/>
        <v>921.68109300315678</v>
      </c>
      <c r="BI100" s="59">
        <f ca="1">AVERAGE(OFFSET($BH$3,0,0,'Données projet'!$E$11+1,1))-AVERAGE(OFFSET($H$3,0,0,'Données projet'!$E$11+1,1))</f>
        <v>252.70779718608964</v>
      </c>
      <c r="BJ100" s="59">
        <f t="shared" si="92"/>
        <v>187.86969111712705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80.438398962180358</v>
      </c>
      <c r="BQ100" s="21">
        <f>EXP(-LN(2)/25)*BQ99+(1-EXP(-LN(2)/25))/(LN(2)/25)*Calculateur!BL100*Calculateur!BN100*VLOOKUP('Données projet'!$B$11,Paramètres!$A$1:$I$89,3,0)*0.475*44/12</f>
        <v>16.754962224882298</v>
      </c>
      <c r="BR100" s="21">
        <f>EXP(-LN(2)/2)*BR99+(1-EXP(-LN(2)/2))/(LN(2)/2)*BL100*BO100*VLOOKUP('Données projet'!$B$11,Paramètres!$A$1:$I$89,3,0)*0.475*44/12</f>
        <v>0.78412242727569348</v>
      </c>
      <c r="BS100" s="22">
        <f t="shared" si="63"/>
        <v>97.977483614338354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-2.2737367544323206E-13</v>
      </c>
      <c r="BZ100" s="13">
        <f>BY100*VLOOKUP('Données projet'!$B$12,Paramètres!$A$1:$I$89,3,0)*VLOOKUP('Données projet'!$B$12,Paramètres!$A$1:$I$89,5,0)</f>
        <v>-1.3596945791505279E-13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279.86432710889352</v>
      </c>
      <c r="CE100" s="59">
        <f t="shared" si="94"/>
        <v>297.01680128882509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60.982631324140378</v>
      </c>
      <c r="CL100" s="21">
        <f>EXP(-LN(2)/25)*CL99+(1-EXP(-LN(2)/25))/(LN(2)/25)*Calculateur!CG100*Calculateur!CI100*VLOOKUP('Données projet'!$B$12,Paramètres!$A$1:$I$89,3,0)*0.475*44/12</f>
        <v>39.246768603314685</v>
      </c>
      <c r="CM100" s="21">
        <f>EXP(-LN(2)/2)*CM99+(1-EXP(-LN(2)/2))/(LN(2)/2)*CG100*CJ100*VLOOKUP('Données projet'!$B$12,Paramètres!$A$1:$I$89,3,0)*0.475*44/12</f>
        <v>1.1641940957488272E-3</v>
      </c>
      <c r="CN100" s="22">
        <f t="shared" si="66"/>
        <v>100.23056412155081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-12.000000000000284</v>
      </c>
      <c r="CU100" s="17">
        <f>CT100*VLOOKUP('Données projet'!$B$13,Paramètres!$A$1:$I$89,3,0)*VLOOKUP('Données projet'!$B$13,Paramètres!$A$1:$I$89,5,0)</f>
        <v>-9.5472000000002257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314.6300257056194</v>
      </c>
      <c r="CZ100" s="59">
        <f t="shared" si="96"/>
        <v>298.00555477466668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101.47509820830605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101.47509820830605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-12.000000000000284</v>
      </c>
      <c r="DP100" s="17">
        <f>DO100*VLOOKUP('Données projet'!$B$14,Paramètres!$A$1:$I$89,3,0)*VLOOKUP('Données projet'!$B$14,Paramètres!$A$1:$I$89,5,0)</f>
        <v>-9.5472000000002257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314.6300257056194</v>
      </c>
      <c r="DU100" s="59">
        <f t="shared" si="98"/>
        <v>298.00555477466668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101.47509820830605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101.47509820830605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11.223076923076928</v>
      </c>
      <c r="EJ100" s="12">
        <f>IF('Données projet'!$A$192&gt;35,EJ99+EI100-ER99,IF(A100&lt;'Données projet'!$A$192,$EG$205^A100,IF(A100='Données projet'!$A$192,'Données projet'!$B$192,EJ99+EI100-ER99)))</f>
        <v>472.04615384615437</v>
      </c>
      <c r="EK100" s="17">
        <f>EJ100*VLOOKUP('Données projet'!$B$15,Paramètres!$A$1:$I$89,3,0)*VLOOKUP('Données projet'!$B$15,Paramètres!$A$1:$I$89,5,0)</f>
        <v>227.05420000000026</v>
      </c>
      <c r="EL100" s="13">
        <f t="shared" si="99"/>
        <v>55.645253626889428</v>
      </c>
      <c r="EM100" s="20">
        <f t="shared" si="73"/>
        <v>492.36821506683287</v>
      </c>
      <c r="EN100" s="59">
        <f t="shared" si="74"/>
        <v>785.70154840016619</v>
      </c>
      <c r="EO100" s="59">
        <f ca="1">AVERAGE(OFFSET($EN$3,0,0,'Données projet'!$E$15+1,1))-AVERAGE(OFFSET($H$3,0,0,'Données projet'!$E$15+1,1))</f>
        <v>238.83604534181978</v>
      </c>
      <c r="EP100" s="59">
        <f t="shared" si="100"/>
        <v>114.85152559837792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5.6843418860808015E-14</v>
      </c>
      <c r="FF100" s="17">
        <f>FE100*VLOOKUP('Données projet'!$B$16,Paramètres!$A$1:$I$89,3,0)*VLOOKUP('Données projet'!$B$16,Paramètres!$A$1:$I$89,5,0)</f>
        <v>4.6111381379887463E-14</v>
      </c>
      <c r="FG100" s="13">
        <f t="shared" si="101"/>
        <v>7.5804141040779151E-13</v>
      </c>
      <c r="FH100" s="20">
        <f t="shared" si="76"/>
        <v>1.4005661123635408E-12</v>
      </c>
      <c r="FI100" s="59">
        <f t="shared" si="77"/>
        <v>293.33333333333474</v>
      </c>
      <c r="FJ100" s="59">
        <f ca="1">AVERAGE(OFFSET($FI$3,0,0,'Données projet'!$E$16+1,1))-AVERAGE(OFFSET($H$3,0,0,'Données projet'!$E$16+1,1))</f>
        <v>196.95467273423861</v>
      </c>
      <c r="FK100" s="59">
        <f t="shared" si="102"/>
        <v>173.8709326829258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61.177545888990657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0.11381225852658582</v>
      </c>
      <c r="FT100" s="22">
        <f t="shared" si="78"/>
        <v>61.291358147517244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5.6843418860808015E-14</v>
      </c>
      <c r="GA100" s="17">
        <f>FZ100*VLOOKUP('Données projet'!$B$17,Paramètres!$A$1:$I$89,3,0)*VLOOKUP('Données projet'!$B$17,Paramètres!$A$1:$I$89,5,0)</f>
        <v>6.1186256061773749E-14</v>
      </c>
      <c r="GB100" s="13">
        <f t="shared" si="103"/>
        <v>9.7328366192051127E-13</v>
      </c>
      <c r="GC100" s="20">
        <f t="shared" si="79"/>
        <v>1.8017017738191463E-12</v>
      </c>
      <c r="GD100" s="59">
        <f t="shared" si="80"/>
        <v>293.33333333333513</v>
      </c>
      <c r="GE100" s="59">
        <f ca="1">AVERAGE(OFFSET($GD$3,0,0,'Données projet'!$E$17+1,1))-AVERAGE(OFFSET($H$3,0,0,'Données projet'!$E$17+1,1))</f>
        <v>275.5229427552884</v>
      </c>
      <c r="GF100" s="59">
        <f t="shared" si="104"/>
        <v>241.20234081716143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81.177897429622206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0.15102011227566184</v>
      </c>
      <c r="GO100" s="21">
        <f t="shared" si="81"/>
        <v>81.328917541897866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274.57619581652199</v>
      </c>
      <c r="T101" s="59">
        <f t="shared" si="88"/>
        <v>366.15117322598775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 t="e">
        <f>EXP(-LN(2)/35)*Z100+(1-EXP(-LN(2)/35))/(LN(2)/35)*V101*W101*VLOOKUP('Données projet'!$B$9,Paramètres!$A$1:$I$89,3,0)*0.475*44/12</f>
        <v>#VALUE!</v>
      </c>
      <c r="AA101" s="21" t="e">
        <f>EXP(-LN(2)/25)*AA100+(1-EXP(-LN(2)/25))/(LN(2)/25)*Calculateur!V101*Calculateur!X101*VLOOKUP('Données projet'!$B$9,Paramètres!$A$1:$I$89,3,0)*0.475*44/12</f>
        <v>#VALUE!</v>
      </c>
      <c r="AB101" s="21" t="e">
        <f>EXP(-LN(2)/2)*AB100+(1-EXP(-LN(2)/2))/(LN(2)/2)*V101*Y101*VLOOKUP('Données projet'!$B$9,Paramètres!$A$1:$I$89,3,0)*0.475*44/12</f>
        <v>#VALUE!</v>
      </c>
      <c r="AC101" s="22" t="e">
        <f t="shared" si="57"/>
        <v>#VALUE!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175.05987582828078</v>
      </c>
      <c r="AO101" s="59">
        <f t="shared" si="90"/>
        <v>268.54782308462387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79.311521787898684</v>
      </c>
      <c r="AV101" s="21">
        <f>EXP(-LN(2)/25)*AV100+(1-EXP(-LN(2)/25))/(LN(2)/25)*Calculateur!AQ101*Calculateur!AS101*VLOOKUP('Données projet'!$B$10,Paramètres!$A$1:$I$89,3,0)*0.475*44/12</f>
        <v>14.695837602509615</v>
      </c>
      <c r="AW101" s="21">
        <f>EXP(-LN(2)/2)*AW100+(1-EXP(-LN(2)/2))/(LN(2)/2)*AQ101*AT101*VLOOKUP('Données projet'!$B$10,Paramètres!$A$1:$I$89,3,0)*0.475*44/12</f>
        <v>5.4282110737263556E-5</v>
      </c>
      <c r="AX101" s="21">
        <f t="shared" si="60"/>
        <v>94.007413672519036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18.5</v>
      </c>
      <c r="BD101" s="12">
        <f>IF('Données projet'!$A$88&gt;35,BD100+BC101-BL100,IF(A101&lt;'Données projet'!$A$88,$BA$205^A101,IF(A101='Données projet'!$A$88,'Données projet'!$B$88,BD100+BC101-BL100)))</f>
        <v>641.15539967999985</v>
      </c>
      <c r="BE101" s="13">
        <f>BD101*VLOOKUP('Données projet'!$B$11,Paramètres!$A$1:$I$89,3,0)*VLOOKUP('Données projet'!$B$11,Paramètres!$A$1:$I$89,5,0)</f>
        <v>300.0607270502399</v>
      </c>
      <c r="BF101" s="13">
        <f t="shared" si="91"/>
        <v>71.189194048000331</v>
      </c>
      <c r="BG101" s="20">
        <f t="shared" si="61"/>
        <v>646.5936125794351</v>
      </c>
      <c r="BH101" s="59">
        <f t="shared" si="62"/>
        <v>939.92694591276836</v>
      </c>
      <c r="BI101" s="59">
        <f ca="1">AVERAGE(OFFSET($BH$3,0,0,'Données projet'!$E$11+1,1))-AVERAGE(OFFSET($H$3,0,0,'Données projet'!$E$11+1,1))</f>
        <v>252.70779718608964</v>
      </c>
      <c r="BJ101" s="59">
        <f t="shared" si="92"/>
        <v>187.86969111712705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78.861051021110839</v>
      </c>
      <c r="BQ101" s="21">
        <f>EXP(-LN(2)/25)*BQ100+(1-EXP(-LN(2)/25))/(LN(2)/25)*Calculateur!BL101*Calculateur!BN101*VLOOKUP('Données projet'!$B$11,Paramètres!$A$1:$I$89,3,0)*0.475*44/12</f>
        <v>16.296796901737721</v>
      </c>
      <c r="BR101" s="21">
        <f>EXP(-LN(2)/2)*BR100+(1-EXP(-LN(2)/2))/(LN(2)/2)*BL101*BO101*VLOOKUP('Données projet'!$B$11,Paramètres!$A$1:$I$89,3,0)*0.475*44/12</f>
        <v>0.55445828560709831</v>
      </c>
      <c r="BS101" s="22">
        <f t="shared" si="63"/>
        <v>95.712306208455658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-2.2737367544323206E-13</v>
      </c>
      <c r="BZ101" s="13">
        <f>BY101*VLOOKUP('Données projet'!$B$12,Paramètres!$A$1:$I$89,3,0)*VLOOKUP('Données projet'!$B$12,Paramètres!$A$1:$I$89,5,0)</f>
        <v>-1.3596945791505279E-13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279.86432710889352</v>
      </c>
      <c r="CE101" s="59">
        <f t="shared" si="94"/>
        <v>297.01680128882509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59.786799119606322</v>
      </c>
      <c r="CL101" s="21">
        <f>EXP(-LN(2)/25)*CL100+(1-EXP(-LN(2)/25))/(LN(2)/25)*Calculateur!CG101*Calculateur!CI101*VLOOKUP('Données projet'!$B$12,Paramètres!$A$1:$I$89,3,0)*0.475*44/12</f>
        <v>38.173563651959185</v>
      </c>
      <c r="CM101" s="21">
        <f>EXP(-LN(2)/2)*CM100+(1-EXP(-LN(2)/2))/(LN(2)/2)*CG101*CJ101*VLOOKUP('Données projet'!$B$12,Paramètres!$A$1:$I$89,3,0)*0.475*44/12</f>
        <v>8.2320953972133651E-4</v>
      </c>
      <c r="CN101" s="22">
        <f t="shared" si="66"/>
        <v>97.961185981105231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-12.000000000000284</v>
      </c>
      <c r="CU101" s="17">
        <f>CT101*VLOOKUP('Données projet'!$B$13,Paramètres!$A$1:$I$89,3,0)*VLOOKUP('Données projet'!$B$13,Paramètres!$A$1:$I$89,5,0)</f>
        <v>-9.5472000000002257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314.6300257056194</v>
      </c>
      <c r="CZ101" s="59">
        <f t="shared" si="96"/>
        <v>298.00555477466668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99.485233426139587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99.485233426139587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-12.000000000000284</v>
      </c>
      <c r="DP101" s="17">
        <f>DO101*VLOOKUP('Données projet'!$B$14,Paramètres!$A$1:$I$89,3,0)*VLOOKUP('Données projet'!$B$14,Paramètres!$A$1:$I$89,5,0)</f>
        <v>-9.5472000000002257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314.6300257056194</v>
      </c>
      <c r="DU101" s="59">
        <f t="shared" si="98"/>
        <v>298.00555477466668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99.485233426139587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99.485233426139587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11.223076923076928</v>
      </c>
      <c r="EJ101" s="12">
        <f>IF('Données projet'!$A$192&gt;35,EJ100+EI101-ER100,IF(A101&lt;'Données projet'!$A$192,$EG$205^A101,IF(A101='Données projet'!$A$192,'Données projet'!$B$192,EJ100+EI101-ER100)))</f>
        <v>483.26923076923129</v>
      </c>
      <c r="EK101" s="17">
        <f>EJ101*VLOOKUP('Données projet'!$B$15,Paramètres!$A$1:$I$89,3,0)*VLOOKUP('Données projet'!$B$15,Paramètres!$A$1:$I$89,5,0)</f>
        <v>232.45250000000024</v>
      </c>
      <c r="EL101" s="13">
        <f t="shared" si="99"/>
        <v>56.812641578269783</v>
      </c>
      <c r="EM101" s="20">
        <f t="shared" si="73"/>
        <v>503.80345491548695</v>
      </c>
      <c r="EN101" s="59">
        <f t="shared" si="74"/>
        <v>797.13678824882027</v>
      </c>
      <c r="EO101" s="59">
        <f ca="1">AVERAGE(OFFSET($EN$3,0,0,'Données projet'!$E$15+1,1))-AVERAGE(OFFSET($H$3,0,0,'Données projet'!$E$15+1,1))</f>
        <v>238.83604534181978</v>
      </c>
      <c r="EP101" s="59">
        <f t="shared" si="100"/>
        <v>114.85152559837792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5.6843418860808015E-14</v>
      </c>
      <c r="FF101" s="17">
        <f>FE101*VLOOKUP('Données projet'!$B$16,Paramètres!$A$1:$I$89,3,0)*VLOOKUP('Données projet'!$B$16,Paramètres!$A$1:$I$89,5,0)</f>
        <v>4.6111381379887463E-14</v>
      </c>
      <c r="FG101" s="13">
        <f t="shared" si="101"/>
        <v>7.5804141040779151E-13</v>
      </c>
      <c r="FH101" s="20">
        <f t="shared" si="76"/>
        <v>1.4005661123635408E-12</v>
      </c>
      <c r="FI101" s="59">
        <f t="shared" si="77"/>
        <v>293.33333333333474</v>
      </c>
      <c r="FJ101" s="59">
        <f ca="1">AVERAGE(OFFSET($FI$3,0,0,'Données projet'!$E$16+1,1))-AVERAGE(OFFSET($H$3,0,0,'Données projet'!$E$16+1,1))</f>
        <v>196.95467273423861</v>
      </c>
      <c r="FK101" s="59">
        <f t="shared" si="102"/>
        <v>173.8709326829258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59.977891528726033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8.0477419786305293E-2</v>
      </c>
      <c r="FT101" s="22">
        <f t="shared" si="78"/>
        <v>60.058368948512339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5.6843418860808015E-14</v>
      </c>
      <c r="GA101" s="17">
        <f>FZ101*VLOOKUP('Données projet'!$B$17,Paramètres!$A$1:$I$89,3,0)*VLOOKUP('Données projet'!$B$17,Paramètres!$A$1:$I$89,5,0)</f>
        <v>6.1186256061773749E-14</v>
      </c>
      <c r="GB101" s="13">
        <f t="shared" si="103"/>
        <v>9.7328366192051127E-13</v>
      </c>
      <c r="GC101" s="20">
        <f t="shared" si="79"/>
        <v>1.8017017738191463E-12</v>
      </c>
      <c r="GD101" s="59">
        <f t="shared" si="80"/>
        <v>293.33333333333513</v>
      </c>
      <c r="GE101" s="59">
        <f ca="1">AVERAGE(OFFSET($GD$3,0,0,'Données projet'!$E$17+1,1))-AVERAGE(OFFSET($H$3,0,0,'Données projet'!$E$17+1,1))</f>
        <v>275.5229427552884</v>
      </c>
      <c r="GF101" s="59">
        <f t="shared" si="104"/>
        <v>241.20234081716143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79.586048374655675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0.10678734548567426</v>
      </c>
      <c r="GO101" s="21">
        <f t="shared" si="81"/>
        <v>79.692835720141346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274.57619581652199</v>
      </c>
      <c r="T102" s="59">
        <f t="shared" si="88"/>
        <v>366.15117322598775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 t="e">
        <f>EXP(-LN(2)/35)*Z101+(1-EXP(-LN(2)/35))/(LN(2)/35)*V102*W102*VLOOKUP('Données projet'!$B$9,Paramètres!$A$1:$I$89,3,0)*0.475*44/12</f>
        <v>#VALUE!</v>
      </c>
      <c r="AA102" s="21" t="e">
        <f>EXP(-LN(2)/25)*AA101+(1-EXP(-LN(2)/25))/(LN(2)/25)*Calculateur!V102*Calculateur!X102*VLOOKUP('Données projet'!$B$9,Paramètres!$A$1:$I$89,3,0)*0.475*44/12</f>
        <v>#VALUE!</v>
      </c>
      <c r="AB102" s="21" t="e">
        <f>EXP(-LN(2)/2)*AB101+(1-EXP(-LN(2)/2))/(LN(2)/2)*V102*Y102*VLOOKUP('Données projet'!$B$9,Paramètres!$A$1:$I$89,3,0)*0.475*44/12</f>
        <v>#VALUE!</v>
      </c>
      <c r="AC102" s="22" t="e">
        <f t="shared" si="57"/>
        <v>#VALUE!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175.05987582828078</v>
      </c>
      <c r="AO102" s="59">
        <f t="shared" si="90"/>
        <v>268.54782308462387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77.756271220889616</v>
      </c>
      <c r="AV102" s="21">
        <f>EXP(-LN(2)/25)*AV101+(1-EXP(-LN(2)/25))/(LN(2)/25)*Calculateur!AQ102*Calculateur!AS102*VLOOKUP('Données projet'!$B$10,Paramètres!$A$1:$I$89,3,0)*0.475*44/12</f>
        <v>14.293979150448477</v>
      </c>
      <c r="AW102" s="21">
        <f>EXP(-LN(2)/2)*AW101+(1-EXP(-LN(2)/2))/(LN(2)/2)*AQ102*AT102*VLOOKUP('Données projet'!$B$10,Paramètres!$A$1:$I$89,3,0)*0.475*44/12</f>
        <v>3.8383248599438163E-5</v>
      </c>
      <c r="AX102" s="21">
        <f t="shared" si="60"/>
        <v>92.050288754586688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18.5</v>
      </c>
      <c r="BD102" s="12">
        <f>IF('Données projet'!$A$88&gt;35,BD101+BC102-BL101,IF(A102&lt;'Données projet'!$A$88,$BA$205^A102,IF(A102='Données projet'!$A$88,'Données projet'!$B$88,BD101+BC102-BL101)))</f>
        <v>659.65539967999985</v>
      </c>
      <c r="BE102" s="13">
        <f>BD102*VLOOKUP('Données projet'!$B$11,Paramètres!$A$1:$I$89,3,0)*VLOOKUP('Données projet'!$B$11,Paramètres!$A$1:$I$89,5,0)</f>
        <v>308.71872705023992</v>
      </c>
      <c r="BF102" s="13">
        <f t="shared" si="91"/>
        <v>73.001184918384865</v>
      </c>
      <c r="BG102" s="20">
        <f t="shared" si="61"/>
        <v>664.82884667868814</v>
      </c>
      <c r="BH102" s="59">
        <f t="shared" si="62"/>
        <v>958.16218001202151</v>
      </c>
      <c r="BI102" s="59">
        <f ca="1">AVERAGE(OFFSET($BH$3,0,0,'Données projet'!$E$11+1,1))-AVERAGE(OFFSET($H$3,0,0,'Données projet'!$E$11+1,1))</f>
        <v>252.70779718608964</v>
      </c>
      <c r="BJ102" s="59">
        <f t="shared" si="92"/>
        <v>187.86969111712705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77.314633911078445</v>
      </c>
      <c r="BQ102" s="21">
        <f>EXP(-LN(2)/25)*BQ101+(1-EXP(-LN(2)/25))/(LN(2)/25)*Calculateur!BL102*Calculateur!BN102*VLOOKUP('Données projet'!$B$11,Paramètres!$A$1:$I$89,3,0)*0.475*44/12</f>
        <v>15.851160133448401</v>
      </c>
      <c r="BR102" s="21">
        <f>EXP(-LN(2)/2)*BR101+(1-EXP(-LN(2)/2))/(LN(2)/2)*BL102*BO102*VLOOKUP('Données projet'!$B$11,Paramètres!$A$1:$I$89,3,0)*0.475*44/12</f>
        <v>0.39206121363784674</v>
      </c>
      <c r="BS102" s="22">
        <f t="shared" si="63"/>
        <v>93.557855258164693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-2.2737367544323206E-13</v>
      </c>
      <c r="BZ102" s="13">
        <f>BY102*VLOOKUP('Données projet'!$B$12,Paramètres!$A$1:$I$89,3,0)*VLOOKUP('Données projet'!$B$12,Paramètres!$A$1:$I$89,5,0)</f>
        <v>-1.3596945791505279E-13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279.86432710889352</v>
      </c>
      <c r="CE102" s="59">
        <f t="shared" si="94"/>
        <v>297.01680128882509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58.614416455217551</v>
      </c>
      <c r="CL102" s="21">
        <f>EXP(-LN(2)/25)*CL101+(1-EXP(-LN(2)/25))/(LN(2)/25)*Calculateur!CG102*Calculateur!CI102*VLOOKUP('Données projet'!$B$12,Paramètres!$A$1:$I$89,3,0)*0.475*44/12</f>
        <v>37.129705546435893</v>
      </c>
      <c r="CM102" s="21">
        <f>EXP(-LN(2)/2)*CM101+(1-EXP(-LN(2)/2))/(LN(2)/2)*CG102*CJ102*VLOOKUP('Données projet'!$B$12,Paramètres!$A$1:$I$89,3,0)*0.475*44/12</f>
        <v>5.8209704787441359E-4</v>
      </c>
      <c r="CN102" s="22">
        <f t="shared" si="66"/>
        <v>95.744704098701305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-12.000000000000284</v>
      </c>
      <c r="CU102" s="17">
        <f>CT102*VLOOKUP('Données projet'!$B$13,Paramètres!$A$1:$I$89,3,0)*VLOOKUP('Données projet'!$B$13,Paramètres!$A$1:$I$89,5,0)</f>
        <v>-9.5472000000002257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314.6300257056194</v>
      </c>
      <c r="CZ102" s="59">
        <f t="shared" si="96"/>
        <v>298.00555477466668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97.534388678653727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97.534388678653727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-12.000000000000284</v>
      </c>
      <c r="DP102" s="17">
        <f>DO102*VLOOKUP('Données projet'!$B$14,Paramètres!$A$1:$I$89,3,0)*VLOOKUP('Données projet'!$B$14,Paramètres!$A$1:$I$89,5,0)</f>
        <v>-9.5472000000002257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314.6300257056194</v>
      </c>
      <c r="DU102" s="59">
        <f t="shared" si="98"/>
        <v>298.00555477466668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97.534388678653727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97.534388678653727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>
        <f>VLOOKUP(A102,'Données projet'!$A$191:$I$211,2,0)</f>
        <v>494.49230769230769</v>
      </c>
      <c r="EH102" s="12">
        <f>VLOOKUP(A102,'Données projet'!$A$191:$I$211,9,0)</f>
        <v>11.223076923076928</v>
      </c>
      <c r="EI102" s="12">
        <f t="array" ref="EI102">INDEX(EH:EH,MIN(IF(ISNUMBER(EH102:EH298),ROW(EH102:EH298),"")))</f>
        <v>11.223076923076928</v>
      </c>
      <c r="EJ102" s="12">
        <f>IF('Données projet'!$A$192&gt;35,EJ101+EI102-ER101,IF(A102&lt;'Données projet'!$A$192,$EG$205^A102,IF(A102='Données projet'!$A$192,'Données projet'!$B$192,EJ101+EI102-ER101)))</f>
        <v>494.4923076923082</v>
      </c>
      <c r="EK102" s="17">
        <f>EJ102*VLOOKUP('Données projet'!$B$15,Paramètres!$A$1:$I$89,3,0)*VLOOKUP('Données projet'!$B$15,Paramètres!$A$1:$I$89,5,0)</f>
        <v>237.85080000000025</v>
      </c>
      <c r="EL102" s="13">
        <f t="shared" si="99"/>
        <v>57.976877825922635</v>
      </c>
      <c r="EM102" s="20">
        <f t="shared" si="73"/>
        <v>515.23320554681561</v>
      </c>
      <c r="EN102" s="59">
        <f t="shared" si="74"/>
        <v>808.56653888014898</v>
      </c>
      <c r="EO102" s="59">
        <f ca="1">AVERAGE(OFFSET($EN$3,0,0,'Données projet'!$E$15+1,1))-AVERAGE(OFFSET($H$3,0,0,'Données projet'!$E$15+1,1))</f>
        <v>238.83604534181978</v>
      </c>
      <c r="EP102" s="59">
        <f t="shared" si="100"/>
        <v>114.85152559837792</v>
      </c>
      <c r="EQ102" s="15">
        <f>IF(ISNA(VLOOKUP(A102,'Données projet'!$A$191:$I$211,3,0)),0,VLOOKUP(A102,'Données projet'!$A$191:$I$211,3,0))</f>
        <v>8</v>
      </c>
      <c r="ER102" s="15">
        <f>IF(ISNA(VLOOKUP(A102,'Données projet'!$A$191:$I$211,4,0)),0,VLOOKUP(A102,'Données projet'!$A$191:$I$211,4,0))</f>
        <v>69.692307692307679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5.6843418860808015E-14</v>
      </c>
      <c r="FF102" s="17">
        <f>FE102*VLOOKUP('Données projet'!$B$16,Paramètres!$A$1:$I$89,3,0)*VLOOKUP('Données projet'!$B$16,Paramètres!$A$1:$I$89,5,0)</f>
        <v>4.6111381379887463E-14</v>
      </c>
      <c r="FG102" s="13">
        <f t="shared" si="101"/>
        <v>7.5804141040779151E-13</v>
      </c>
      <c r="FH102" s="20">
        <f t="shared" si="76"/>
        <v>1.4005661123635408E-12</v>
      </c>
      <c r="FI102" s="59">
        <f t="shared" si="77"/>
        <v>293.33333333333474</v>
      </c>
      <c r="FJ102" s="59">
        <f ca="1">AVERAGE(OFFSET($FI$3,0,0,'Données projet'!$E$16+1,1))-AVERAGE(OFFSET($H$3,0,0,'Données projet'!$E$16+1,1))</f>
        <v>196.95467273423861</v>
      </c>
      <c r="FK102" s="59">
        <f t="shared" si="102"/>
        <v>173.8709326829258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58.801761658749285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5.6906129263292908E-2</v>
      </c>
      <c r="FT102" s="22">
        <f t="shared" si="78"/>
        <v>58.858667788012575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5.6843418860808015E-14</v>
      </c>
      <c r="GA102" s="17">
        <f>FZ102*VLOOKUP('Données projet'!$B$17,Paramètres!$A$1:$I$89,3,0)*VLOOKUP('Données projet'!$B$17,Paramètres!$A$1:$I$89,5,0)</f>
        <v>6.1186256061773749E-14</v>
      </c>
      <c r="GB102" s="13">
        <f t="shared" si="103"/>
        <v>9.7328366192051127E-13</v>
      </c>
      <c r="GC102" s="20">
        <f t="shared" si="79"/>
        <v>1.8017017738191463E-12</v>
      </c>
      <c r="GD102" s="59">
        <f t="shared" si="80"/>
        <v>293.33333333333513</v>
      </c>
      <c r="GE102" s="59">
        <f ca="1">AVERAGE(OFFSET($GD$3,0,0,'Données projet'!$E$17+1,1))-AVERAGE(OFFSET($H$3,0,0,'Données projet'!$E$17+1,1))</f>
        <v>275.5229427552884</v>
      </c>
      <c r="GF102" s="59">
        <f t="shared" si="104"/>
        <v>241.20234081716143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78.025414508724992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7.5510056137830919E-2</v>
      </c>
      <c r="GO102" s="21">
        <f t="shared" si="81"/>
        <v>78.100924564862822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274.57619581652199</v>
      </c>
      <c r="T103" s="59">
        <f t="shared" si="88"/>
        <v>366.15117322598775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 t="e">
        <f>EXP(-LN(2)/35)*Z102+(1-EXP(-LN(2)/35))/(LN(2)/35)*V103*W103*VLOOKUP('Données projet'!$B$9,Paramètres!$A$1:$I$89,3,0)*0.475*44/12</f>
        <v>#VALUE!</v>
      </c>
      <c r="AA103" s="21" t="e">
        <f>EXP(-LN(2)/25)*AA102+(1-EXP(-LN(2)/25))/(LN(2)/25)*Calculateur!V103*Calculateur!X103*VLOOKUP('Données projet'!$B$9,Paramètres!$A$1:$I$89,3,0)*0.475*44/12</f>
        <v>#VALUE!</v>
      </c>
      <c r="AB103" s="21" t="e">
        <f>EXP(-LN(2)/2)*AB102+(1-EXP(-LN(2)/2))/(LN(2)/2)*V103*Y103*VLOOKUP('Données projet'!$B$9,Paramètres!$A$1:$I$89,3,0)*0.475*44/12</f>
        <v>#VALUE!</v>
      </c>
      <c r="AC103" s="22" t="e">
        <f t="shared" si="57"/>
        <v>#VALUE!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175.05987582828078</v>
      </c>
      <c r="AO103" s="59">
        <f t="shared" si="90"/>
        <v>268.54782308462387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76.231518168890418</v>
      </c>
      <c r="AV103" s="21">
        <f>EXP(-LN(2)/25)*AV102+(1-EXP(-LN(2)/25))/(LN(2)/25)*Calculateur!AQ103*Calculateur!AS103*VLOOKUP('Données projet'!$B$10,Paramètres!$A$1:$I$89,3,0)*0.475*44/12</f>
        <v>13.903109538891769</v>
      </c>
      <c r="AW103" s="21">
        <f>EXP(-LN(2)/2)*AW102+(1-EXP(-LN(2)/2))/(LN(2)/2)*AQ103*AT103*VLOOKUP('Données projet'!$B$10,Paramètres!$A$1:$I$89,3,0)*0.475*44/12</f>
        <v>2.7141055368631778E-5</v>
      </c>
      <c r="AX103" s="21">
        <f t="shared" si="60"/>
        <v>90.134654848837556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678.15539967999996</v>
      </c>
      <c r="BB103" s="12">
        <f>VLOOKUP(A103,'Données projet'!$A$87:$I$107,9,0)</f>
        <v>18.5</v>
      </c>
      <c r="BC103" s="12">
        <f t="array" ref="BC103">INDEX(BB:BB,MIN(IF(ISNUMBER(BB103:BB299),ROW(BB103:BB299),"")))</f>
        <v>18.5</v>
      </c>
      <c r="BD103" s="12">
        <f>IF('Données projet'!$A$88&gt;35,BD102+BC103-BL102,IF(A103&lt;'Données projet'!$A$88,$BA$205^A103,IF(A103='Données projet'!$A$88,'Données projet'!$B$88,BD102+BC103-BL102)))</f>
        <v>678.15539967999985</v>
      </c>
      <c r="BE103" s="13">
        <f>BD103*VLOOKUP('Données projet'!$B$11,Paramètres!$A$1:$I$89,3,0)*VLOOKUP('Données projet'!$B$11,Paramètres!$A$1:$I$89,5,0)</f>
        <v>317.37672705023994</v>
      </c>
      <c r="BF103" s="13">
        <f t="shared" si="91"/>
        <v>74.807269494466624</v>
      </c>
      <c r="BG103" s="20">
        <f t="shared" si="61"/>
        <v>683.05379398203058</v>
      </c>
      <c r="BH103" s="59">
        <f t="shared" si="62"/>
        <v>976.38712731536384</v>
      </c>
      <c r="BI103" s="59">
        <f ca="1">AVERAGE(OFFSET($BH$3,0,0,'Données projet'!$E$11+1,1))-AVERAGE(OFFSET($H$3,0,0,'Données projet'!$E$11+1,1))</f>
        <v>252.70779718608964</v>
      </c>
      <c r="BJ103" s="59">
        <f t="shared" si="92"/>
        <v>187.86969111712705</v>
      </c>
      <c r="BK103" s="15" t="str">
        <f>IF(ISNA(VLOOKUP(A103,'Données projet'!$A$87:$I$107,3,0)),0,VLOOKUP(A103,'Données projet'!$A$87:$I$107,3,0))</f>
        <v>CR</v>
      </c>
      <c r="BL103" s="15">
        <f>IF(ISNA(VLOOKUP(A103,'Données projet'!$A$87:$I$107,4,0)),0,VLOOKUP(A103,'Données projet'!$A$87:$I$107,4,0))</f>
        <v>678.15539967999996</v>
      </c>
      <c r="BM103" s="16">
        <f>IF(ISNA(VLOOKUP(A103,'Données projet'!$A$87:$I$107,5,0)),0%,VLOOKUP(A103,'Données projet'!$A$87:$I$107,5,0)*VLOOKUP('Données projet'!$B$11,Paramètres!$A$1:$I$89,7,0))</f>
        <v>0.38500000000000001</v>
      </c>
      <c r="BN103" s="16">
        <f>IF(ISNA(VLOOKUP(A103,'Données projet'!$A$87:$I$107,6,0)),0%,VLOOKUP(A103,'Données projet'!$A$87:$I$107,6,0)*VLOOKUP('Données projet'!$B$11,Paramètres!$A$1:$I$89,7,0))</f>
        <v>9.240000000000001E-2</v>
      </c>
      <c r="BO103" s="16">
        <f>IF(ISNA(VLOOKUP(A103,'Données projet'!$A$87:$I$107,7,0)),0%,VLOOKUP(A103,'Données projet'!$A$87:$I$107,7,0))</f>
        <v>0.13200000000000001</v>
      </c>
      <c r="BP103" s="21">
        <f>EXP(-LN(2)/35)*BP102+(1-EXP(-LN(2)/35))/(LN(2)/35)*BL103*BM103*VLOOKUP('Données projet'!$B$11,Paramètres!$A$1:$I$89,3,0)*0.475*44/12</f>
        <v>237.89150485645774</v>
      </c>
      <c r="BQ103" s="21">
        <f>EXP(-LN(2)/25)*BQ102+(1-EXP(-LN(2)/25))/(LN(2)/25)*Calculateur!BL103*Calculateur!BN103*VLOOKUP('Données projet'!$B$11,Paramètres!$A$1:$I$89,3,0)*0.475*44/12</f>
        <v>54.16684740566884</v>
      </c>
      <c r="BR103" s="21">
        <f>EXP(-LN(2)/2)*BR102+(1-EXP(-LN(2)/2))/(LN(2)/2)*BL103*BO103*VLOOKUP('Données projet'!$B$11,Paramètres!$A$1:$I$89,3,0)*0.475*44/12</f>
        <v>47.710661014940627</v>
      </c>
      <c r="BS103" s="22">
        <f t="shared" si="63"/>
        <v>339.76901327706719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-2.2737367544323206E-13</v>
      </c>
      <c r="BZ103" s="13">
        <f>BY103*VLOOKUP('Données projet'!$B$12,Paramètres!$A$1:$I$89,3,0)*VLOOKUP('Données projet'!$B$12,Paramètres!$A$1:$I$89,5,0)</f>
        <v>-1.3596945791505279E-13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279.86432710889352</v>
      </c>
      <c r="CE103" s="59">
        <f t="shared" si="94"/>
        <v>297.01680128882509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57.465023499794626</v>
      </c>
      <c r="CL103" s="21">
        <f>EXP(-LN(2)/25)*CL102+(1-EXP(-LN(2)/25))/(LN(2)/25)*Calculateur!CG103*Calculateur!CI103*VLOOKUP('Données projet'!$B$12,Paramètres!$A$1:$I$89,3,0)*0.475*44/12</f>
        <v>36.114391795702254</v>
      </c>
      <c r="CM103" s="21">
        <f>EXP(-LN(2)/2)*CM102+(1-EXP(-LN(2)/2))/(LN(2)/2)*CG103*CJ103*VLOOKUP('Données projet'!$B$12,Paramètres!$A$1:$I$89,3,0)*0.475*44/12</f>
        <v>4.1160476986066826E-4</v>
      </c>
      <c r="CN103" s="22">
        <f t="shared" si="66"/>
        <v>93.579826900266752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-12.000000000000284</v>
      </c>
      <c r="CU103" s="17">
        <f>CT103*VLOOKUP('Données projet'!$B$13,Paramètres!$A$1:$I$89,3,0)*VLOOKUP('Données projet'!$B$13,Paramètres!$A$1:$I$89,5,0)</f>
        <v>-9.5472000000002257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314.6300257056194</v>
      </c>
      <c r="CZ103" s="59">
        <f t="shared" si="96"/>
        <v>298.00555477466668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95.621798806768268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95.621798806768268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-12.000000000000284</v>
      </c>
      <c r="DP103" s="17">
        <f>DO103*VLOOKUP('Données projet'!$B$14,Paramètres!$A$1:$I$89,3,0)*VLOOKUP('Données projet'!$B$14,Paramètres!$A$1:$I$89,5,0)</f>
        <v>-9.5472000000002257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314.6300257056194</v>
      </c>
      <c r="DU103" s="59">
        <f t="shared" si="98"/>
        <v>298.00555477466668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95.621798806768268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95.621798806768268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10.3980769230769</v>
      </c>
      <c r="EJ103" s="12">
        <f>IF('Données projet'!$A$192&gt;35,EJ102+EI103-ER102,IF(A103&lt;'Données projet'!$A$192,$EG$205^A103,IF(A103='Données projet'!$A$192,'Données projet'!$B$192,EJ102+EI103-ER102)))</f>
        <v>435.19807692307739</v>
      </c>
      <c r="EK103" s="17">
        <f>EJ103*VLOOKUP('Données projet'!$B$15,Paramètres!$A$1:$I$89,3,0)*VLOOKUP('Données projet'!$B$15,Paramètres!$A$1:$I$89,5,0)</f>
        <v>209.33027500000023</v>
      </c>
      <c r="EL103" s="13">
        <f t="shared" si="99"/>
        <v>51.789206739195087</v>
      </c>
      <c r="EM103" s="20">
        <f t="shared" si="73"/>
        <v>454.78309736243182</v>
      </c>
      <c r="EN103" s="59">
        <f t="shared" si="74"/>
        <v>748.11643069576508</v>
      </c>
      <c r="EO103" s="59">
        <f ca="1">AVERAGE(OFFSET($EN$3,0,0,'Données projet'!$E$15+1,1))-AVERAGE(OFFSET($H$3,0,0,'Données projet'!$E$15+1,1))</f>
        <v>238.83604534181978</v>
      </c>
      <c r="EP103" s="59">
        <f t="shared" si="100"/>
        <v>114.85152559837792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5.6843418860808015E-14</v>
      </c>
      <c r="FF103" s="17">
        <f>FE103*VLOOKUP('Données projet'!$B$16,Paramètres!$A$1:$I$89,3,0)*VLOOKUP('Données projet'!$B$16,Paramètres!$A$1:$I$89,5,0)</f>
        <v>4.6111381379887463E-14</v>
      </c>
      <c r="FG103" s="13">
        <f t="shared" si="101"/>
        <v>7.5804141040779151E-13</v>
      </c>
      <c r="FH103" s="20">
        <f t="shared" si="76"/>
        <v>1.4005661123635408E-12</v>
      </c>
      <c r="FI103" s="59">
        <f t="shared" si="77"/>
        <v>293.33333333333474</v>
      </c>
      <c r="FJ103" s="59">
        <f ca="1">AVERAGE(OFFSET($FI$3,0,0,'Données projet'!$E$16+1,1))-AVERAGE(OFFSET($H$3,0,0,'Données projet'!$E$16+1,1))</f>
        <v>196.95467273423861</v>
      </c>
      <c r="FK103" s="59">
        <f t="shared" si="102"/>
        <v>173.8709326829258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57.648694978154396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4.0238709893152647E-2</v>
      </c>
      <c r="FT103" s="22">
        <f t="shared" si="78"/>
        <v>57.688933688047548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5.6843418860808015E-14</v>
      </c>
      <c r="GA103" s="17">
        <f>FZ103*VLOOKUP('Données projet'!$B$17,Paramètres!$A$1:$I$89,3,0)*VLOOKUP('Données projet'!$B$17,Paramètres!$A$1:$I$89,5,0)</f>
        <v>6.1186256061773749E-14</v>
      </c>
      <c r="GB103" s="13">
        <f t="shared" si="103"/>
        <v>9.7328366192051127E-13</v>
      </c>
      <c r="GC103" s="20">
        <f t="shared" si="79"/>
        <v>1.8017017738191463E-12</v>
      </c>
      <c r="GD103" s="59">
        <f t="shared" si="80"/>
        <v>293.33333333333513</v>
      </c>
      <c r="GE103" s="59">
        <f ca="1">AVERAGE(OFFSET($GD$3,0,0,'Données projet'!$E$17+1,1))-AVERAGE(OFFSET($H$3,0,0,'Données projet'!$E$17+1,1))</f>
        <v>275.5229427552884</v>
      </c>
      <c r="GF103" s="59">
        <f t="shared" si="104"/>
        <v>241.20234081716143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76.495383721012544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5.3393672742837128E-2</v>
      </c>
      <c r="GO103" s="21">
        <f t="shared" si="81"/>
        <v>76.548777393755387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274.57619581652199</v>
      </c>
      <c r="T104" s="59">
        <f t="shared" si="88"/>
        <v>366.15117322598775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 t="e">
        <f>EXP(-LN(2)/35)*Z103+(1-EXP(-LN(2)/35))/(LN(2)/35)*V104*W104*VLOOKUP('Données projet'!$B$9,Paramètres!$A$1:$I$89,3,0)*0.475*44/12</f>
        <v>#VALUE!</v>
      </c>
      <c r="AA104" s="21" t="e">
        <f>EXP(-LN(2)/25)*AA103+(1-EXP(-LN(2)/25))/(LN(2)/25)*Calculateur!V104*Calculateur!X104*VLOOKUP('Données projet'!$B$9,Paramètres!$A$1:$I$89,3,0)*0.475*44/12</f>
        <v>#VALUE!</v>
      </c>
      <c r="AB104" s="21" t="e">
        <f>EXP(-LN(2)/2)*AB103+(1-EXP(-LN(2)/2))/(LN(2)/2)*V104*Y104*VLOOKUP('Données projet'!$B$9,Paramètres!$A$1:$I$89,3,0)*0.475*44/12</f>
        <v>#VALUE!</v>
      </c>
      <c r="AC104" s="22" t="e">
        <f t="shared" si="57"/>
        <v>#VALUE!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175.05987582828078</v>
      </c>
      <c r="AO104" s="59">
        <f t="shared" si="90"/>
        <v>268.54782308462387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74.736664594233403</v>
      </c>
      <c r="AV104" s="21">
        <f>EXP(-LN(2)/25)*AV103+(1-EXP(-LN(2)/25))/(LN(2)/25)*Calculateur!AQ104*Calculateur!AS104*VLOOKUP('Données projet'!$B$10,Paramètres!$A$1:$I$89,3,0)*0.475*44/12</f>
        <v>13.52292827741802</v>
      </c>
      <c r="AW104" s="21">
        <f>EXP(-LN(2)/2)*AW103+(1-EXP(-LN(2)/2))/(LN(2)/2)*AQ104*AT104*VLOOKUP('Données projet'!$B$10,Paramètres!$A$1:$I$89,3,0)*0.475*44/12</f>
        <v>1.9191624299719081E-5</v>
      </c>
      <c r="AX104" s="21">
        <f t="shared" si="60"/>
        <v>88.259612063275725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-5.3205440053716299E-14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252.70779718608964</v>
      </c>
      <c r="BJ104" s="59">
        <f t="shared" si="92"/>
        <v>187.86969111712705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233.22659754571319</v>
      </c>
      <c r="BQ104" s="21">
        <f>EXP(-LN(2)/25)*BQ103+(1-EXP(-LN(2)/25))/(LN(2)/25)*Calculateur!BL104*Calculateur!BN104*VLOOKUP('Données projet'!$B$11,Paramètres!$A$1:$I$89,3,0)*0.475*44/12</f>
        <v>52.685652114850122</v>
      </c>
      <c r="BR104" s="21">
        <f>EXP(-LN(2)/2)*BR103+(1-EXP(-LN(2)/2))/(LN(2)/2)*BL104*BO104*VLOOKUP('Données projet'!$B$11,Paramètres!$A$1:$I$89,3,0)*0.475*44/12</f>
        <v>33.736531938557164</v>
      </c>
      <c r="BS104" s="22">
        <f t="shared" si="63"/>
        <v>319.64878159912047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-2.2737367544323206E-13</v>
      </c>
      <c r="BZ104" s="13">
        <f>BY104*VLOOKUP('Données projet'!$B$12,Paramètres!$A$1:$I$89,3,0)*VLOOKUP('Données projet'!$B$12,Paramètres!$A$1:$I$89,5,0)</f>
        <v>-1.3596945791505279E-13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279.86432710889352</v>
      </c>
      <c r="CE104" s="59">
        <f t="shared" si="94"/>
        <v>297.01680128882509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56.338169439167068</v>
      </c>
      <c r="CL104" s="21">
        <f>EXP(-LN(2)/25)*CL103+(1-EXP(-LN(2)/25))/(LN(2)/25)*Calculateur!CG104*Calculateur!CI104*VLOOKUP('Données projet'!$B$12,Paramètres!$A$1:$I$89,3,0)*0.475*44/12</f>
        <v>35.126841852875451</v>
      </c>
      <c r="CM104" s="21">
        <f>EXP(-LN(2)/2)*CM103+(1-EXP(-LN(2)/2))/(LN(2)/2)*CG104*CJ104*VLOOKUP('Données projet'!$B$12,Paramètres!$A$1:$I$89,3,0)*0.475*44/12</f>
        <v>2.9104852393720679E-4</v>
      </c>
      <c r="CN104" s="22">
        <f t="shared" si="66"/>
        <v>91.465302340566453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-12.000000000000284</v>
      </c>
      <c r="CU104" s="17">
        <f>CT104*VLOOKUP('Données projet'!$B$13,Paramètres!$A$1:$I$89,3,0)*VLOOKUP('Données projet'!$B$13,Paramètres!$A$1:$I$89,5,0)</f>
        <v>-9.5472000000002257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314.6300257056194</v>
      </c>
      <c r="CZ104" s="59">
        <f t="shared" si="96"/>
        <v>298.00555477466668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93.746713655705847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93.746713655705847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-12.000000000000284</v>
      </c>
      <c r="DP104" s="17">
        <f>DO104*VLOOKUP('Données projet'!$B$14,Paramètres!$A$1:$I$89,3,0)*VLOOKUP('Données projet'!$B$14,Paramètres!$A$1:$I$89,5,0)</f>
        <v>-9.5472000000002257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314.6300257056194</v>
      </c>
      <c r="DU104" s="59">
        <f t="shared" si="98"/>
        <v>298.00555477466668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93.746713655705847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93.746713655705847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10.3980769230769</v>
      </c>
      <c r="EJ104" s="12">
        <f>IF('Données projet'!$A$192&gt;35,EJ103+EI104-ER103,IF(A104&lt;'Données projet'!$A$192,$EG$205^A104,IF(A104='Données projet'!$A$192,'Données projet'!$B$192,EJ103+EI104-ER103)))</f>
        <v>445.59615384615427</v>
      </c>
      <c r="EK104" s="17">
        <f>EJ104*VLOOKUP('Données projet'!$B$15,Paramètres!$A$1:$I$89,3,0)*VLOOKUP('Données projet'!$B$15,Paramètres!$A$1:$I$89,5,0)</f>
        <v>214.3317500000002</v>
      </c>
      <c r="EL104" s="13">
        <f t="shared" si="99"/>
        <v>52.881054285943222</v>
      </c>
      <c r="EM104" s="20">
        <f t="shared" si="73"/>
        <v>465.39563413135147</v>
      </c>
      <c r="EN104" s="59">
        <f t="shared" si="74"/>
        <v>758.72896746468473</v>
      </c>
      <c r="EO104" s="59">
        <f ca="1">AVERAGE(OFFSET($EN$3,0,0,'Données projet'!$E$15+1,1))-AVERAGE(OFFSET($H$3,0,0,'Données projet'!$E$15+1,1))</f>
        <v>238.83604534181978</v>
      </c>
      <c r="EP104" s="59">
        <f t="shared" si="100"/>
        <v>114.85152559837792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5.6843418860808015E-14</v>
      </c>
      <c r="FF104" s="17">
        <f>FE104*VLOOKUP('Données projet'!$B$16,Paramètres!$A$1:$I$89,3,0)*VLOOKUP('Données projet'!$B$16,Paramètres!$A$1:$I$89,5,0)</f>
        <v>4.6111381379887463E-14</v>
      </c>
      <c r="FG104" s="13">
        <f t="shared" si="101"/>
        <v>7.5804141040779151E-13</v>
      </c>
      <c r="FH104" s="20">
        <f t="shared" si="76"/>
        <v>1.4005661123635408E-12</v>
      </c>
      <c r="FI104" s="59">
        <f t="shared" si="77"/>
        <v>293.33333333333474</v>
      </c>
      <c r="FJ104" s="59">
        <f ca="1">AVERAGE(OFFSET($FI$3,0,0,'Données projet'!$E$16+1,1))-AVERAGE(OFFSET($H$3,0,0,'Données projet'!$E$16+1,1))</f>
        <v>196.95467273423861</v>
      </c>
      <c r="FK104" s="59">
        <f t="shared" si="102"/>
        <v>173.8709326829258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56.51823923186474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2.8453064631646454E-2</v>
      </c>
      <c r="FT104" s="22">
        <f t="shared" si="78"/>
        <v>56.546692296496389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5.6843418860808015E-14</v>
      </c>
      <c r="GA104" s="17">
        <f>FZ104*VLOOKUP('Données projet'!$B$17,Paramètres!$A$1:$I$89,3,0)*VLOOKUP('Données projet'!$B$17,Paramètres!$A$1:$I$89,5,0)</f>
        <v>6.1186256061773749E-14</v>
      </c>
      <c r="GB104" s="13">
        <f t="shared" si="103"/>
        <v>9.7328366192051127E-13</v>
      </c>
      <c r="GC104" s="20">
        <f t="shared" si="79"/>
        <v>1.8017017738191463E-12</v>
      </c>
      <c r="GD104" s="59">
        <f t="shared" si="80"/>
        <v>293.33333333333513</v>
      </c>
      <c r="GE104" s="59">
        <f ca="1">AVERAGE(OFFSET($GD$3,0,0,'Données projet'!$E$17+1,1))-AVERAGE(OFFSET($H$3,0,0,'Données projet'!$E$17+1,1))</f>
        <v>275.5229427552884</v>
      </c>
      <c r="GF104" s="59">
        <f t="shared" si="104"/>
        <v>241.20234081716143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74.99535590382051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3.775502806891546E-2</v>
      </c>
      <c r="GO104" s="21">
        <f t="shared" si="81"/>
        <v>75.033110931889425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274.57619581652199</v>
      </c>
      <c r="T105" s="59">
        <f t="shared" si="88"/>
        <v>366.15117322598775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 t="e">
        <f>EXP(-LN(2)/35)*Z104+(1-EXP(-LN(2)/35))/(LN(2)/35)*V105*W105*VLOOKUP('Données projet'!$B$9,Paramètres!$A$1:$I$89,3,0)*0.475*44/12</f>
        <v>#VALUE!</v>
      </c>
      <c r="AA105" s="21" t="e">
        <f>EXP(-LN(2)/25)*AA104+(1-EXP(-LN(2)/25))/(LN(2)/25)*Calculateur!V105*Calculateur!X105*VLOOKUP('Données projet'!$B$9,Paramètres!$A$1:$I$89,3,0)*0.475*44/12</f>
        <v>#VALUE!</v>
      </c>
      <c r="AB105" s="21" t="e">
        <f>EXP(-LN(2)/2)*AB104+(1-EXP(-LN(2)/2))/(LN(2)/2)*V105*Y105*VLOOKUP('Données projet'!$B$9,Paramètres!$A$1:$I$89,3,0)*0.475*44/12</f>
        <v>#VALUE!</v>
      </c>
      <c r="AC105" s="22" t="e">
        <f t="shared" si="57"/>
        <v>#VALUE!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175.05987582828078</v>
      </c>
      <c r="AO105" s="59">
        <f t="shared" si="90"/>
        <v>268.54782308462387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73.271124186404762</v>
      </c>
      <c r="AV105" s="21">
        <f>EXP(-LN(2)/25)*AV104+(1-EXP(-LN(2)/25))/(LN(2)/25)*Calculateur!AQ105*Calculateur!AS105*VLOOKUP('Données projet'!$B$10,Paramètres!$A$1:$I$89,3,0)*0.475*44/12</f>
        <v>13.153143092532133</v>
      </c>
      <c r="AW105" s="21">
        <f>EXP(-LN(2)/2)*AW104+(1-EXP(-LN(2)/2))/(LN(2)/2)*AQ105*AT105*VLOOKUP('Données projet'!$B$10,Paramètres!$A$1:$I$89,3,0)*0.475*44/12</f>
        <v>1.3570527684315889E-5</v>
      </c>
      <c r="AX105" s="21">
        <f t="shared" si="60"/>
        <v>86.42428084946458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252.70779718608964</v>
      </c>
      <c r="BJ105" s="59">
        <f t="shared" si="92"/>
        <v>187.86969111712705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228.65316622201982</v>
      </c>
      <c r="BQ105" s="21">
        <f>EXP(-LN(2)/25)*BQ104+(1-EXP(-LN(2)/25))/(LN(2)/25)*Calculateur!BL105*Calculateur!BN105*VLOOKUP('Données projet'!$B$11,Paramètres!$A$1:$I$89,3,0)*0.475*44/12</f>
        <v>51.244960187151513</v>
      </c>
      <c r="BR105" s="21">
        <f>EXP(-LN(2)/2)*BR104+(1-EXP(-LN(2)/2))/(LN(2)/2)*BL105*BO105*VLOOKUP('Données projet'!$B$11,Paramètres!$A$1:$I$89,3,0)*0.475*44/12</f>
        <v>23.855330507470313</v>
      </c>
      <c r="BS105" s="22">
        <f t="shared" si="63"/>
        <v>303.75345691664165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-2.2737367544323206E-13</v>
      </c>
      <c r="BZ105" s="13">
        <f>BY105*VLOOKUP('Données projet'!$B$12,Paramètres!$A$1:$I$89,3,0)*VLOOKUP('Données projet'!$B$12,Paramètres!$A$1:$I$89,5,0)</f>
        <v>-1.3596945791505279E-13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279.86432710889352</v>
      </c>
      <c r="CE105" s="59">
        <f t="shared" si="94"/>
        <v>297.01680128882509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55.233412299355308</v>
      </c>
      <c r="CL105" s="21">
        <f>EXP(-LN(2)/25)*CL104+(1-EXP(-LN(2)/25))/(LN(2)/25)*Calculateur!CG105*Calculateur!CI105*VLOOKUP('Données projet'!$B$12,Paramètres!$A$1:$I$89,3,0)*0.475*44/12</f>
        <v>34.166296515168241</v>
      </c>
      <c r="CM105" s="21">
        <f>EXP(-LN(2)/2)*CM104+(1-EXP(-LN(2)/2))/(LN(2)/2)*CG105*CJ105*VLOOKUP('Données projet'!$B$12,Paramètres!$A$1:$I$89,3,0)*0.475*44/12</f>
        <v>2.0580238493033413E-4</v>
      </c>
      <c r="CN105" s="22">
        <f t="shared" si="66"/>
        <v>89.399914616908475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-12.000000000000284</v>
      </c>
      <c r="CU105" s="17">
        <f>CT105*VLOOKUP('Données projet'!$B$13,Paramètres!$A$1:$I$89,3,0)*VLOOKUP('Données projet'!$B$13,Paramètres!$A$1:$I$89,5,0)</f>
        <v>-9.5472000000002257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314.6300257056194</v>
      </c>
      <c r="CZ105" s="59">
        <f t="shared" si="96"/>
        <v>298.00555477466668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91.908397780766748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91.908397780766748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-12.000000000000284</v>
      </c>
      <c r="DP105" s="17">
        <f>DO105*VLOOKUP('Données projet'!$B$14,Paramètres!$A$1:$I$89,3,0)*VLOOKUP('Données projet'!$B$14,Paramètres!$A$1:$I$89,5,0)</f>
        <v>-9.5472000000002257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314.6300257056194</v>
      </c>
      <c r="DU105" s="59">
        <f t="shared" si="98"/>
        <v>298.00555477466668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91.908397780766748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91.908397780766748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10.3980769230769</v>
      </c>
      <c r="EJ105" s="12">
        <f>IF('Données projet'!$A$192&gt;35,EJ104+EI105-ER104,IF(A105&lt;'Données projet'!$A$192,$EG$205^A105,IF(A105='Données projet'!$A$192,'Données projet'!$B$192,EJ104+EI105-ER104)))</f>
        <v>455.99423076923119</v>
      </c>
      <c r="EK105" s="17">
        <f>EJ105*VLOOKUP('Données projet'!$B$15,Paramètres!$A$1:$I$89,3,0)*VLOOKUP('Données projet'!$B$15,Paramètres!$A$1:$I$89,5,0)</f>
        <v>219.33322500000023</v>
      </c>
      <c r="EL105" s="13">
        <f t="shared" si="99"/>
        <v>53.969939877058387</v>
      </c>
      <c r="EM105" s="20">
        <f t="shared" si="73"/>
        <v>476.00301216087706</v>
      </c>
      <c r="EN105" s="59">
        <f t="shared" si="74"/>
        <v>769.33634549421038</v>
      </c>
      <c r="EO105" s="59">
        <f ca="1">AVERAGE(OFFSET($EN$3,0,0,'Données projet'!$E$15+1,1))-AVERAGE(OFFSET($H$3,0,0,'Données projet'!$E$15+1,1))</f>
        <v>238.83604534181978</v>
      </c>
      <c r="EP105" s="59">
        <f t="shared" si="100"/>
        <v>114.85152559837792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5.6843418860808015E-14</v>
      </c>
      <c r="FF105" s="17">
        <f>FE105*VLOOKUP('Données projet'!$B$16,Paramètres!$A$1:$I$89,3,0)*VLOOKUP('Données projet'!$B$16,Paramètres!$A$1:$I$89,5,0)</f>
        <v>4.6111381379887463E-14</v>
      </c>
      <c r="FG105" s="13">
        <f t="shared" si="101"/>
        <v>7.5804141040779151E-13</v>
      </c>
      <c r="FH105" s="20">
        <f t="shared" si="76"/>
        <v>1.4005661123635408E-12</v>
      </c>
      <c r="FI105" s="59">
        <f t="shared" si="77"/>
        <v>293.33333333333474</v>
      </c>
      <c r="FJ105" s="59">
        <f ca="1">AVERAGE(OFFSET($FI$3,0,0,'Données projet'!$E$16+1,1))-AVERAGE(OFFSET($H$3,0,0,'Données projet'!$E$16+1,1))</f>
        <v>196.95467273423861</v>
      </c>
      <c r="FK105" s="59">
        <f t="shared" si="102"/>
        <v>173.8709326829258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55.409951033249904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2.0119354946576323E-2</v>
      </c>
      <c r="FT105" s="22">
        <f t="shared" si="78"/>
        <v>55.430070388196476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5.6843418860808015E-14</v>
      </c>
      <c r="GA105" s="17">
        <f>FZ105*VLOOKUP('Données projet'!$B$17,Paramètres!$A$1:$I$89,3,0)*VLOOKUP('Données projet'!$B$17,Paramètres!$A$1:$I$89,5,0)</f>
        <v>6.1186256061773749E-14</v>
      </c>
      <c r="GB105" s="13">
        <f t="shared" si="103"/>
        <v>9.7328366192051127E-13</v>
      </c>
      <c r="GC105" s="20">
        <f t="shared" si="79"/>
        <v>1.8017017738191463E-12</v>
      </c>
      <c r="GD105" s="59">
        <f t="shared" si="80"/>
        <v>293.33333333333513</v>
      </c>
      <c r="GE105" s="59">
        <f ca="1">AVERAGE(OFFSET($GD$3,0,0,'Données projet'!$E$17+1,1))-AVERAGE(OFFSET($H$3,0,0,'Données projet'!$E$17+1,1))</f>
        <v>275.5229427552884</v>
      </c>
      <c r="GF105" s="59">
        <f t="shared" si="104"/>
        <v>241.20234081716143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73.524742717196986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2.6696836371418564E-2</v>
      </c>
      <c r="GO105" s="21">
        <f t="shared" si="81"/>
        <v>73.5514395535684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274.57619581652199</v>
      </c>
      <c r="T106" s="59">
        <f t="shared" si="88"/>
        <v>366.15117322598775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 t="e">
        <f>EXP(-LN(2)/35)*Z105+(1-EXP(-LN(2)/35))/(LN(2)/35)*V106*W106*VLOOKUP('Données projet'!$B$9,Paramètres!$A$1:$I$89,3,0)*0.475*44/12</f>
        <v>#VALUE!</v>
      </c>
      <c r="AA106" s="21" t="e">
        <f>EXP(-LN(2)/25)*AA105+(1-EXP(-LN(2)/25))/(LN(2)/25)*Calculateur!V106*Calculateur!X106*VLOOKUP('Données projet'!$B$9,Paramètres!$A$1:$I$89,3,0)*0.475*44/12</f>
        <v>#VALUE!</v>
      </c>
      <c r="AB106" s="21" t="e">
        <f>EXP(-LN(2)/2)*AB105+(1-EXP(-LN(2)/2))/(LN(2)/2)*V106*Y106*VLOOKUP('Données projet'!$B$9,Paramètres!$A$1:$I$89,3,0)*0.475*44/12</f>
        <v>#VALUE!</v>
      </c>
      <c r="AC106" s="22" t="e">
        <f t="shared" si="57"/>
        <v>#VALUE!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175.05987582828078</v>
      </c>
      <c r="AO106" s="59">
        <f t="shared" si="90"/>
        <v>268.54782308462387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71.834322132082249</v>
      </c>
      <c r="AV106" s="21">
        <f>EXP(-LN(2)/25)*AV105+(1-EXP(-LN(2)/25))/(LN(2)/25)*Calculateur!AQ106*Calculateur!AS106*VLOOKUP('Données projet'!$B$10,Paramètres!$A$1:$I$89,3,0)*0.475*44/12</f>
        <v>12.793469702973109</v>
      </c>
      <c r="AW106" s="21">
        <f>EXP(-LN(2)/2)*AW105+(1-EXP(-LN(2)/2))/(LN(2)/2)*AQ106*AT106*VLOOKUP('Données projet'!$B$10,Paramètres!$A$1:$I$89,3,0)*0.475*44/12</f>
        <v>9.5958121498595407E-6</v>
      </c>
      <c r="AX106" s="21">
        <f t="shared" si="60"/>
        <v>84.627801430867507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252.70779718608964</v>
      </c>
      <c r="BJ106" s="59">
        <f t="shared" si="92"/>
        <v>187.86969111712705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224.16941709706643</v>
      </c>
      <c r="BQ106" s="21">
        <f>EXP(-LN(2)/25)*BQ105+(1-EXP(-LN(2)/25))/(LN(2)/25)*Calculateur!BL106*Calculateur!BN106*VLOOKUP('Données projet'!$B$11,Paramètres!$A$1:$I$89,3,0)*0.475*44/12</f>
        <v>49.843664055978522</v>
      </c>
      <c r="BR106" s="21">
        <f>EXP(-LN(2)/2)*BR105+(1-EXP(-LN(2)/2))/(LN(2)/2)*BL106*BO106*VLOOKUP('Données projet'!$B$11,Paramètres!$A$1:$I$89,3,0)*0.475*44/12</f>
        <v>16.868265969278582</v>
      </c>
      <c r="BS106" s="22">
        <f t="shared" si="63"/>
        <v>290.88134712232352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-2.2737367544323206E-13</v>
      </c>
      <c r="BZ106" s="13">
        <f>BY106*VLOOKUP('Données projet'!$B$12,Paramètres!$A$1:$I$89,3,0)*VLOOKUP('Données projet'!$B$12,Paramètres!$A$1:$I$89,5,0)</f>
        <v>-1.3596945791505279E-13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279.86432710889352</v>
      </c>
      <c r="CE106" s="59">
        <f t="shared" si="94"/>
        <v>297.01680128882509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54.150318773219936</v>
      </c>
      <c r="CL106" s="21">
        <f>EXP(-LN(2)/25)*CL105+(1-EXP(-LN(2)/25))/(LN(2)/25)*Calculateur!CG106*Calculateur!CI106*VLOOKUP('Données projet'!$B$12,Paramètres!$A$1:$I$89,3,0)*0.475*44/12</f>
        <v>33.232017340233519</v>
      </c>
      <c r="CM106" s="21">
        <f>EXP(-LN(2)/2)*CM105+(1-EXP(-LN(2)/2))/(LN(2)/2)*CG106*CJ106*VLOOKUP('Données projet'!$B$12,Paramètres!$A$1:$I$89,3,0)*0.475*44/12</f>
        <v>1.455242619686034E-4</v>
      </c>
      <c r="CN106" s="22">
        <f t="shared" si="66"/>
        <v>87.382481637715415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-12.000000000000284</v>
      </c>
      <c r="CU106" s="17">
        <f>CT106*VLOOKUP('Données projet'!$B$13,Paramètres!$A$1:$I$89,3,0)*VLOOKUP('Données projet'!$B$13,Paramètres!$A$1:$I$89,5,0)</f>
        <v>-9.5472000000002257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314.6300257056194</v>
      </c>
      <c r="CZ106" s="59">
        <f t="shared" si="96"/>
        <v>298.00555477466668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90.106130158873228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90.106130158873228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-12.000000000000284</v>
      </c>
      <c r="DP106" s="17">
        <f>DO106*VLOOKUP('Données projet'!$B$14,Paramètres!$A$1:$I$89,3,0)*VLOOKUP('Données projet'!$B$14,Paramètres!$A$1:$I$89,5,0)</f>
        <v>-9.5472000000002257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314.6300257056194</v>
      </c>
      <c r="DU106" s="59">
        <f t="shared" si="98"/>
        <v>298.00555477466668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90.106130158873228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90.106130158873228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>
        <f>VLOOKUP(A106,'Données projet'!$A$191:$I$211,2,0)</f>
        <v>466.39230769230761</v>
      </c>
      <c r="EH106" s="12">
        <f>VLOOKUP(A106,'Données projet'!$A$191:$I$211,9,0)</f>
        <v>10.3980769230769</v>
      </c>
      <c r="EI106" s="12">
        <f t="array" ref="EI106">INDEX(EH:EH,MIN(IF(ISNUMBER(EH106:EH302),ROW(EH106:EH302),"")))</f>
        <v>10.3980769230769</v>
      </c>
      <c r="EJ106" s="12">
        <f>IF('Données projet'!$A$192&gt;35,EJ105+EI106-ER105,IF(A106&lt;'Données projet'!$A$192,$EG$205^A106,IF(A106='Données projet'!$A$192,'Données projet'!$B$192,EJ105+EI106-ER105)))</f>
        <v>466.39230769230812</v>
      </c>
      <c r="EK106" s="17">
        <f>EJ106*VLOOKUP('Données projet'!$B$15,Paramètres!$A$1:$I$89,3,0)*VLOOKUP('Données projet'!$B$15,Paramètres!$A$1:$I$89,5,0)</f>
        <v>224.33470000000023</v>
      </c>
      <c r="EL106" s="13">
        <f t="shared" si="99"/>
        <v>55.05593882934425</v>
      </c>
      <c r="EM106" s="20">
        <f t="shared" si="73"/>
        <v>486.60536262777504</v>
      </c>
      <c r="EN106" s="59">
        <f t="shared" si="74"/>
        <v>779.93869596110835</v>
      </c>
      <c r="EO106" s="59">
        <f ca="1">AVERAGE(OFFSET($EN$3,0,0,'Données projet'!$E$15+1,1))-AVERAGE(OFFSET($H$3,0,0,'Données projet'!$E$15+1,1))</f>
        <v>238.83604534181978</v>
      </c>
      <c r="EP106" s="59">
        <f t="shared" si="100"/>
        <v>114.85152559837792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5.6843418860808015E-14</v>
      </c>
      <c r="FF106" s="17">
        <f>FE106*VLOOKUP('Données projet'!$B$16,Paramètres!$A$1:$I$89,3,0)*VLOOKUP('Données projet'!$B$16,Paramètres!$A$1:$I$89,5,0)</f>
        <v>4.6111381379887463E-14</v>
      </c>
      <c r="FG106" s="13">
        <f t="shared" si="101"/>
        <v>7.5804141040779151E-13</v>
      </c>
      <c r="FH106" s="20">
        <f t="shared" si="76"/>
        <v>1.4005661123635408E-12</v>
      </c>
      <c r="FI106" s="59">
        <f t="shared" si="77"/>
        <v>293.33333333333474</v>
      </c>
      <c r="FJ106" s="59">
        <f ca="1">AVERAGE(OFFSET($FI$3,0,0,'Données projet'!$E$16+1,1))-AVERAGE(OFFSET($H$3,0,0,'Données projet'!$E$16+1,1))</f>
        <v>196.95467273423861</v>
      </c>
      <c r="FK106" s="59">
        <f t="shared" si="102"/>
        <v>173.8709326829258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54.323395690220856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1.4226532315823227E-2</v>
      </c>
      <c r="FT106" s="22">
        <f t="shared" si="78"/>
        <v>54.33762222253668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5.6843418860808015E-14</v>
      </c>
      <c r="GA106" s="17">
        <f>FZ106*VLOOKUP('Données projet'!$B$17,Paramètres!$A$1:$I$89,3,0)*VLOOKUP('Données projet'!$B$17,Paramètres!$A$1:$I$89,5,0)</f>
        <v>6.1186256061773749E-14</v>
      </c>
      <c r="GB106" s="13">
        <f t="shared" si="103"/>
        <v>9.7328366192051127E-13</v>
      </c>
      <c r="GC106" s="20">
        <f t="shared" si="79"/>
        <v>1.8017017738191463E-12</v>
      </c>
      <c r="GD106" s="59">
        <f t="shared" si="80"/>
        <v>293.33333333333513</v>
      </c>
      <c r="GE106" s="59">
        <f ca="1">AVERAGE(OFFSET($GD$3,0,0,'Données projet'!$E$17+1,1))-AVERAGE(OFFSET($H$3,0,0,'Données projet'!$E$17+1,1))</f>
        <v>275.5229427552884</v>
      </c>
      <c r="GF106" s="59">
        <f t="shared" si="104"/>
        <v>241.20234081716143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72.082967358177669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1.887751403445773E-2</v>
      </c>
      <c r="GO106" s="21">
        <f t="shared" si="81"/>
        <v>72.101844872212126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274.57619581652199</v>
      </c>
      <c r="T107" s="59">
        <f t="shared" si="88"/>
        <v>366.15117322598775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 t="e">
        <f>EXP(-LN(2)/35)*Z106+(1-EXP(-LN(2)/35))/(LN(2)/35)*V107*W107*VLOOKUP('Données projet'!$B$9,Paramètres!$A$1:$I$89,3,0)*0.475*44/12</f>
        <v>#VALUE!</v>
      </c>
      <c r="AA107" s="21" t="e">
        <f>EXP(-LN(2)/25)*AA106+(1-EXP(-LN(2)/25))/(LN(2)/25)*Calculateur!V107*Calculateur!X107*VLOOKUP('Données projet'!$B$9,Paramètres!$A$1:$I$89,3,0)*0.475*44/12</f>
        <v>#VALUE!</v>
      </c>
      <c r="AB107" s="21" t="e">
        <f>EXP(-LN(2)/2)*AB106+(1-EXP(-LN(2)/2))/(LN(2)/2)*V107*Y107*VLOOKUP('Données projet'!$B$9,Paramètres!$A$1:$I$89,3,0)*0.475*44/12</f>
        <v>#VALUE!</v>
      </c>
      <c r="AC107" s="22" t="e">
        <f t="shared" si="57"/>
        <v>#VALUE!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175.05987582828078</v>
      </c>
      <c r="AO107" s="59">
        <f t="shared" si="90"/>
        <v>268.54782308462387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70.425694889682291</v>
      </c>
      <c r="AV107" s="21">
        <f>EXP(-LN(2)/25)*AV106+(1-EXP(-LN(2)/25))/(LN(2)/25)*Calculateur!AQ107*Calculateur!AS107*VLOOKUP('Données projet'!$B$10,Paramètres!$A$1:$I$89,3,0)*0.475*44/12</f>
        <v>12.443631601165977</v>
      </c>
      <c r="AW107" s="21">
        <f>EXP(-LN(2)/2)*AW106+(1-EXP(-LN(2)/2))/(LN(2)/2)*AQ107*AT107*VLOOKUP('Données projet'!$B$10,Paramètres!$A$1:$I$89,3,0)*0.475*44/12</f>
        <v>6.7852638421579445E-6</v>
      </c>
      <c r="AX107" s="21">
        <f t="shared" si="60"/>
        <v>82.869333276112101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252.70779718608964</v>
      </c>
      <c r="BJ107" s="59">
        <f t="shared" si="92"/>
        <v>187.86969111712705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219.77359155763642</v>
      </c>
      <c r="BQ107" s="21">
        <f>EXP(-LN(2)/25)*BQ106+(1-EXP(-LN(2)/25))/(LN(2)/25)*Calculateur!BL107*Calculateur!BN107*VLOOKUP('Données projet'!$B$11,Paramètres!$A$1:$I$89,3,0)*0.475*44/12</f>
        <v>48.480686441203417</v>
      </c>
      <c r="BR107" s="21">
        <f>EXP(-LN(2)/2)*BR106+(1-EXP(-LN(2)/2))/(LN(2)/2)*BL107*BO107*VLOOKUP('Données projet'!$B$11,Paramètres!$A$1:$I$89,3,0)*0.475*44/12</f>
        <v>11.927665253735157</v>
      </c>
      <c r="BS107" s="22">
        <f t="shared" si="63"/>
        <v>280.18194325257497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-2.2737367544323206E-13</v>
      </c>
      <c r="BZ107" s="13">
        <f>BY107*VLOOKUP('Données projet'!$B$12,Paramètres!$A$1:$I$89,3,0)*VLOOKUP('Données projet'!$B$12,Paramètres!$A$1:$I$89,5,0)</f>
        <v>-1.3596945791505279E-13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279.86432710889352</v>
      </c>
      <c r="CE107" s="59">
        <f t="shared" si="94"/>
        <v>297.01680128882509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53.088464050510261</v>
      </c>
      <c r="CL107" s="21">
        <f>EXP(-LN(2)/25)*CL106+(1-EXP(-LN(2)/25))/(LN(2)/25)*Calculateur!CG107*Calculateur!CI107*VLOOKUP('Données projet'!$B$12,Paramètres!$A$1:$I$89,3,0)*0.475*44/12</f>
        <v>32.323286078468996</v>
      </c>
      <c r="CM107" s="21">
        <f>EXP(-LN(2)/2)*CM106+(1-EXP(-LN(2)/2))/(LN(2)/2)*CG107*CJ107*VLOOKUP('Données projet'!$B$12,Paramètres!$A$1:$I$89,3,0)*0.475*44/12</f>
        <v>1.0290119246516706E-4</v>
      </c>
      <c r="CN107" s="22">
        <f t="shared" si="66"/>
        <v>85.411853030171727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-12.000000000000284</v>
      </c>
      <c r="CU107" s="17">
        <f>CT107*VLOOKUP('Données projet'!$B$13,Paramètres!$A$1:$I$89,3,0)*VLOOKUP('Données projet'!$B$13,Paramètres!$A$1:$I$89,5,0)</f>
        <v>-9.5472000000002257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314.6300257056194</v>
      </c>
      <c r="CZ107" s="59">
        <f t="shared" si="96"/>
        <v>298.00555477466668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88.339203905770333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88.339203905770333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-12.000000000000284</v>
      </c>
      <c r="DP107" s="17">
        <f>DO107*VLOOKUP('Données projet'!$B$14,Paramètres!$A$1:$I$89,3,0)*VLOOKUP('Données projet'!$B$14,Paramètres!$A$1:$I$89,5,0)</f>
        <v>-9.5472000000002257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314.6300257056194</v>
      </c>
      <c r="DU107" s="59">
        <f t="shared" si="98"/>
        <v>298.00555477466668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88.339203905770333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88.339203905770333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10.094230769230776</v>
      </c>
      <c r="EJ107" s="12">
        <f>IF('Données projet'!$A$192&gt;35,EJ106+EI107-ER106,IF(A107&lt;'Données projet'!$A$192,$EG$205^A107,IF(A107='Données projet'!$A$192,'Données projet'!$B$192,EJ106+EI107-ER106)))</f>
        <v>476.48653846153888</v>
      </c>
      <c r="EK107" s="17">
        <f>EJ107*VLOOKUP('Données projet'!$B$15,Paramètres!$A$1:$I$89,3,0)*VLOOKUP('Données projet'!$B$15,Paramètres!$A$1:$I$89,5,0)</f>
        <v>229.19002500000019</v>
      </c>
      <c r="EL107" s="13">
        <f t="shared" si="99"/>
        <v>56.107510056208206</v>
      </c>
      <c r="EM107" s="20">
        <f t="shared" si="73"/>
        <v>496.89320688956292</v>
      </c>
      <c r="EN107" s="59">
        <f t="shared" si="74"/>
        <v>790.22654022289623</v>
      </c>
      <c r="EO107" s="59">
        <f ca="1">AVERAGE(OFFSET($EN$3,0,0,'Données projet'!$E$15+1,1))-AVERAGE(OFFSET($H$3,0,0,'Données projet'!$E$15+1,1))</f>
        <v>238.83604534181978</v>
      </c>
      <c r="EP107" s="59">
        <f t="shared" si="100"/>
        <v>114.85152559837792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5.6843418860808015E-14</v>
      </c>
      <c r="FF107" s="17">
        <f>FE107*VLOOKUP('Données projet'!$B$16,Paramètres!$A$1:$I$89,3,0)*VLOOKUP('Données projet'!$B$16,Paramètres!$A$1:$I$89,5,0)</f>
        <v>4.6111381379887463E-14</v>
      </c>
      <c r="FG107" s="13">
        <f t="shared" si="101"/>
        <v>7.5804141040779151E-13</v>
      </c>
      <c r="FH107" s="20">
        <f t="shared" si="76"/>
        <v>1.4005661123635408E-12</v>
      </c>
      <c r="FI107" s="59">
        <f t="shared" si="77"/>
        <v>293.33333333333474</v>
      </c>
      <c r="FJ107" s="59">
        <f ca="1">AVERAGE(OFFSET($FI$3,0,0,'Données projet'!$E$16+1,1))-AVERAGE(OFFSET($H$3,0,0,'Données projet'!$E$16+1,1))</f>
        <v>196.95467273423861</v>
      </c>
      <c r="FK107" s="59">
        <f t="shared" si="102"/>
        <v>173.8709326829258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53.258147034735288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1.0059677473288162E-2</v>
      </c>
      <c r="FT107" s="22">
        <f t="shared" si="78"/>
        <v>53.268206712208574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5.6843418860808015E-14</v>
      </c>
      <c r="GA107" s="17">
        <f>FZ107*VLOOKUP('Données projet'!$B$17,Paramètres!$A$1:$I$89,3,0)*VLOOKUP('Données projet'!$B$17,Paramètres!$A$1:$I$89,5,0)</f>
        <v>6.1186256061773749E-14</v>
      </c>
      <c r="GB107" s="13">
        <f t="shared" si="103"/>
        <v>9.7328366192051127E-13</v>
      </c>
      <c r="GC107" s="20">
        <f t="shared" si="79"/>
        <v>1.8017017738191463E-12</v>
      </c>
      <c r="GD107" s="59">
        <f t="shared" si="80"/>
        <v>293.33333333333513</v>
      </c>
      <c r="GE107" s="59">
        <f ca="1">AVERAGE(OFFSET($GD$3,0,0,'Données projet'!$E$17+1,1))-AVERAGE(OFFSET($H$3,0,0,'Données projet'!$E$17+1,1))</f>
        <v>275.5229427552884</v>
      </c>
      <c r="GF107" s="59">
        <f t="shared" si="104"/>
        <v>241.20234081716143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70.669464334552586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1.3348418185709282E-2</v>
      </c>
      <c r="GO107" s="21">
        <f t="shared" si="81"/>
        <v>70.6828127527383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274.57619581652199</v>
      </c>
      <c r="T108" s="59">
        <f t="shared" si="88"/>
        <v>366.15117322598775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 t="e">
        <f>EXP(-LN(2)/35)*Z107+(1-EXP(-LN(2)/35))/(LN(2)/35)*V108*W108*VLOOKUP('Données projet'!$B$9,Paramètres!$A$1:$I$89,3,0)*0.475*44/12</f>
        <v>#VALUE!</v>
      </c>
      <c r="AA108" s="21" t="e">
        <f>EXP(-LN(2)/25)*AA107+(1-EXP(-LN(2)/25))/(LN(2)/25)*Calculateur!V108*Calculateur!X108*VLOOKUP('Données projet'!$B$9,Paramètres!$A$1:$I$89,3,0)*0.475*44/12</f>
        <v>#VALUE!</v>
      </c>
      <c r="AB108" s="21" t="e">
        <f>EXP(-LN(2)/2)*AB107+(1-EXP(-LN(2)/2))/(LN(2)/2)*V108*Y108*VLOOKUP('Données projet'!$B$9,Paramètres!$A$1:$I$89,3,0)*0.475*44/12</f>
        <v>#VALUE!</v>
      </c>
      <c r="AC108" s="22" t="e">
        <f t="shared" si="57"/>
        <v>#VALUE!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175.05987582828078</v>
      </c>
      <c r="AO108" s="59">
        <f t="shared" si="90"/>
        <v>268.54782308462387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69.044689968328001</v>
      </c>
      <c r="AV108" s="21">
        <f>EXP(-LN(2)/25)*AV107+(1-EXP(-LN(2)/25))/(LN(2)/25)*Calculateur!AQ108*Calculateur!AS108*VLOOKUP('Données projet'!$B$10,Paramètres!$A$1:$I$89,3,0)*0.475*44/12</f>
        <v>12.103359840649949</v>
      </c>
      <c r="AW108" s="21">
        <f>EXP(-LN(2)/2)*AW107+(1-EXP(-LN(2)/2))/(LN(2)/2)*AQ108*AT108*VLOOKUP('Données projet'!$B$10,Paramètres!$A$1:$I$89,3,0)*0.475*44/12</f>
        <v>4.7979060749297703E-6</v>
      </c>
      <c r="AX108" s="21">
        <f t="shared" si="60"/>
        <v>81.148054606884017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252.70779718608964</v>
      </c>
      <c r="BJ108" s="59">
        <f t="shared" si="92"/>
        <v>187.86969111712705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215.46396547584581</v>
      </c>
      <c r="BQ108" s="21">
        <f>EXP(-LN(2)/25)*BQ107+(1-EXP(-LN(2)/25))/(LN(2)/25)*Calculateur!BL108*Calculateur!BN108*VLOOKUP('Données projet'!$B$11,Paramètres!$A$1:$I$89,3,0)*0.475*44/12</f>
        <v>47.154979520980213</v>
      </c>
      <c r="BR108" s="21">
        <f>EXP(-LN(2)/2)*BR107+(1-EXP(-LN(2)/2))/(LN(2)/2)*BL108*BO108*VLOOKUP('Données projet'!$B$11,Paramètres!$A$1:$I$89,3,0)*0.475*44/12</f>
        <v>8.434132984639291</v>
      </c>
      <c r="BS108" s="22">
        <f t="shared" si="63"/>
        <v>271.05307798146532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-2.2737367544323206E-13</v>
      </c>
      <c r="BZ108" s="13">
        <f>BY108*VLOOKUP('Données projet'!$B$12,Paramètres!$A$1:$I$89,3,0)*VLOOKUP('Données projet'!$B$12,Paramètres!$A$1:$I$89,5,0)</f>
        <v>-1.3596945791505279E-13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279.86432710889352</v>
      </c>
      <c r="CE108" s="59">
        <f t="shared" si="94"/>
        <v>297.01680128882509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52.047431651245489</v>
      </c>
      <c r="CL108" s="21">
        <f>EXP(-LN(2)/25)*CL107+(1-EXP(-LN(2)/25))/(LN(2)/25)*Calculateur!CG108*Calculateur!CI108*VLOOKUP('Données projet'!$B$12,Paramètres!$A$1:$I$89,3,0)*0.475*44/12</f>
        <v>31.439404120845523</v>
      </c>
      <c r="CM108" s="21">
        <f>EXP(-LN(2)/2)*CM107+(1-EXP(-LN(2)/2))/(LN(2)/2)*CG108*CJ108*VLOOKUP('Données projet'!$B$12,Paramètres!$A$1:$I$89,3,0)*0.475*44/12</f>
        <v>7.2762130984301698E-5</v>
      </c>
      <c r="CN108" s="22">
        <f t="shared" si="66"/>
        <v>83.486908534221996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-12.000000000000284</v>
      </c>
      <c r="CU108" s="17">
        <f>CT108*VLOOKUP('Données projet'!$B$13,Paramètres!$A$1:$I$89,3,0)*VLOOKUP('Données projet'!$B$13,Paramètres!$A$1:$I$89,5,0)</f>
        <v>-9.5472000000002257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314.6300257056194</v>
      </c>
      <c r="CZ108" s="59">
        <f t="shared" si="96"/>
        <v>298.00555477466668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86.606925998772198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86.606925998772198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-12.000000000000284</v>
      </c>
      <c r="DP108" s="17">
        <f>DO108*VLOOKUP('Données projet'!$B$14,Paramètres!$A$1:$I$89,3,0)*VLOOKUP('Données projet'!$B$14,Paramètres!$A$1:$I$89,5,0)</f>
        <v>-9.5472000000002257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314.6300257056194</v>
      </c>
      <c r="DU108" s="59">
        <f t="shared" si="98"/>
        <v>298.00555477466668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86.606925998772198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86.606925998772198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10.094230769230776</v>
      </c>
      <c r="EJ108" s="12">
        <f>IF('Données projet'!$A$192&gt;35,EJ107+EI108-ER107,IF(A108&lt;'Données projet'!$A$192,$EG$205^A108,IF(A108='Données projet'!$A$192,'Données projet'!$B$192,EJ107+EI108-ER107)))</f>
        <v>486.58076923076965</v>
      </c>
      <c r="EK108" s="17">
        <f>EJ108*VLOOKUP('Données projet'!$B$15,Paramètres!$A$1:$I$89,3,0)*VLOOKUP('Données projet'!$B$15,Paramètres!$A$1:$I$89,5,0)</f>
        <v>234.04535000000018</v>
      </c>
      <c r="EL108" s="13">
        <f t="shared" si="99"/>
        <v>57.156491202628651</v>
      </c>
      <c r="EM108" s="20">
        <f t="shared" si="73"/>
        <v>507.17654009457851</v>
      </c>
      <c r="EN108" s="59">
        <f t="shared" si="74"/>
        <v>800.50987342791177</v>
      </c>
      <c r="EO108" s="59">
        <f ca="1">AVERAGE(OFFSET($EN$3,0,0,'Données projet'!$E$15+1,1))-AVERAGE(OFFSET($H$3,0,0,'Données projet'!$E$15+1,1))</f>
        <v>238.83604534181978</v>
      </c>
      <c r="EP108" s="59">
        <f t="shared" si="100"/>
        <v>114.85152559837792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5.6843418860808015E-14</v>
      </c>
      <c r="FF108" s="17">
        <f>FE108*VLOOKUP('Données projet'!$B$16,Paramètres!$A$1:$I$89,3,0)*VLOOKUP('Données projet'!$B$16,Paramètres!$A$1:$I$89,5,0)</f>
        <v>4.6111381379887463E-14</v>
      </c>
      <c r="FG108" s="13">
        <f t="shared" si="101"/>
        <v>7.5804141040779151E-13</v>
      </c>
      <c r="FH108" s="20">
        <f t="shared" si="76"/>
        <v>1.4005661123635408E-12</v>
      </c>
      <c r="FI108" s="59">
        <f t="shared" si="77"/>
        <v>293.33333333333474</v>
      </c>
      <c r="FJ108" s="59">
        <f ca="1">AVERAGE(OFFSET($FI$3,0,0,'Données projet'!$E$16+1,1))-AVERAGE(OFFSET($H$3,0,0,'Données projet'!$E$16+1,1))</f>
        <v>196.95467273423861</v>
      </c>
      <c r="FK108" s="59">
        <f t="shared" si="102"/>
        <v>173.8709326829258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52.213787255646267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7.1132661579116135E-3</v>
      </c>
      <c r="FT108" s="22">
        <f t="shared" si="78"/>
        <v>52.220900521804175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5.6843418860808015E-14</v>
      </c>
      <c r="GA108" s="17">
        <f>FZ108*VLOOKUP('Données projet'!$B$17,Paramètres!$A$1:$I$89,3,0)*VLOOKUP('Données projet'!$B$17,Paramètres!$A$1:$I$89,5,0)</f>
        <v>6.1186256061773749E-14</v>
      </c>
      <c r="GB108" s="13">
        <f t="shared" si="103"/>
        <v>9.7328366192051127E-13</v>
      </c>
      <c r="GC108" s="20">
        <f t="shared" si="79"/>
        <v>1.8017017738191463E-12</v>
      </c>
      <c r="GD108" s="59">
        <f t="shared" si="80"/>
        <v>293.33333333333513</v>
      </c>
      <c r="GE108" s="59">
        <f ca="1">AVERAGE(OFFSET($GD$3,0,0,'Données projet'!$E$17+1,1))-AVERAGE(OFFSET($H$3,0,0,'Données projet'!$E$17+1,1))</f>
        <v>275.5229427552884</v>
      </c>
      <c r="GF108" s="59">
        <f t="shared" si="104"/>
        <v>241.20234081716143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69.283679243069074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9.4387570172288649E-3</v>
      </c>
      <c r="GO108" s="21">
        <f t="shared" si="81"/>
        <v>69.293118000086309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274.57619581652199</v>
      </c>
      <c r="T109" s="59">
        <f t="shared" si="88"/>
        <v>366.15117322598775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 t="e">
        <f>EXP(-LN(2)/35)*Z108+(1-EXP(-LN(2)/35))/(LN(2)/35)*V109*W109*VLOOKUP('Données projet'!$B$9,Paramètres!$A$1:$I$89,3,0)*0.475*44/12</f>
        <v>#VALUE!</v>
      </c>
      <c r="AA109" s="21" t="e">
        <f>EXP(-LN(2)/25)*AA108+(1-EXP(-LN(2)/25))/(LN(2)/25)*Calculateur!V109*Calculateur!X109*VLOOKUP('Données projet'!$B$9,Paramètres!$A$1:$I$89,3,0)*0.475*44/12</f>
        <v>#VALUE!</v>
      </c>
      <c r="AB109" s="21" t="e">
        <f>EXP(-LN(2)/2)*AB108+(1-EXP(-LN(2)/2))/(LN(2)/2)*V109*Y109*VLOOKUP('Données projet'!$B$9,Paramètres!$A$1:$I$89,3,0)*0.475*44/12</f>
        <v>#VALUE!</v>
      </c>
      <c r="AC109" s="22" t="e">
        <f t="shared" si="57"/>
        <v>#VALUE!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175.05987582828078</v>
      </c>
      <c r="AO109" s="59">
        <f t="shared" si="90"/>
        <v>268.54782308462387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67.690765711151641</v>
      </c>
      <c r="AV109" s="21">
        <f>EXP(-LN(2)/25)*AV108+(1-EXP(-LN(2)/25))/(LN(2)/25)*Calculateur!AQ109*Calculateur!AS109*VLOOKUP('Données projet'!$B$10,Paramètres!$A$1:$I$89,3,0)*0.475*44/12</f>
        <v>11.772392829319344</v>
      </c>
      <c r="AW109" s="21">
        <f>EXP(-LN(2)/2)*AW108+(1-EXP(-LN(2)/2))/(LN(2)/2)*AQ109*AT109*VLOOKUP('Données projet'!$B$10,Paramètres!$A$1:$I$89,3,0)*0.475*44/12</f>
        <v>3.3926319210789723E-6</v>
      </c>
      <c r="AX109" s="21">
        <f t="shared" si="60"/>
        <v>79.46316193310291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252.70779718608964</v>
      </c>
      <c r="BJ109" s="59">
        <f t="shared" si="92"/>
        <v>187.86969111712705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211.23884853290676</v>
      </c>
      <c r="BQ109" s="21">
        <f>EXP(-LN(2)/25)*BQ108+(1-EXP(-LN(2)/25))/(LN(2)/25)*Calculateur!BL109*Calculateur!BN109*VLOOKUP('Données projet'!$B$11,Paramètres!$A$1:$I$89,3,0)*0.475*44/12</f>
        <v>45.86552412620641</v>
      </c>
      <c r="BR109" s="21">
        <f>EXP(-LN(2)/2)*BR108+(1-EXP(-LN(2)/2))/(LN(2)/2)*BL109*BO109*VLOOKUP('Données projet'!$B$11,Paramètres!$A$1:$I$89,3,0)*0.475*44/12</f>
        <v>5.9638326268675783</v>
      </c>
      <c r="BS109" s="22">
        <f t="shared" si="63"/>
        <v>263.06820528598075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-2.2737367544323206E-13</v>
      </c>
      <c r="BZ109" s="13">
        <f>BY109*VLOOKUP('Données projet'!$B$12,Paramètres!$A$1:$I$89,3,0)*VLOOKUP('Données projet'!$B$12,Paramètres!$A$1:$I$89,5,0)</f>
        <v>-1.3596945791505279E-13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279.86432710889352</v>
      </c>
      <c r="CE109" s="59">
        <f t="shared" si="94"/>
        <v>297.01680128882509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51.026813262363234</v>
      </c>
      <c r="CL109" s="21">
        <f>EXP(-LN(2)/25)*CL108+(1-EXP(-LN(2)/25))/(LN(2)/25)*Calculateur!CG109*Calculateur!CI109*VLOOKUP('Données projet'!$B$12,Paramètres!$A$1:$I$89,3,0)*0.475*44/12</f>
        <v>30.579691961834595</v>
      </c>
      <c r="CM109" s="21">
        <f>EXP(-LN(2)/2)*CM108+(1-EXP(-LN(2)/2))/(LN(2)/2)*CG109*CJ109*VLOOKUP('Données projet'!$B$12,Paramètres!$A$1:$I$89,3,0)*0.475*44/12</f>
        <v>5.1450596232583532E-5</v>
      </c>
      <c r="CN109" s="22">
        <f t="shared" si="66"/>
        <v>81.606556674794064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-12.000000000000284</v>
      </c>
      <c r="CU109" s="17">
        <f>CT109*VLOOKUP('Données projet'!$B$13,Paramètres!$A$1:$I$89,3,0)*VLOOKUP('Données projet'!$B$13,Paramètres!$A$1:$I$89,5,0)</f>
        <v>-9.5472000000002257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314.6300257056194</v>
      </c>
      <c r="CZ109" s="59">
        <f t="shared" si="96"/>
        <v>298.00555477466668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84.9086170049451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84.9086170049451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-12.000000000000284</v>
      </c>
      <c r="DP109" s="17">
        <f>DO109*VLOOKUP('Données projet'!$B$14,Paramètres!$A$1:$I$89,3,0)*VLOOKUP('Données projet'!$B$14,Paramètres!$A$1:$I$89,5,0)</f>
        <v>-9.5472000000002257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314.6300257056194</v>
      </c>
      <c r="DU109" s="59">
        <f t="shared" si="98"/>
        <v>298.00555477466668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84.9086170049451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84.9086170049451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10.094230769230776</v>
      </c>
      <c r="EJ109" s="12">
        <f>IF('Données projet'!$A$192&gt;35,EJ108+EI109-ER108,IF(A109&lt;'Données projet'!$A$192,$EG$205^A109,IF(A109='Données projet'!$A$192,'Données projet'!$B$192,EJ108+EI109-ER108)))</f>
        <v>496.67500000000041</v>
      </c>
      <c r="EK109" s="17">
        <f>EJ109*VLOOKUP('Données projet'!$B$15,Paramètres!$A$1:$I$89,3,0)*VLOOKUP('Données projet'!$B$15,Paramètres!$A$1:$I$89,5,0)</f>
        <v>238.90067500000021</v>
      </c>
      <c r="EL109" s="13">
        <f t="shared" si="99"/>
        <v>58.202942191118133</v>
      </c>
      <c r="EM109" s="20">
        <f t="shared" si="73"/>
        <v>517.45546660786442</v>
      </c>
      <c r="EN109" s="59">
        <f t="shared" si="74"/>
        <v>810.78879994119779</v>
      </c>
      <c r="EO109" s="59">
        <f ca="1">AVERAGE(OFFSET($EN$3,0,0,'Données projet'!$E$15+1,1))-AVERAGE(OFFSET($H$3,0,0,'Données projet'!$E$15+1,1))</f>
        <v>238.83604534181978</v>
      </c>
      <c r="EP109" s="59">
        <f t="shared" si="100"/>
        <v>114.85152559837792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5.6843418860808015E-14</v>
      </c>
      <c r="FF109" s="17">
        <f>FE109*VLOOKUP('Données projet'!$B$16,Paramètres!$A$1:$I$89,3,0)*VLOOKUP('Données projet'!$B$16,Paramètres!$A$1:$I$89,5,0)</f>
        <v>4.6111381379887463E-14</v>
      </c>
      <c r="FG109" s="13">
        <f t="shared" si="101"/>
        <v>7.5804141040779151E-13</v>
      </c>
      <c r="FH109" s="20">
        <f t="shared" si="76"/>
        <v>1.4005661123635408E-12</v>
      </c>
      <c r="FI109" s="59">
        <f t="shared" si="77"/>
        <v>293.33333333333474</v>
      </c>
      <c r="FJ109" s="59">
        <f ca="1">AVERAGE(OFFSET($FI$3,0,0,'Données projet'!$E$16+1,1))-AVERAGE(OFFSET($H$3,0,0,'Données projet'!$E$16+1,1))</f>
        <v>196.95467273423861</v>
      </c>
      <c r="FK109" s="59">
        <f t="shared" si="102"/>
        <v>173.8709326829258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51.189906734828611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5.0298387366440808E-3</v>
      </c>
      <c r="FT109" s="22">
        <f t="shared" si="78"/>
        <v>51.194936573565258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5.6843418860808015E-14</v>
      </c>
      <c r="GA109" s="17">
        <f>FZ109*VLOOKUP('Données projet'!$B$17,Paramètres!$A$1:$I$89,3,0)*VLOOKUP('Données projet'!$B$17,Paramètres!$A$1:$I$89,5,0)</f>
        <v>6.1186256061773749E-14</v>
      </c>
      <c r="GB109" s="13">
        <f t="shared" si="103"/>
        <v>9.7328366192051127E-13</v>
      </c>
      <c r="GC109" s="20">
        <f t="shared" si="79"/>
        <v>1.8017017738191463E-12</v>
      </c>
      <c r="GD109" s="59">
        <f t="shared" si="80"/>
        <v>293.33333333333513</v>
      </c>
      <c r="GE109" s="59">
        <f ca="1">AVERAGE(OFFSET($GD$3,0,0,'Données projet'!$E$17+1,1))-AVERAGE(OFFSET($H$3,0,0,'Données projet'!$E$17+1,1))</f>
        <v>275.5229427552884</v>
      </c>
      <c r="GF109" s="59">
        <f t="shared" si="104"/>
        <v>241.20234081716143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67.925068551984111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6.674209092854641E-3</v>
      </c>
      <c r="GO109" s="21">
        <f t="shared" si="81"/>
        <v>67.931742761076961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274.57619581652199</v>
      </c>
      <c r="T110" s="59">
        <f t="shared" si="88"/>
        <v>366.15117322598775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 t="e">
        <f>EXP(-LN(2)/35)*Z109+(1-EXP(-LN(2)/35))/(LN(2)/35)*V110*W110*VLOOKUP('Données projet'!$B$9,Paramètres!$A$1:$I$89,3,0)*0.475*44/12</f>
        <v>#VALUE!</v>
      </c>
      <c r="AA110" s="21" t="e">
        <f>EXP(-LN(2)/25)*AA109+(1-EXP(-LN(2)/25))/(LN(2)/25)*Calculateur!V110*Calculateur!X110*VLOOKUP('Données projet'!$B$9,Paramètres!$A$1:$I$89,3,0)*0.475*44/12</f>
        <v>#VALUE!</v>
      </c>
      <c r="AB110" s="21" t="e">
        <f>EXP(-LN(2)/2)*AB109+(1-EXP(-LN(2)/2))/(LN(2)/2)*V110*Y110*VLOOKUP('Données projet'!$B$9,Paramètres!$A$1:$I$89,3,0)*0.475*44/12</f>
        <v>#VALUE!</v>
      </c>
      <c r="AC110" s="22" t="e">
        <f t="shared" si="57"/>
        <v>#VALUE!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175.05987582828078</v>
      </c>
      <c r="AO110" s="59">
        <f t="shared" si="90"/>
        <v>268.54782308462387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66.363391082846263</v>
      </c>
      <c r="AV110" s="21">
        <f>EXP(-LN(2)/25)*AV109+(1-EXP(-LN(2)/25))/(LN(2)/25)*Calculateur!AQ110*Calculateur!AS110*VLOOKUP('Données projet'!$B$10,Paramètres!$A$1:$I$89,3,0)*0.475*44/12</f>
        <v>11.450476128318373</v>
      </c>
      <c r="AW110" s="21">
        <f>EXP(-LN(2)/2)*AW109+(1-EXP(-LN(2)/2))/(LN(2)/2)*AQ110*AT110*VLOOKUP('Données projet'!$B$10,Paramètres!$A$1:$I$89,3,0)*0.475*44/12</f>
        <v>2.3989530374648852E-6</v>
      </c>
      <c r="AX110" s="21">
        <f t="shared" si="60"/>
        <v>77.813869610117678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252.70779718608964</v>
      </c>
      <c r="BJ110" s="59">
        <f t="shared" si="92"/>
        <v>187.86969111712705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207.09658355615187</v>
      </c>
      <c r="BQ110" s="21">
        <f>EXP(-LN(2)/25)*BQ109+(1-EXP(-LN(2)/25))/(LN(2)/25)*Calculateur!BL110*Calculateur!BN110*VLOOKUP('Données projet'!$B$11,Paramètres!$A$1:$I$89,3,0)*0.475*44/12</f>
        <v>44.611328957012212</v>
      </c>
      <c r="BR110" s="21">
        <f>EXP(-LN(2)/2)*BR109+(1-EXP(-LN(2)/2))/(LN(2)/2)*BL110*BO110*VLOOKUP('Données projet'!$B$11,Paramètres!$A$1:$I$89,3,0)*0.475*44/12</f>
        <v>4.2170664923196455</v>
      </c>
      <c r="BS110" s="22">
        <f t="shared" si="63"/>
        <v>255.92497900548372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-2.2737367544323206E-13</v>
      </c>
      <c r="BZ110" s="13">
        <f>BY110*VLOOKUP('Données projet'!$B$12,Paramètres!$A$1:$I$89,3,0)*VLOOKUP('Données projet'!$B$12,Paramètres!$A$1:$I$89,5,0)</f>
        <v>-1.3596945791505279E-13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279.86432710889352</v>
      </c>
      <c r="CE110" s="59">
        <f t="shared" si="94"/>
        <v>297.01680128882509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50.026208577571211</v>
      </c>
      <c r="CL110" s="21">
        <f>EXP(-LN(2)/25)*CL109+(1-EXP(-LN(2)/25))/(LN(2)/25)*Calculateur!CG110*Calculateur!CI110*VLOOKUP('Données projet'!$B$12,Paramètres!$A$1:$I$89,3,0)*0.475*44/12</f>
        <v>29.743488677022118</v>
      </c>
      <c r="CM110" s="21">
        <f>EXP(-LN(2)/2)*CM109+(1-EXP(-LN(2)/2))/(LN(2)/2)*CG110*CJ110*VLOOKUP('Données projet'!$B$12,Paramètres!$A$1:$I$89,3,0)*0.475*44/12</f>
        <v>3.6381065492150849E-5</v>
      </c>
      <c r="CN110" s="22">
        <f t="shared" si="66"/>
        <v>79.769733635658824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-12.000000000000284</v>
      </c>
      <c r="CU110" s="17">
        <f>CT110*VLOOKUP('Données projet'!$B$13,Paramètres!$A$1:$I$89,3,0)*VLOOKUP('Données projet'!$B$13,Paramètres!$A$1:$I$89,5,0)</f>
        <v>-9.5472000000002257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314.6300257056194</v>
      </c>
      <c r="CZ110" s="59">
        <f t="shared" si="96"/>
        <v>298.00555477466668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83.243610814620752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83.243610814620752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-12.000000000000284</v>
      </c>
      <c r="DP110" s="17">
        <f>DO110*VLOOKUP('Données projet'!$B$14,Paramètres!$A$1:$I$89,3,0)*VLOOKUP('Données projet'!$B$14,Paramètres!$A$1:$I$89,5,0)</f>
        <v>-9.5472000000002257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314.6300257056194</v>
      </c>
      <c r="DU110" s="59">
        <f t="shared" si="98"/>
        <v>298.00555477466668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83.243610814620752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83.243610814620752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>
        <f>VLOOKUP(A110,'Données projet'!$A$191:$I$211,2,0)</f>
        <v>506.76923076923072</v>
      </c>
      <c r="EH110" s="12">
        <f>VLOOKUP(A110,'Données projet'!$A$191:$I$211,9,0)</f>
        <v>10.094230769230776</v>
      </c>
      <c r="EI110" s="12">
        <f t="array" ref="EI110">INDEX(EH:EH,MIN(IF(ISNUMBER(EH110:EH306),ROW(EH110:EH306),"")))</f>
        <v>10.094230769230776</v>
      </c>
      <c r="EJ110" s="12">
        <f>IF('Données projet'!$A$192&gt;35,EJ109+EI110-ER109,IF(A110&lt;'Données projet'!$A$192,$EG$205^A110,IF(A110='Données projet'!$A$192,'Données projet'!$B$192,EJ109+EI110-ER109)))</f>
        <v>506.76923076923117</v>
      </c>
      <c r="EK110" s="17">
        <f>EJ110*VLOOKUP('Données projet'!$B$15,Paramètres!$A$1:$I$89,3,0)*VLOOKUP('Données projet'!$B$15,Paramètres!$A$1:$I$89,5,0)</f>
        <v>243.7560000000002</v>
      </c>
      <c r="EL110" s="13">
        <f t="shared" si="99"/>
        <v>59.246920369263016</v>
      </c>
      <c r="EM110" s="20">
        <f t="shared" si="73"/>
        <v>527.73008630980019</v>
      </c>
      <c r="EN110" s="59">
        <f t="shared" si="74"/>
        <v>821.06341964313356</v>
      </c>
      <c r="EO110" s="59">
        <f ca="1">AVERAGE(OFFSET($EN$3,0,0,'Données projet'!$E$15+1,1))-AVERAGE(OFFSET($H$3,0,0,'Données projet'!$E$15+1,1))</f>
        <v>238.83604534181978</v>
      </c>
      <c r="EP110" s="59">
        <f t="shared" si="100"/>
        <v>114.85152559837792</v>
      </c>
      <c r="EQ110" s="15">
        <f>IF(ISNA(VLOOKUP(A110,'Données projet'!$A$191:$I$211,3,0)),0,VLOOKUP(A110,'Données projet'!$A$191:$I$211,3,0))</f>
        <v>9</v>
      </c>
      <c r="ER110" s="15">
        <f>IF(ISNA(VLOOKUP(A110,'Données projet'!$A$191:$I$211,4,0)),0,VLOOKUP(A110,'Données projet'!$A$191:$I$211,4,0))</f>
        <v>76.292307692307702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5.6843418860808015E-14</v>
      </c>
      <c r="FF110" s="17">
        <f>FE110*VLOOKUP('Données projet'!$B$16,Paramètres!$A$1:$I$89,3,0)*VLOOKUP('Données projet'!$B$16,Paramètres!$A$1:$I$89,5,0)</f>
        <v>4.6111381379887463E-14</v>
      </c>
      <c r="FG110" s="13">
        <f t="shared" si="101"/>
        <v>7.5804141040779151E-13</v>
      </c>
      <c r="FH110" s="20">
        <f t="shared" si="76"/>
        <v>1.4005661123635408E-12</v>
      </c>
      <c r="FI110" s="59">
        <f t="shared" si="77"/>
        <v>293.33333333333474</v>
      </c>
      <c r="FJ110" s="59">
        <f ca="1">AVERAGE(OFFSET($FI$3,0,0,'Données projet'!$E$16+1,1))-AVERAGE(OFFSET($H$3,0,0,'Données projet'!$E$16+1,1))</f>
        <v>196.95467273423861</v>
      </c>
      <c r="FK110" s="59">
        <f t="shared" si="102"/>
        <v>173.8709326829258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50.186103886518737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3.5566330789558068E-3</v>
      </c>
      <c r="FT110" s="22">
        <f t="shared" si="78"/>
        <v>50.189660519597695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5.6843418860808015E-14</v>
      </c>
      <c r="GA110" s="17">
        <f>FZ110*VLOOKUP('Données projet'!$B$17,Paramètres!$A$1:$I$89,3,0)*VLOOKUP('Données projet'!$B$17,Paramètres!$A$1:$I$89,5,0)</f>
        <v>6.1186256061773749E-14</v>
      </c>
      <c r="GB110" s="13">
        <f t="shared" si="103"/>
        <v>9.7328366192051127E-13</v>
      </c>
      <c r="GC110" s="20">
        <f t="shared" si="79"/>
        <v>1.8017017738191463E-12</v>
      </c>
      <c r="GD110" s="59">
        <f t="shared" si="80"/>
        <v>293.33333333333513</v>
      </c>
      <c r="GE110" s="59">
        <f ca="1">AVERAGE(OFFSET($GD$3,0,0,'Données projet'!$E$17+1,1))-AVERAGE(OFFSET($H$3,0,0,'Données projet'!$E$17+1,1))</f>
        <v>275.5229427552884</v>
      </c>
      <c r="GF110" s="59">
        <f t="shared" si="104"/>
        <v>241.20234081716143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66.593099387880628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4.7193785086144325E-3</v>
      </c>
      <c r="GO110" s="21">
        <f t="shared" si="81"/>
        <v>66.597818766389238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274.57619581652199</v>
      </c>
      <c r="T111" s="59">
        <f t="shared" si="88"/>
        <v>366.15117322598775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 t="e">
        <f>EXP(-LN(2)/35)*Z110+(1-EXP(-LN(2)/35))/(LN(2)/35)*V111*W111*VLOOKUP('Données projet'!$B$9,Paramètres!$A$1:$I$89,3,0)*0.475*44/12</f>
        <v>#VALUE!</v>
      </c>
      <c r="AA111" s="21" t="e">
        <f>EXP(-LN(2)/25)*AA110+(1-EXP(-LN(2)/25))/(LN(2)/25)*Calculateur!V111*Calculateur!X111*VLOOKUP('Données projet'!$B$9,Paramètres!$A$1:$I$89,3,0)*0.475*44/12</f>
        <v>#VALUE!</v>
      </c>
      <c r="AB111" s="21" t="e">
        <f>EXP(-LN(2)/2)*AB110+(1-EXP(-LN(2)/2))/(LN(2)/2)*V111*Y111*VLOOKUP('Données projet'!$B$9,Paramètres!$A$1:$I$89,3,0)*0.475*44/12</f>
        <v>#VALUE!</v>
      </c>
      <c r="AC111" s="22" t="e">
        <f t="shared" si="57"/>
        <v>#VALUE!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175.05987582828078</v>
      </c>
      <c r="AO111" s="59">
        <f t="shared" si="90"/>
        <v>268.54782308462387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65.062045461383377</v>
      </c>
      <c r="AV111" s="21">
        <f>EXP(-LN(2)/25)*AV110+(1-EXP(-LN(2)/25))/(LN(2)/25)*Calculateur!AQ111*Calculateur!AS111*VLOOKUP('Données projet'!$B$10,Paramètres!$A$1:$I$89,3,0)*0.475*44/12</f>
        <v>11.137362256435138</v>
      </c>
      <c r="AW111" s="21">
        <f>EXP(-LN(2)/2)*AW110+(1-EXP(-LN(2)/2))/(LN(2)/2)*AQ111*AT111*VLOOKUP('Données projet'!$B$10,Paramètres!$A$1:$I$89,3,0)*0.475*44/12</f>
        <v>1.6963159605394861E-6</v>
      </c>
      <c r="AX111" s="21">
        <f t="shared" si="60"/>
        <v>76.199409414134479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252.70779718608964</v>
      </c>
      <c r="BJ111" s="59">
        <f t="shared" si="92"/>
        <v>187.86969111712705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203.03554586905898</v>
      </c>
      <c r="BQ111" s="21">
        <f>EXP(-LN(2)/25)*BQ110+(1-EXP(-LN(2)/25))/(LN(2)/25)*Calculateur!BL111*Calculateur!BN111*VLOOKUP('Données projet'!$B$11,Paramètres!$A$1:$I$89,3,0)*0.475*44/12</f>
        <v>43.391429820674887</v>
      </c>
      <c r="BR111" s="21">
        <f>EXP(-LN(2)/2)*BR110+(1-EXP(-LN(2)/2))/(LN(2)/2)*BL111*BO111*VLOOKUP('Données projet'!$B$11,Paramètres!$A$1:$I$89,3,0)*0.475*44/12</f>
        <v>2.9819163134337892</v>
      </c>
      <c r="BS111" s="22">
        <f t="shared" si="63"/>
        <v>249.40889200316767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-2.2737367544323206E-13</v>
      </c>
      <c r="BZ111" s="13">
        <f>BY111*VLOOKUP('Données projet'!$B$12,Paramètres!$A$1:$I$89,3,0)*VLOOKUP('Données projet'!$B$12,Paramètres!$A$1:$I$89,5,0)</f>
        <v>-1.3596945791505279E-13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279.86432710889352</v>
      </c>
      <c r="CE111" s="59">
        <f t="shared" si="94"/>
        <v>297.01680128882509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49.045225140339369</v>
      </c>
      <c r="CL111" s="21">
        <f>EXP(-LN(2)/25)*CL110+(1-EXP(-LN(2)/25))/(LN(2)/25)*Calculateur!CG111*Calculateur!CI111*VLOOKUP('Données projet'!$B$12,Paramètres!$A$1:$I$89,3,0)*0.475*44/12</f>
        <v>28.930151415006858</v>
      </c>
      <c r="CM111" s="21">
        <f>EXP(-LN(2)/2)*CM110+(1-EXP(-LN(2)/2))/(LN(2)/2)*CG111*CJ111*VLOOKUP('Données projet'!$B$12,Paramètres!$A$1:$I$89,3,0)*0.475*44/12</f>
        <v>2.5725298116291766E-5</v>
      </c>
      <c r="CN111" s="22">
        <f t="shared" si="66"/>
        <v>77.975402280644346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-12.000000000000284</v>
      </c>
      <c r="CU111" s="17">
        <f>CT111*VLOOKUP('Données projet'!$B$13,Paramètres!$A$1:$I$89,3,0)*VLOOKUP('Données projet'!$B$13,Paramètres!$A$1:$I$89,5,0)</f>
        <v>-9.5472000000002257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314.6300257056194</v>
      </c>
      <c r="CZ111" s="59">
        <f t="shared" si="96"/>
        <v>298.00555477466668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81.611254380135165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81.611254380135165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-12.000000000000284</v>
      </c>
      <c r="DP111" s="17">
        <f>DO111*VLOOKUP('Données projet'!$B$14,Paramètres!$A$1:$I$89,3,0)*VLOOKUP('Données projet'!$B$14,Paramètres!$A$1:$I$89,5,0)</f>
        <v>-9.5472000000002257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314.6300257056194</v>
      </c>
      <c r="DU111" s="59">
        <f t="shared" si="98"/>
        <v>298.00555477466668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81.611254380135165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81.611254380135165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9.3169230769230804</v>
      </c>
      <c r="EJ111" s="12">
        <f>IF('Données projet'!$A$192&gt;35,EJ110+EI111-ER110,IF(A111&lt;'Données projet'!$A$192,$EG$205^A111,IF(A111='Données projet'!$A$192,'Données projet'!$B$192,EJ110+EI111-ER110)))</f>
        <v>439.79384615384657</v>
      </c>
      <c r="EK111" s="17">
        <f>EJ111*VLOOKUP('Données projet'!$B$15,Paramètres!$A$1:$I$89,3,0)*VLOOKUP('Données projet'!$B$15,Paramètres!$A$1:$I$89,5,0)</f>
        <v>211.5408400000002</v>
      </c>
      <c r="EL111" s="13">
        <f t="shared" si="99"/>
        <v>52.272154609160168</v>
      </c>
      <c r="EM111" s="20">
        <f t="shared" si="73"/>
        <v>459.47429894428757</v>
      </c>
      <c r="EN111" s="59">
        <f t="shared" si="74"/>
        <v>752.80763227762088</v>
      </c>
      <c r="EO111" s="59">
        <f ca="1">AVERAGE(OFFSET($EN$3,0,0,'Données projet'!$E$15+1,1))-AVERAGE(OFFSET($H$3,0,0,'Données projet'!$E$15+1,1))</f>
        <v>238.83604534181978</v>
      </c>
      <c r="EP111" s="59">
        <f t="shared" si="100"/>
        <v>114.85152559837792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5.6843418860808015E-14</v>
      </c>
      <c r="FF111" s="17">
        <f>FE111*VLOOKUP('Données projet'!$B$16,Paramètres!$A$1:$I$89,3,0)*VLOOKUP('Données projet'!$B$16,Paramètres!$A$1:$I$89,5,0)</f>
        <v>4.6111381379887463E-14</v>
      </c>
      <c r="FG111" s="13">
        <f t="shared" si="101"/>
        <v>7.5804141040779151E-13</v>
      </c>
      <c r="FH111" s="20">
        <f t="shared" si="76"/>
        <v>1.4005661123635408E-12</v>
      </c>
      <c r="FI111" s="59">
        <f t="shared" si="77"/>
        <v>293.33333333333474</v>
      </c>
      <c r="FJ111" s="59">
        <f ca="1">AVERAGE(OFFSET($FI$3,0,0,'Données projet'!$E$16+1,1))-AVERAGE(OFFSET($H$3,0,0,'Données projet'!$E$16+1,1))</f>
        <v>196.95467273423861</v>
      </c>
      <c r="FK111" s="59">
        <f t="shared" si="102"/>
        <v>173.8709326829258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49.201984999804942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2.5149193683220404E-3</v>
      </c>
      <c r="FT111" s="22">
        <f t="shared" si="78"/>
        <v>49.204499919173266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5.6843418860808015E-14</v>
      </c>
      <c r="GA111" s="17">
        <f>FZ111*VLOOKUP('Données projet'!$B$17,Paramètres!$A$1:$I$89,3,0)*VLOOKUP('Données projet'!$B$17,Paramètres!$A$1:$I$89,5,0)</f>
        <v>6.1186256061773749E-14</v>
      </c>
      <c r="GB111" s="13">
        <f t="shared" si="103"/>
        <v>9.7328366192051127E-13</v>
      </c>
      <c r="GC111" s="20">
        <f t="shared" si="79"/>
        <v>1.8017017738191463E-12</v>
      </c>
      <c r="GD111" s="59">
        <f t="shared" si="80"/>
        <v>293.33333333333513</v>
      </c>
      <c r="GE111" s="59">
        <f ca="1">AVERAGE(OFFSET($GD$3,0,0,'Données projet'!$E$17+1,1))-AVERAGE(OFFSET($H$3,0,0,'Données projet'!$E$17+1,1))</f>
        <v>275.5229427552884</v>
      </c>
      <c r="GF111" s="59">
        <f t="shared" si="104"/>
        <v>241.20234081716143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65.287249326664238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3.3371045464273205E-3</v>
      </c>
      <c r="GO111" s="21">
        <f t="shared" si="81"/>
        <v>65.29058643121067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274.57619581652199</v>
      </c>
      <c r="T112" s="59">
        <f t="shared" si="88"/>
        <v>366.15117322598775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 t="e">
        <f>EXP(-LN(2)/35)*Z111+(1-EXP(-LN(2)/35))/(LN(2)/35)*V112*W112*VLOOKUP('Données projet'!$B$9,Paramètres!$A$1:$I$89,3,0)*0.475*44/12</f>
        <v>#VALUE!</v>
      </c>
      <c r="AA112" s="21" t="e">
        <f>EXP(-LN(2)/25)*AA111+(1-EXP(-LN(2)/25))/(LN(2)/25)*Calculateur!V112*Calculateur!X112*VLOOKUP('Données projet'!$B$9,Paramètres!$A$1:$I$89,3,0)*0.475*44/12</f>
        <v>#VALUE!</v>
      </c>
      <c r="AB112" s="21" t="e">
        <f>EXP(-LN(2)/2)*AB111+(1-EXP(-LN(2)/2))/(LN(2)/2)*V112*Y112*VLOOKUP('Données projet'!$B$9,Paramètres!$A$1:$I$89,3,0)*0.475*44/12</f>
        <v>#VALUE!</v>
      </c>
      <c r="AC112" s="22" t="e">
        <f t="shared" si="57"/>
        <v>#VALUE!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175.05987582828078</v>
      </c>
      <c r="AO112" s="59">
        <f t="shared" si="90"/>
        <v>268.54782308462387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63.786218433814916</v>
      </c>
      <c r="AV112" s="21">
        <f>EXP(-LN(2)/25)*AV111+(1-EXP(-LN(2)/25))/(LN(2)/25)*Calculateur!AQ112*Calculateur!AS112*VLOOKUP('Données projet'!$B$10,Paramètres!$A$1:$I$89,3,0)*0.475*44/12</f>
        <v>10.832810499844493</v>
      </c>
      <c r="AW112" s="21">
        <f>EXP(-LN(2)/2)*AW111+(1-EXP(-LN(2)/2))/(LN(2)/2)*AQ112*AT112*VLOOKUP('Données projet'!$B$10,Paramètres!$A$1:$I$89,3,0)*0.475*44/12</f>
        <v>1.1994765187324426E-6</v>
      </c>
      <c r="AX112" s="21">
        <f t="shared" si="60"/>
        <v>74.619030133135922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252.70779718608964</v>
      </c>
      <c r="BJ112" s="59">
        <f t="shared" si="92"/>
        <v>187.86969111712705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199.05414265402158</v>
      </c>
      <c r="BQ112" s="21">
        <f>EXP(-LN(2)/25)*BQ111+(1-EXP(-LN(2)/25))/(LN(2)/25)*Calculateur!BL112*Calculateur!BN112*VLOOKUP('Données projet'!$B$11,Paramètres!$A$1:$I$89,3,0)*0.475*44/12</f>
        <v>42.204888890372409</v>
      </c>
      <c r="BR112" s="21">
        <f>EXP(-LN(2)/2)*BR111+(1-EXP(-LN(2)/2))/(LN(2)/2)*BL112*BO112*VLOOKUP('Données projet'!$B$11,Paramètres!$A$1:$I$89,3,0)*0.475*44/12</f>
        <v>2.1085332461598227</v>
      </c>
      <c r="BS112" s="22">
        <f t="shared" si="63"/>
        <v>243.36756479055381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-2.2737367544323206E-13</v>
      </c>
      <c r="BZ112" s="13">
        <f>BY112*VLOOKUP('Données projet'!$B$12,Paramètres!$A$1:$I$89,3,0)*VLOOKUP('Données projet'!$B$12,Paramètres!$A$1:$I$89,5,0)</f>
        <v>-1.3596945791505279E-13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279.86432710889352</v>
      </c>
      <c r="CE112" s="59">
        <f t="shared" si="94"/>
        <v>297.01680128882509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48.083478189970826</v>
      </c>
      <c r="CL112" s="21">
        <f>EXP(-LN(2)/25)*CL111+(1-EXP(-LN(2)/25))/(LN(2)/25)*Calculateur!CG112*Calculateur!CI112*VLOOKUP('Données projet'!$B$12,Paramètres!$A$1:$I$89,3,0)*0.475*44/12</f>
        <v>28.139054903192953</v>
      </c>
      <c r="CM112" s="21">
        <f>EXP(-LN(2)/2)*CM111+(1-EXP(-LN(2)/2))/(LN(2)/2)*CG112*CJ112*VLOOKUP('Données projet'!$B$12,Paramètres!$A$1:$I$89,3,0)*0.475*44/12</f>
        <v>1.8190532746075425E-5</v>
      </c>
      <c r="CN112" s="22">
        <f t="shared" si="66"/>
        <v>76.222551283696518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-12.000000000000284</v>
      </c>
      <c r="CU112" s="17">
        <f>CT112*VLOOKUP('Données projet'!$B$13,Paramètres!$A$1:$I$89,3,0)*VLOOKUP('Données projet'!$B$13,Paramètres!$A$1:$I$89,5,0)</f>
        <v>-9.5472000000002257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314.6300257056194</v>
      </c>
      <c r="CZ112" s="59">
        <f t="shared" si="96"/>
        <v>298.00555477466668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80.010907459690728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80.010907459690728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-12.000000000000284</v>
      </c>
      <c r="DP112" s="17">
        <f>DO112*VLOOKUP('Données projet'!$B$14,Paramètres!$A$1:$I$89,3,0)*VLOOKUP('Données projet'!$B$14,Paramètres!$A$1:$I$89,5,0)</f>
        <v>-9.5472000000002257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314.6300257056194</v>
      </c>
      <c r="DU112" s="59">
        <f t="shared" si="98"/>
        <v>298.00555477466668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80.010907459690728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80.010907459690728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9.3169230769230804</v>
      </c>
      <c r="EJ112" s="12">
        <f>IF('Données projet'!$A$192&gt;35,EJ111+EI112-ER111,IF(A112&lt;'Données projet'!$A$192,$EG$205^A112,IF(A112='Données projet'!$A$192,'Données projet'!$B$192,EJ111+EI112-ER111)))</f>
        <v>449.11076923076968</v>
      </c>
      <c r="EK112" s="17">
        <f>EJ112*VLOOKUP('Données projet'!$B$15,Paramètres!$A$1:$I$89,3,0)*VLOOKUP('Données projet'!$B$15,Paramètres!$A$1:$I$89,5,0)</f>
        <v>216.02228000000022</v>
      </c>
      <c r="EL112" s="13">
        <f t="shared" si="99"/>
        <v>53.249432008904854</v>
      </c>
      <c r="EM112" s="20">
        <f t="shared" si="73"/>
        <v>468.9815650821763</v>
      </c>
      <c r="EN112" s="59">
        <f t="shared" si="74"/>
        <v>762.31489841550956</v>
      </c>
      <c r="EO112" s="59">
        <f ca="1">AVERAGE(OFFSET($EN$3,0,0,'Données projet'!$E$15+1,1))-AVERAGE(OFFSET($H$3,0,0,'Données projet'!$E$15+1,1))</f>
        <v>238.83604534181978</v>
      </c>
      <c r="EP112" s="59">
        <f t="shared" si="100"/>
        <v>114.85152559837792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5.6843418860808015E-14</v>
      </c>
      <c r="FF112" s="17">
        <f>FE112*VLOOKUP('Données projet'!$B$16,Paramètres!$A$1:$I$89,3,0)*VLOOKUP('Données projet'!$B$16,Paramètres!$A$1:$I$89,5,0)</f>
        <v>4.6111381379887463E-14</v>
      </c>
      <c r="FG112" s="13">
        <f t="shared" si="101"/>
        <v>7.5804141040779151E-13</v>
      </c>
      <c r="FH112" s="20">
        <f t="shared" si="76"/>
        <v>1.4005661123635408E-12</v>
      </c>
      <c r="FI112" s="59">
        <f t="shared" si="77"/>
        <v>293.33333333333474</v>
      </c>
      <c r="FJ112" s="59">
        <f ca="1">AVERAGE(OFFSET($FI$3,0,0,'Données projet'!$E$16+1,1))-AVERAGE(OFFSET($H$3,0,0,'Données projet'!$E$16+1,1))</f>
        <v>196.95467273423861</v>
      </c>
      <c r="FK112" s="59">
        <f t="shared" si="102"/>
        <v>173.8709326829258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48.237164084206348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1.7783165394779034E-3</v>
      </c>
      <c r="FT112" s="22">
        <f t="shared" si="78"/>
        <v>48.238942400745827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5.6843418860808015E-14</v>
      </c>
      <c r="GA112" s="17">
        <f>FZ112*VLOOKUP('Données projet'!$B$17,Paramètres!$A$1:$I$89,3,0)*VLOOKUP('Données projet'!$B$17,Paramètres!$A$1:$I$89,5,0)</f>
        <v>6.1186256061773749E-14</v>
      </c>
      <c r="GB112" s="13">
        <f t="shared" si="103"/>
        <v>9.7328366192051127E-13</v>
      </c>
      <c r="GC112" s="20">
        <f t="shared" si="79"/>
        <v>1.8017017738191463E-12</v>
      </c>
      <c r="GD112" s="59">
        <f t="shared" si="80"/>
        <v>293.33333333333513</v>
      </c>
      <c r="GE112" s="59">
        <f ca="1">AVERAGE(OFFSET($GD$3,0,0,'Données projet'!$E$17+1,1))-AVERAGE(OFFSET($H$3,0,0,'Données projet'!$E$17+1,1))</f>
        <v>275.5229427552884</v>
      </c>
      <c r="GF112" s="59">
        <f t="shared" si="104"/>
        <v>241.20234081716143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64.007006188658423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2.3596892543072162E-3</v>
      </c>
      <c r="GO112" s="21">
        <f t="shared" si="81"/>
        <v>64.009365877912728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274.57619581652199</v>
      </c>
      <c r="T113" s="59">
        <f t="shared" si="88"/>
        <v>366.15117322598775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 t="e">
        <f>EXP(-LN(2)/35)*Z112+(1-EXP(-LN(2)/35))/(LN(2)/35)*V113*W113*VLOOKUP('Données projet'!$B$9,Paramètres!$A$1:$I$89,3,0)*0.475*44/12</f>
        <v>#VALUE!</v>
      </c>
      <c r="AA113" s="21" t="e">
        <f>EXP(-LN(2)/25)*AA112+(1-EXP(-LN(2)/25))/(LN(2)/25)*Calculateur!V113*Calculateur!X113*VLOOKUP('Données projet'!$B$9,Paramètres!$A$1:$I$89,3,0)*0.475*44/12</f>
        <v>#VALUE!</v>
      </c>
      <c r="AB113" s="21" t="e">
        <f>EXP(-LN(2)/2)*AB112+(1-EXP(-LN(2)/2))/(LN(2)/2)*V113*Y113*VLOOKUP('Données projet'!$B$9,Paramètres!$A$1:$I$89,3,0)*0.475*44/12</f>
        <v>#VALUE!</v>
      </c>
      <c r="AC113" s="22" t="e">
        <f t="shared" si="57"/>
        <v>#VALUE!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175.05987582828078</v>
      </c>
      <c r="AO113" s="59">
        <f t="shared" si="90"/>
        <v>268.54782308462387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62.535409596079425</v>
      </c>
      <c r="AV113" s="21">
        <f>EXP(-LN(2)/25)*AV112+(1-EXP(-LN(2)/25))/(LN(2)/25)*Calculateur!AQ113*Calculateur!AS113*VLOOKUP('Données projet'!$B$10,Paramètres!$A$1:$I$89,3,0)*0.475*44/12</f>
        <v>10.5365867270535</v>
      </c>
      <c r="AW113" s="21">
        <f>EXP(-LN(2)/2)*AW112+(1-EXP(-LN(2)/2))/(LN(2)/2)*AQ113*AT113*VLOOKUP('Données projet'!$B$10,Paramètres!$A$1:$I$89,3,0)*0.475*44/12</f>
        <v>8.4815798026974307E-7</v>
      </c>
      <c r="AX113" s="21">
        <f t="shared" si="60"/>
        <v>73.071997171290903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252.70779718608964</v>
      </c>
      <c r="BJ113" s="59">
        <f t="shared" si="92"/>
        <v>187.86969111712705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195.15081232761489</v>
      </c>
      <c r="BQ113" s="21">
        <f>EXP(-LN(2)/25)*BQ112+(1-EXP(-LN(2)/25))/(LN(2)/25)*Calculateur!BL113*Calculateur!BN113*VLOOKUP('Données projet'!$B$11,Paramètres!$A$1:$I$89,3,0)*0.475*44/12</f>
        <v>41.050793984206528</v>
      </c>
      <c r="BR113" s="21">
        <f>EXP(-LN(2)/2)*BR112+(1-EXP(-LN(2)/2))/(LN(2)/2)*BL113*BO113*VLOOKUP('Données projet'!$B$11,Paramètres!$A$1:$I$89,3,0)*0.475*44/12</f>
        <v>1.4909581567168946</v>
      </c>
      <c r="BS113" s="22">
        <f t="shared" si="63"/>
        <v>237.69256446853831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-2.2737367544323206E-13</v>
      </c>
      <c r="BZ113" s="13">
        <f>BY113*VLOOKUP('Données projet'!$B$12,Paramètres!$A$1:$I$89,3,0)*VLOOKUP('Données projet'!$B$12,Paramètres!$A$1:$I$89,5,0)</f>
        <v>-1.3596945791505279E-13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279.86432710889352</v>
      </c>
      <c r="CE113" s="59">
        <f t="shared" si="94"/>
        <v>297.01680128882509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47.14059051069129</v>
      </c>
      <c r="CL113" s="21">
        <f>EXP(-LN(2)/25)*CL112+(1-EXP(-LN(2)/25))/(LN(2)/25)*Calculateur!CG113*Calculateur!CI113*VLOOKUP('Données projet'!$B$12,Paramètres!$A$1:$I$89,3,0)*0.475*44/12</f>
        <v>27.369590967096556</v>
      </c>
      <c r="CM113" s="21">
        <f>EXP(-LN(2)/2)*CM112+(1-EXP(-LN(2)/2))/(LN(2)/2)*CG113*CJ113*VLOOKUP('Données projet'!$B$12,Paramètres!$A$1:$I$89,3,0)*0.475*44/12</f>
        <v>1.2862649058145883E-5</v>
      </c>
      <c r="CN113" s="22">
        <f t="shared" si="66"/>
        <v>74.510194340436911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-12.000000000000284</v>
      </c>
      <c r="CU113" s="17">
        <f>CT113*VLOOKUP('Données projet'!$B$13,Paramètres!$A$1:$I$89,3,0)*VLOOKUP('Données projet'!$B$13,Paramètres!$A$1:$I$89,5,0)</f>
        <v>-9.5472000000002257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314.6300257056194</v>
      </c>
      <c r="CZ113" s="59">
        <f t="shared" si="96"/>
        <v>298.00555477466668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78.441942366240966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78.441942366240966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-12.000000000000284</v>
      </c>
      <c r="DP113" s="17">
        <f>DO113*VLOOKUP('Données projet'!$B$14,Paramètres!$A$1:$I$89,3,0)*VLOOKUP('Données projet'!$B$14,Paramètres!$A$1:$I$89,5,0)</f>
        <v>-9.5472000000002257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314.6300257056194</v>
      </c>
      <c r="DU113" s="59">
        <f t="shared" si="98"/>
        <v>298.00555477466668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78.441942366240966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78.441942366240966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9.3169230769230804</v>
      </c>
      <c r="EJ113" s="12">
        <f>IF('Données projet'!$A$192&gt;35,EJ112+EI113-ER112,IF(A113&lt;'Données projet'!$A$192,$EG$205^A113,IF(A113='Données projet'!$A$192,'Données projet'!$B$192,EJ112+EI113-ER112)))</f>
        <v>458.42769230769278</v>
      </c>
      <c r="EK113" s="17">
        <f>EJ113*VLOOKUP('Données projet'!$B$15,Paramètres!$A$1:$I$89,3,0)*VLOOKUP('Données projet'!$B$15,Paramètres!$A$1:$I$89,5,0)</f>
        <v>220.50372000000021</v>
      </c>
      <c r="EL113" s="13">
        <f t="shared" si="99"/>
        <v>54.224352197130173</v>
      </c>
      <c r="EM113" s="20">
        <f t="shared" si="73"/>
        <v>478.48472574333528</v>
      </c>
      <c r="EN113" s="59">
        <f t="shared" si="74"/>
        <v>771.81805907666853</v>
      </c>
      <c r="EO113" s="59">
        <f ca="1">AVERAGE(OFFSET($EN$3,0,0,'Données projet'!$E$15+1,1))-AVERAGE(OFFSET($H$3,0,0,'Données projet'!$E$15+1,1))</f>
        <v>238.83604534181978</v>
      </c>
      <c r="EP113" s="59">
        <f t="shared" si="100"/>
        <v>114.85152559837792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5.6843418860808015E-14</v>
      </c>
      <c r="FF113" s="17">
        <f>FE113*VLOOKUP('Données projet'!$B$16,Paramètres!$A$1:$I$89,3,0)*VLOOKUP('Données projet'!$B$16,Paramètres!$A$1:$I$89,5,0)</f>
        <v>4.6111381379887463E-14</v>
      </c>
      <c r="FG113" s="13">
        <f t="shared" si="101"/>
        <v>7.5804141040779151E-13</v>
      </c>
      <c r="FH113" s="20">
        <f t="shared" si="76"/>
        <v>1.4005661123635408E-12</v>
      </c>
      <c r="FI113" s="59">
        <f t="shared" si="77"/>
        <v>293.33333333333474</v>
      </c>
      <c r="FJ113" s="59">
        <f ca="1">AVERAGE(OFFSET($FI$3,0,0,'Données projet'!$E$16+1,1))-AVERAGE(OFFSET($H$3,0,0,'Données projet'!$E$16+1,1))</f>
        <v>196.95467273423861</v>
      </c>
      <c r="FK113" s="59">
        <f t="shared" si="102"/>
        <v>173.8709326829258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47.291262718279995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1.2574596841610202E-3</v>
      </c>
      <c r="FT113" s="22">
        <f t="shared" si="78"/>
        <v>47.292520177964157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5.6843418860808015E-14</v>
      </c>
      <c r="GA113" s="17">
        <f>FZ113*VLOOKUP('Données projet'!$B$17,Paramètres!$A$1:$I$89,3,0)*VLOOKUP('Données projet'!$B$17,Paramètres!$A$1:$I$89,5,0)</f>
        <v>6.1186256061773749E-14</v>
      </c>
      <c r="GB113" s="13">
        <f t="shared" si="103"/>
        <v>9.7328366192051127E-13</v>
      </c>
      <c r="GC113" s="20">
        <f t="shared" si="79"/>
        <v>1.8017017738191463E-12</v>
      </c>
      <c r="GD113" s="59">
        <f t="shared" si="80"/>
        <v>293.33333333333513</v>
      </c>
      <c r="GE113" s="59">
        <f ca="1">AVERAGE(OFFSET($GD$3,0,0,'Données projet'!$E$17+1,1))-AVERAGE(OFFSET($H$3,0,0,'Données projet'!$E$17+1,1))</f>
        <v>275.5229427552884</v>
      </c>
      <c r="GF113" s="59">
        <f t="shared" si="104"/>
        <v>241.20234081716143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62.751867837717683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1.6685522732136603E-3</v>
      </c>
      <c r="GO113" s="21">
        <f t="shared" si="81"/>
        <v>62.753536389990899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274.57619581652199</v>
      </c>
      <c r="T114" s="59">
        <f t="shared" si="88"/>
        <v>366.15117322598775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 t="e">
        <f>EXP(-LN(2)/35)*Z113+(1-EXP(-LN(2)/35))/(LN(2)/35)*V114*W114*VLOOKUP('Données projet'!$B$9,Paramètres!$A$1:$I$89,3,0)*0.475*44/12</f>
        <v>#VALUE!</v>
      </c>
      <c r="AA114" s="21" t="e">
        <f>EXP(-LN(2)/25)*AA113+(1-EXP(-LN(2)/25))/(LN(2)/25)*Calculateur!V114*Calculateur!X114*VLOOKUP('Données projet'!$B$9,Paramètres!$A$1:$I$89,3,0)*0.475*44/12</f>
        <v>#VALUE!</v>
      </c>
      <c r="AB114" s="21" t="e">
        <f>EXP(-LN(2)/2)*AB113+(1-EXP(-LN(2)/2))/(LN(2)/2)*V114*Y114*VLOOKUP('Données projet'!$B$9,Paramètres!$A$1:$I$89,3,0)*0.475*44/12</f>
        <v>#VALUE!</v>
      </c>
      <c r="AC114" s="22" t="e">
        <f t="shared" si="57"/>
        <v>#VALUE!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175.05987582828078</v>
      </c>
      <c r="AO114" s="59">
        <f t="shared" si="90"/>
        <v>268.54782308462387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61.309128356733872</v>
      </c>
      <c r="AV114" s="21">
        <f>EXP(-LN(2)/25)*AV113+(1-EXP(-LN(2)/25))/(LN(2)/25)*Calculateur!AQ114*Calculateur!AS114*VLOOKUP('Données projet'!$B$10,Paramètres!$A$1:$I$89,3,0)*0.475*44/12</f>
        <v>10.248463208907207</v>
      </c>
      <c r="AW114" s="21">
        <f>EXP(-LN(2)/2)*AW113+(1-EXP(-LN(2)/2))/(LN(2)/2)*AQ114*AT114*VLOOKUP('Données projet'!$B$10,Paramètres!$A$1:$I$89,3,0)*0.475*44/12</f>
        <v>5.9973825936622129E-7</v>
      </c>
      <c r="AX114" s="21">
        <f t="shared" si="60"/>
        <v>71.557592165379333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252.70779718608964</v>
      </c>
      <c r="BJ114" s="59">
        <f t="shared" si="92"/>
        <v>187.86969111712705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191.32402392811261</v>
      </c>
      <c r="BQ114" s="21">
        <f>EXP(-LN(2)/25)*BQ113+(1-EXP(-LN(2)/25))/(LN(2)/25)*Calculateur!BL114*Calculateur!BN114*VLOOKUP('Données projet'!$B$11,Paramètres!$A$1:$I$89,3,0)*0.475*44/12</f>
        <v>39.928257863940971</v>
      </c>
      <c r="BR114" s="21">
        <f>EXP(-LN(2)/2)*BR113+(1-EXP(-LN(2)/2))/(LN(2)/2)*BL114*BO114*VLOOKUP('Données projet'!$B$11,Paramètres!$A$1:$I$89,3,0)*0.475*44/12</f>
        <v>1.0542666230799114</v>
      </c>
      <c r="BS114" s="22">
        <f t="shared" si="63"/>
        <v>232.30654841513348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-2.2737367544323206E-13</v>
      </c>
      <c r="BZ114" s="13">
        <f>BY114*VLOOKUP('Données projet'!$B$12,Paramètres!$A$1:$I$89,3,0)*VLOOKUP('Données projet'!$B$12,Paramètres!$A$1:$I$89,5,0)</f>
        <v>-1.3596945791505279E-13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279.86432710889352</v>
      </c>
      <c r="CE114" s="59">
        <f t="shared" si="94"/>
        <v>297.01680128882509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46.21619228369773</v>
      </c>
      <c r="CL114" s="21">
        <f>EXP(-LN(2)/25)*CL113+(1-EXP(-LN(2)/25))/(LN(2)/25)*Calculateur!CG114*Calculateur!CI114*VLOOKUP('Données projet'!$B$12,Paramètres!$A$1:$I$89,3,0)*0.475*44/12</f>
        <v>26.621168062797064</v>
      </c>
      <c r="CM114" s="21">
        <f>EXP(-LN(2)/2)*CM113+(1-EXP(-LN(2)/2))/(LN(2)/2)*CG114*CJ114*VLOOKUP('Données projet'!$B$12,Paramètres!$A$1:$I$89,3,0)*0.475*44/12</f>
        <v>9.0952663730377123E-6</v>
      </c>
      <c r="CN114" s="22">
        <f t="shared" si="66"/>
        <v>72.837369441761169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-12.000000000000284</v>
      </c>
      <c r="CU114" s="17">
        <f>CT114*VLOOKUP('Données projet'!$B$13,Paramètres!$A$1:$I$89,3,0)*VLOOKUP('Données projet'!$B$13,Paramètres!$A$1:$I$89,5,0)</f>
        <v>-9.5472000000002257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314.6300257056194</v>
      </c>
      <c r="CZ114" s="59">
        <f t="shared" si="96"/>
        <v>298.00555477466668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76.903743721299534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76.903743721299534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-12.000000000000284</v>
      </c>
      <c r="DP114" s="17">
        <f>DO114*VLOOKUP('Données projet'!$B$14,Paramètres!$A$1:$I$89,3,0)*VLOOKUP('Données projet'!$B$14,Paramètres!$A$1:$I$89,5,0)</f>
        <v>-9.5472000000002257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314.6300257056194</v>
      </c>
      <c r="DU114" s="59">
        <f t="shared" si="98"/>
        <v>298.00555477466668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76.903743721299534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76.903743721299534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9.3169230769230804</v>
      </c>
      <c r="EJ114" s="12">
        <f>IF('Données projet'!$A$192&gt;35,EJ113+EI114-ER113,IF(A114&lt;'Données projet'!$A$192,$EG$205^A114,IF(A114='Données projet'!$A$192,'Données projet'!$B$192,EJ113+EI114-ER113)))</f>
        <v>467.74461538461588</v>
      </c>
      <c r="EK114" s="17">
        <f>EJ114*VLOOKUP('Données projet'!$B$15,Paramètres!$A$1:$I$89,3,0)*VLOOKUP('Données projet'!$B$15,Paramètres!$A$1:$I$89,5,0)</f>
        <v>224.98516000000023</v>
      </c>
      <c r="EL114" s="13">
        <f t="shared" si="99"/>
        <v>55.196968601576188</v>
      </c>
      <c r="EM114" s="20">
        <f t="shared" si="73"/>
        <v>487.98387398107894</v>
      </c>
      <c r="EN114" s="59">
        <f t="shared" si="74"/>
        <v>781.31720731441226</v>
      </c>
      <c r="EO114" s="59">
        <f ca="1">AVERAGE(OFFSET($EN$3,0,0,'Données projet'!$E$15+1,1))-AVERAGE(OFFSET($H$3,0,0,'Données projet'!$E$15+1,1))</f>
        <v>238.83604534181978</v>
      </c>
      <c r="EP114" s="59">
        <f t="shared" si="100"/>
        <v>114.85152559837792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5.6843418860808015E-14</v>
      </c>
      <c r="FF114" s="17">
        <f>FE114*VLOOKUP('Données projet'!$B$16,Paramètres!$A$1:$I$89,3,0)*VLOOKUP('Données projet'!$B$16,Paramètres!$A$1:$I$89,5,0)</f>
        <v>4.6111381379887463E-14</v>
      </c>
      <c r="FG114" s="13">
        <f t="shared" si="101"/>
        <v>7.5804141040779151E-13</v>
      </c>
      <c r="FH114" s="20">
        <f t="shared" si="76"/>
        <v>1.4005661123635408E-12</v>
      </c>
      <c r="FI114" s="59">
        <f t="shared" si="77"/>
        <v>293.33333333333474</v>
      </c>
      <c r="FJ114" s="59">
        <f ca="1">AVERAGE(OFFSET($FI$3,0,0,'Données projet'!$E$16+1,1))-AVERAGE(OFFSET($H$3,0,0,'Données projet'!$E$16+1,1))</f>
        <v>196.95467273423861</v>
      </c>
      <c r="FK114" s="59">
        <f t="shared" si="102"/>
        <v>173.8709326829258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46.363909901196593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8.8915826973895169E-4</v>
      </c>
      <c r="FT114" s="22">
        <f t="shared" si="78"/>
        <v>46.364799059466328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5.6843418860808015E-14</v>
      </c>
      <c r="GA114" s="17">
        <f>FZ114*VLOOKUP('Données projet'!$B$17,Paramètres!$A$1:$I$89,3,0)*VLOOKUP('Données projet'!$B$17,Paramètres!$A$1:$I$89,5,0)</f>
        <v>6.1186256061773749E-14</v>
      </c>
      <c r="GB114" s="13">
        <f t="shared" si="103"/>
        <v>9.7328366192051127E-13</v>
      </c>
      <c r="GC114" s="20">
        <f t="shared" si="79"/>
        <v>1.8017017738191463E-12</v>
      </c>
      <c r="GD114" s="59">
        <f t="shared" si="80"/>
        <v>293.33333333333513</v>
      </c>
      <c r="GE114" s="59">
        <f ca="1">AVERAGE(OFFSET($GD$3,0,0,'Données projet'!$E$17+1,1))-AVERAGE(OFFSET($H$3,0,0,'Données projet'!$E$17+1,1))</f>
        <v>275.5229427552884</v>
      </c>
      <c r="GF114" s="59">
        <f t="shared" si="104"/>
        <v>241.20234081716143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61.521341984280092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1.1798446271536081E-3</v>
      </c>
      <c r="GO114" s="21">
        <f t="shared" si="81"/>
        <v>61.522521828907244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274.57619581652199</v>
      </c>
      <c r="T115" s="59">
        <f t="shared" si="88"/>
        <v>366.15117322598775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 t="e">
        <f>EXP(-LN(2)/35)*Z114+(1-EXP(-LN(2)/35))/(LN(2)/35)*V115*W115*VLOOKUP('Données projet'!$B$9,Paramètres!$A$1:$I$89,3,0)*0.475*44/12</f>
        <v>#VALUE!</v>
      </c>
      <c r="AA115" s="21" t="e">
        <f>EXP(-LN(2)/25)*AA114+(1-EXP(-LN(2)/25))/(LN(2)/25)*Calculateur!V115*Calculateur!X115*VLOOKUP('Données projet'!$B$9,Paramètres!$A$1:$I$89,3,0)*0.475*44/12</f>
        <v>#VALUE!</v>
      </c>
      <c r="AB115" s="21" t="e">
        <f>EXP(-LN(2)/2)*AB114+(1-EXP(-LN(2)/2))/(LN(2)/2)*V115*Y115*VLOOKUP('Données projet'!$B$9,Paramètres!$A$1:$I$89,3,0)*0.475*44/12</f>
        <v>#VALUE!</v>
      </c>
      <c r="AC115" s="22" t="e">
        <f t="shared" si="57"/>
        <v>#VALUE!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175.05987582828078</v>
      </c>
      <c r="AO115" s="59">
        <f t="shared" si="90"/>
        <v>268.54782308462387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60.106893744534183</v>
      </c>
      <c r="AV115" s="21">
        <f>EXP(-LN(2)/25)*AV114+(1-EXP(-LN(2)/25))/(LN(2)/25)*Calculateur!AQ115*Calculateur!AS115*VLOOKUP('Données projet'!$B$10,Paramètres!$A$1:$I$89,3,0)*0.475*44/12</f>
        <v>9.968218443516383</v>
      </c>
      <c r="AW115" s="21">
        <f>EXP(-LN(2)/2)*AW114+(1-EXP(-LN(2)/2))/(LN(2)/2)*AQ115*AT115*VLOOKUP('Données projet'!$B$10,Paramètres!$A$1:$I$89,3,0)*0.475*44/12</f>
        <v>4.2407899013487153E-7</v>
      </c>
      <c r="AX115" s="21">
        <f t="shared" si="60"/>
        <v>70.075112612129558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252.70779718608964</v>
      </c>
      <c r="BJ115" s="59">
        <f t="shared" si="92"/>
        <v>187.86969111712705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187.57227651501412</v>
      </c>
      <c r="BQ115" s="21">
        <f>EXP(-LN(2)/25)*BQ114+(1-EXP(-LN(2)/25))/(LN(2)/25)*Calculateur!BL115*Calculateur!BN115*VLOOKUP('Données projet'!$B$11,Paramètres!$A$1:$I$89,3,0)*0.475*44/12</f>
        <v>38.836417552915684</v>
      </c>
      <c r="BR115" s="21">
        <f>EXP(-LN(2)/2)*BR114+(1-EXP(-LN(2)/2))/(LN(2)/2)*BL115*BO115*VLOOKUP('Données projet'!$B$11,Paramètres!$A$1:$I$89,3,0)*0.475*44/12</f>
        <v>0.74547907835844729</v>
      </c>
      <c r="BS115" s="22">
        <f t="shared" si="63"/>
        <v>227.15417314628826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-2.2737367544323206E-13</v>
      </c>
      <c r="BZ115" s="13">
        <f>BY115*VLOOKUP('Données projet'!$B$12,Paramètres!$A$1:$I$89,3,0)*VLOOKUP('Données projet'!$B$12,Paramètres!$A$1:$I$89,5,0)</f>
        <v>-1.3596945791505279E-13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279.86432710889352</v>
      </c>
      <c r="CE115" s="59">
        <f t="shared" si="94"/>
        <v>297.01680128882509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45.30992094210827</v>
      </c>
      <c r="CL115" s="21">
        <f>EXP(-LN(2)/25)*CL114+(1-EXP(-LN(2)/25))/(LN(2)/25)*Calculateur!CG115*Calculateur!CI115*VLOOKUP('Données projet'!$B$12,Paramètres!$A$1:$I$89,3,0)*0.475*44/12</f>
        <v>25.893210822173494</v>
      </c>
      <c r="CM115" s="21">
        <f>EXP(-LN(2)/2)*CM114+(1-EXP(-LN(2)/2))/(LN(2)/2)*CG115*CJ115*VLOOKUP('Données projet'!$B$12,Paramètres!$A$1:$I$89,3,0)*0.475*44/12</f>
        <v>6.4313245290729415E-6</v>
      </c>
      <c r="CN115" s="22">
        <f t="shared" si="66"/>
        <v>71.2031381956063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-12.000000000000284</v>
      </c>
      <c r="CU115" s="17">
        <f>CT115*VLOOKUP('Données projet'!$B$13,Paramètres!$A$1:$I$89,3,0)*VLOOKUP('Données projet'!$B$13,Paramètres!$A$1:$I$89,5,0)</f>
        <v>-9.5472000000002257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314.6300257056194</v>
      </c>
      <c r="CZ115" s="59">
        <f t="shared" si="96"/>
        <v>298.00555477466668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75.395708213576867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75.395708213576867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-12.000000000000284</v>
      </c>
      <c r="DP115" s="17">
        <f>DO115*VLOOKUP('Données projet'!$B$14,Paramètres!$A$1:$I$89,3,0)*VLOOKUP('Données projet'!$B$14,Paramètres!$A$1:$I$89,5,0)</f>
        <v>-9.5472000000002257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314.6300257056194</v>
      </c>
      <c r="DU115" s="59">
        <f t="shared" si="98"/>
        <v>298.00555477466668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75.395708213576867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75.395708213576867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>
        <f>VLOOKUP(A115,'Données projet'!$A$191:$I$211,2,0)</f>
        <v>477.06153846153842</v>
      </c>
      <c r="EH115" s="12">
        <f>VLOOKUP(A115,'Données projet'!$A$191:$I$211,9,0)</f>
        <v>9.3169230769230804</v>
      </c>
      <c r="EI115" s="12">
        <f t="array" ref="EI115">INDEX(EH:EH,MIN(IF(ISNUMBER(EH115:EH311),ROW(EH115:EH311),"")))</f>
        <v>9.3169230769230804</v>
      </c>
      <c r="EJ115" s="12">
        <f>IF('Données projet'!$A$192&gt;35,EJ114+EI115-ER114,IF(A115&lt;'Données projet'!$A$192,$EG$205^A115,IF(A115='Données projet'!$A$192,'Données projet'!$B$192,EJ114+EI115-ER114)))</f>
        <v>477.06153846153899</v>
      </c>
      <c r="EK115" s="17">
        <f>EJ115*VLOOKUP('Données projet'!$B$15,Paramètres!$A$1:$I$89,3,0)*VLOOKUP('Données projet'!$B$15,Paramètres!$A$1:$I$89,5,0)</f>
        <v>229.46660000000028</v>
      </c>
      <c r="EL115" s="13">
        <f t="shared" si="99"/>
        <v>56.167332399835239</v>
      </c>
      <c r="EM115" s="20">
        <f t="shared" si="73"/>
        <v>497.47909892971353</v>
      </c>
      <c r="EN115" s="59">
        <f t="shared" si="74"/>
        <v>790.81243226304684</v>
      </c>
      <c r="EO115" s="59">
        <f ca="1">AVERAGE(OFFSET($EN$3,0,0,'Données projet'!$E$15+1,1))-AVERAGE(OFFSET($H$3,0,0,'Données projet'!$E$15+1,1))</f>
        <v>238.83604534181978</v>
      </c>
      <c r="EP115" s="59">
        <f t="shared" si="100"/>
        <v>114.85152559837792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5.6843418860808015E-14</v>
      </c>
      <c r="FF115" s="17">
        <f>FE115*VLOOKUP('Données projet'!$B$16,Paramètres!$A$1:$I$89,3,0)*VLOOKUP('Données projet'!$B$16,Paramètres!$A$1:$I$89,5,0)</f>
        <v>4.6111381379887463E-14</v>
      </c>
      <c r="FG115" s="13">
        <f t="shared" si="101"/>
        <v>7.5804141040779151E-13</v>
      </c>
      <c r="FH115" s="20">
        <f t="shared" si="76"/>
        <v>1.4005661123635408E-12</v>
      </c>
      <c r="FI115" s="59">
        <f t="shared" si="77"/>
        <v>293.33333333333474</v>
      </c>
      <c r="FJ115" s="59">
        <f ca="1">AVERAGE(OFFSET($FI$3,0,0,'Données projet'!$E$16+1,1))-AVERAGE(OFFSET($H$3,0,0,'Données projet'!$E$16+1,1))</f>
        <v>196.95467273423861</v>
      </c>
      <c r="FK115" s="59">
        <f t="shared" si="102"/>
        <v>173.8709326829258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45.454741907226826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6.287298420805101E-4</v>
      </c>
      <c r="FT115" s="22">
        <f t="shared" si="78"/>
        <v>45.455370637068903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5.6843418860808015E-14</v>
      </c>
      <c r="GA115" s="17">
        <f>FZ115*VLOOKUP('Données projet'!$B$17,Paramètres!$A$1:$I$89,3,0)*VLOOKUP('Données projet'!$B$17,Paramètres!$A$1:$I$89,5,0)</f>
        <v>6.1186256061773749E-14</v>
      </c>
      <c r="GB115" s="13">
        <f t="shared" si="103"/>
        <v>9.7328366192051127E-13</v>
      </c>
      <c r="GC115" s="20">
        <f t="shared" si="79"/>
        <v>1.8017017738191463E-12</v>
      </c>
      <c r="GD115" s="59">
        <f t="shared" si="80"/>
        <v>293.33333333333513</v>
      </c>
      <c r="GE115" s="59">
        <f ca="1">AVERAGE(OFFSET($GD$3,0,0,'Données projet'!$E$17+1,1))-AVERAGE(OFFSET($H$3,0,0,'Données projet'!$E$17+1,1))</f>
        <v>275.5229427552884</v>
      </c>
      <c r="GF115" s="59">
        <f t="shared" si="104"/>
        <v>241.20234081716143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60.31494599228175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8.3427613660683013E-4</v>
      </c>
      <c r="GO115" s="21">
        <f t="shared" si="81"/>
        <v>60.315780268418358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274.57619581652199</v>
      </c>
      <c r="T116" s="59">
        <f t="shared" si="88"/>
        <v>366.15117322598775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 t="e">
        <f>EXP(-LN(2)/35)*Z115+(1-EXP(-LN(2)/35))/(LN(2)/35)*V116*W116*VLOOKUP('Données projet'!$B$9,Paramètres!$A$1:$I$89,3,0)*0.475*44/12</f>
        <v>#VALUE!</v>
      </c>
      <c r="AA116" s="21" t="e">
        <f>EXP(-LN(2)/25)*AA115+(1-EXP(-LN(2)/25))/(LN(2)/25)*Calculateur!V116*Calculateur!X116*VLOOKUP('Données projet'!$B$9,Paramètres!$A$1:$I$89,3,0)*0.475*44/12</f>
        <v>#VALUE!</v>
      </c>
      <c r="AB116" s="21" t="e">
        <f>EXP(-LN(2)/2)*AB115+(1-EXP(-LN(2)/2))/(LN(2)/2)*V116*Y116*VLOOKUP('Données projet'!$B$9,Paramètres!$A$1:$I$89,3,0)*0.475*44/12</f>
        <v>#VALUE!</v>
      </c>
      <c r="AC116" s="22" t="e">
        <f t="shared" si="57"/>
        <v>#VALUE!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175.05987582828078</v>
      </c>
      <c r="AO116" s="59">
        <f t="shared" si="90"/>
        <v>268.54782308462387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58.928234219789019</v>
      </c>
      <c r="AV116" s="21">
        <f>EXP(-LN(2)/25)*AV115+(1-EXP(-LN(2)/25))/(LN(2)/25)*Calculateur!AQ116*Calculateur!AS116*VLOOKUP('Données projet'!$B$10,Paramètres!$A$1:$I$89,3,0)*0.475*44/12</f>
        <v>9.6956369859726017</v>
      </c>
      <c r="AW116" s="21">
        <f>EXP(-LN(2)/2)*AW115+(1-EXP(-LN(2)/2))/(LN(2)/2)*AQ116*AT116*VLOOKUP('Données projet'!$B$10,Paramètres!$A$1:$I$89,3,0)*0.475*44/12</f>
        <v>2.9986912968311065E-7</v>
      </c>
      <c r="AX116" s="21">
        <f t="shared" si="60"/>
        <v>68.623871505630746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252.70779718608964</v>
      </c>
      <c r="BJ116" s="59">
        <f t="shared" si="92"/>
        <v>187.86969111712705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183.89409858034654</v>
      </c>
      <c r="BQ116" s="21">
        <f>EXP(-LN(2)/25)*BQ115+(1-EXP(-LN(2)/25))/(LN(2)/25)*Calculateur!BL116*Calculateur!BN116*VLOOKUP('Données projet'!$B$11,Paramètres!$A$1:$I$89,3,0)*0.475*44/12</f>
        <v>37.774433672612766</v>
      </c>
      <c r="BR116" s="21">
        <f>EXP(-LN(2)/2)*BR115+(1-EXP(-LN(2)/2))/(LN(2)/2)*BL116*BO116*VLOOKUP('Données projet'!$B$11,Paramètres!$A$1:$I$89,3,0)*0.475*44/12</f>
        <v>0.52713331153995568</v>
      </c>
      <c r="BS116" s="22">
        <f t="shared" si="63"/>
        <v>222.19566556449925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-2.2737367544323206E-13</v>
      </c>
      <c r="BZ116" s="13">
        <f>BY116*VLOOKUP('Données projet'!$B$12,Paramètres!$A$1:$I$89,3,0)*VLOOKUP('Données projet'!$B$12,Paramètres!$A$1:$I$89,5,0)</f>
        <v>-1.3596945791505279E-13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279.86432710889352</v>
      </c>
      <c r="CE116" s="59">
        <f t="shared" si="94"/>
        <v>297.01680128882509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44.421421028756441</v>
      </c>
      <c r="CL116" s="21">
        <f>EXP(-LN(2)/25)*CL115+(1-EXP(-LN(2)/25))/(LN(2)/25)*Calculateur!CG116*Calculateur!CI116*VLOOKUP('Données projet'!$B$12,Paramètres!$A$1:$I$89,3,0)*0.475*44/12</f>
        <v>25.185159610576381</v>
      </c>
      <c r="CM116" s="21">
        <f>EXP(-LN(2)/2)*CM115+(1-EXP(-LN(2)/2))/(LN(2)/2)*CG116*CJ116*VLOOKUP('Données projet'!$B$12,Paramètres!$A$1:$I$89,3,0)*0.475*44/12</f>
        <v>4.5476331865188562E-6</v>
      </c>
      <c r="CN116" s="22">
        <f t="shared" si="66"/>
        <v>69.606585186966001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-12.000000000000284</v>
      </c>
      <c r="CU116" s="17">
        <f>CT116*VLOOKUP('Données projet'!$B$13,Paramètres!$A$1:$I$89,3,0)*VLOOKUP('Données projet'!$B$13,Paramètres!$A$1:$I$89,5,0)</f>
        <v>-9.5472000000002257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314.6300257056194</v>
      </c>
      <c r="CZ116" s="59">
        <f t="shared" si="96"/>
        <v>298.00555477466668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73.917244362349805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73.917244362349805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-12.000000000000284</v>
      </c>
      <c r="DP116" s="17">
        <f>DO116*VLOOKUP('Données projet'!$B$14,Paramètres!$A$1:$I$89,3,0)*VLOOKUP('Données projet'!$B$14,Paramètres!$A$1:$I$89,5,0)</f>
        <v>-9.5472000000002257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314.6300257056194</v>
      </c>
      <c r="DU116" s="59">
        <f t="shared" si="98"/>
        <v>298.00555477466668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73.917244362349805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73.917244362349805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8.9692307692307764</v>
      </c>
      <c r="EJ116" s="12">
        <f>IF('Données projet'!$A$192&gt;35,EJ115+EI116-ER115,IF(A116&lt;'Données projet'!$A$192,$EG$205^A116,IF(A116='Données projet'!$A$192,'Données projet'!$B$192,EJ115+EI116-ER115)))</f>
        <v>486.03076923076975</v>
      </c>
      <c r="EK116" s="17">
        <f>EJ116*VLOOKUP('Données projet'!$B$15,Paramètres!$A$1:$I$89,3,0)*VLOOKUP('Données projet'!$B$15,Paramètres!$A$1:$I$89,5,0)</f>
        <v>233.78080000000023</v>
      </c>
      <c r="EL116" s="13">
        <f t="shared" si="99"/>
        <v>57.099401524119521</v>
      </c>
      <c r="EM116" s="20">
        <f t="shared" si="73"/>
        <v>506.61635098784183</v>
      </c>
      <c r="EN116" s="59">
        <f t="shared" si="74"/>
        <v>799.94968432117514</v>
      </c>
      <c r="EO116" s="59">
        <f ca="1">AVERAGE(OFFSET($EN$3,0,0,'Données projet'!$E$15+1,1))-AVERAGE(OFFSET($H$3,0,0,'Données projet'!$E$15+1,1))</f>
        <v>238.83604534181978</v>
      </c>
      <c r="EP116" s="59">
        <f t="shared" si="100"/>
        <v>114.85152559837792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5.6843418860808015E-14</v>
      </c>
      <c r="FF116" s="17">
        <f>FE116*VLOOKUP('Données projet'!$B$16,Paramètres!$A$1:$I$89,3,0)*VLOOKUP('Données projet'!$B$16,Paramètres!$A$1:$I$89,5,0)</f>
        <v>4.6111381379887463E-14</v>
      </c>
      <c r="FG116" s="13">
        <f t="shared" si="101"/>
        <v>7.5804141040779151E-13</v>
      </c>
      <c r="FH116" s="20">
        <f t="shared" si="76"/>
        <v>1.4005661123635408E-12</v>
      </c>
      <c r="FI116" s="59">
        <f t="shared" si="77"/>
        <v>293.33333333333474</v>
      </c>
      <c r="FJ116" s="59">
        <f ca="1">AVERAGE(OFFSET($FI$3,0,0,'Données projet'!$E$16+1,1))-AVERAGE(OFFSET($H$3,0,0,'Données projet'!$E$16+1,1))</f>
        <v>196.95467273423861</v>
      </c>
      <c r="FK116" s="59">
        <f t="shared" si="102"/>
        <v>173.8709326829258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44.563402143081092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4.4457913486947584E-4</v>
      </c>
      <c r="FT116" s="22">
        <f t="shared" si="78"/>
        <v>44.563846722215963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5.6843418860808015E-14</v>
      </c>
      <c r="GA116" s="17">
        <f>FZ116*VLOOKUP('Données projet'!$B$17,Paramètres!$A$1:$I$89,3,0)*VLOOKUP('Données projet'!$B$17,Paramètres!$A$1:$I$89,5,0)</f>
        <v>6.1186256061773749E-14</v>
      </c>
      <c r="GB116" s="13">
        <f t="shared" si="103"/>
        <v>9.7328366192051127E-13</v>
      </c>
      <c r="GC116" s="20">
        <f t="shared" si="79"/>
        <v>1.8017017738191463E-12</v>
      </c>
      <c r="GD116" s="59">
        <f t="shared" si="80"/>
        <v>293.33333333333513</v>
      </c>
      <c r="GE116" s="59">
        <f ca="1">AVERAGE(OFFSET($GD$3,0,0,'Données projet'!$E$17+1,1))-AVERAGE(OFFSET($H$3,0,0,'Données projet'!$E$17+1,1))</f>
        <v>275.5229427552884</v>
      </c>
      <c r="GF116" s="59">
        <f t="shared" si="104"/>
        <v>241.20234081716143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59.132206689857597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5.8992231357680406E-4</v>
      </c>
      <c r="GO116" s="21">
        <f t="shared" si="81"/>
        <v>59.132796612171177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274.57619581652199</v>
      </c>
      <c r="T117" s="59">
        <f t="shared" si="88"/>
        <v>366.15117322598775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 t="e">
        <f>EXP(-LN(2)/35)*Z116+(1-EXP(-LN(2)/35))/(LN(2)/35)*V117*W117*VLOOKUP('Données projet'!$B$9,Paramètres!$A$1:$I$89,3,0)*0.475*44/12</f>
        <v>#VALUE!</v>
      </c>
      <c r="AA117" s="21" t="e">
        <f>EXP(-LN(2)/25)*AA116+(1-EXP(-LN(2)/25))/(LN(2)/25)*Calculateur!V117*Calculateur!X117*VLOOKUP('Données projet'!$B$9,Paramètres!$A$1:$I$89,3,0)*0.475*44/12</f>
        <v>#VALUE!</v>
      </c>
      <c r="AB117" s="21" t="e">
        <f>EXP(-LN(2)/2)*AB116+(1-EXP(-LN(2)/2))/(LN(2)/2)*V117*Y117*VLOOKUP('Données projet'!$B$9,Paramètres!$A$1:$I$89,3,0)*0.475*44/12</f>
        <v>#VALUE!</v>
      </c>
      <c r="AC117" s="22" t="e">
        <f t="shared" si="57"/>
        <v>#VALUE!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175.05987582828078</v>
      </c>
      <c r="AO117" s="59">
        <f t="shared" si="90"/>
        <v>268.54782308462387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57.772687489412789</v>
      </c>
      <c r="AV117" s="21">
        <f>EXP(-LN(2)/25)*AV116+(1-EXP(-LN(2)/25))/(LN(2)/25)*Calculateur!AQ117*Calculateur!AS117*VLOOKUP('Données projet'!$B$10,Paramètres!$A$1:$I$89,3,0)*0.475*44/12</f>
        <v>9.4305092827197914</v>
      </c>
      <c r="AW117" s="21">
        <f>EXP(-LN(2)/2)*AW116+(1-EXP(-LN(2)/2))/(LN(2)/2)*AQ117*AT117*VLOOKUP('Données projet'!$B$10,Paramètres!$A$1:$I$89,3,0)*0.475*44/12</f>
        <v>2.1203949506743577E-7</v>
      </c>
      <c r="AX117" s="21">
        <f t="shared" si="60"/>
        <v>67.203196984172081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252.70779718608964</v>
      </c>
      <c r="BJ117" s="59">
        <f t="shared" si="92"/>
        <v>187.86969111712705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180.28804747151077</v>
      </c>
      <c r="BQ117" s="21">
        <f>EXP(-LN(2)/25)*BQ116+(1-EXP(-LN(2)/25))/(LN(2)/25)*Calculateur!BL117*Calculateur!BN117*VLOOKUP('Données projet'!$B$11,Paramètres!$A$1:$I$89,3,0)*0.475*44/12</f>
        <v>36.741489797364039</v>
      </c>
      <c r="BR117" s="21">
        <f>EXP(-LN(2)/2)*BR116+(1-EXP(-LN(2)/2))/(LN(2)/2)*BL117*BO117*VLOOKUP('Données projet'!$B$11,Paramètres!$A$1:$I$89,3,0)*0.475*44/12</f>
        <v>0.37273953917922364</v>
      </c>
      <c r="BS117" s="22">
        <f t="shared" si="63"/>
        <v>217.40227680805404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-2.2737367544323206E-13</v>
      </c>
      <c r="BZ117" s="13">
        <f>BY117*VLOOKUP('Données projet'!$B$12,Paramètres!$A$1:$I$89,3,0)*VLOOKUP('Données projet'!$B$12,Paramètres!$A$1:$I$89,5,0)</f>
        <v>-1.3596945791505279E-13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279.86432710889352</v>
      </c>
      <c r="CE117" s="59">
        <f t="shared" si="94"/>
        <v>297.01680128882509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43.550344056774009</v>
      </c>
      <c r="CL117" s="21">
        <f>EXP(-LN(2)/25)*CL116+(1-EXP(-LN(2)/25))/(LN(2)/25)*Calculateur!CG117*Calculateur!CI117*VLOOKUP('Données projet'!$B$12,Paramètres!$A$1:$I$89,3,0)*0.475*44/12</f>
        <v>24.496470096595189</v>
      </c>
      <c r="CM117" s="21">
        <f>EXP(-LN(2)/2)*CM116+(1-EXP(-LN(2)/2))/(LN(2)/2)*CG117*CJ117*VLOOKUP('Données projet'!$B$12,Paramètres!$A$1:$I$89,3,0)*0.475*44/12</f>
        <v>3.2156622645364707E-6</v>
      </c>
      <c r="CN117" s="22">
        <f t="shared" si="66"/>
        <v>68.046817369031459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-12.000000000000284</v>
      </c>
      <c r="CU117" s="17">
        <f>CT117*VLOOKUP('Données projet'!$B$13,Paramètres!$A$1:$I$89,3,0)*VLOOKUP('Données projet'!$B$13,Paramètres!$A$1:$I$89,5,0)</f>
        <v>-9.5472000000002257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314.6300257056194</v>
      </c>
      <c r="CZ117" s="59">
        <f t="shared" si="96"/>
        <v>298.00555477466668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72.467772285471412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72.467772285471412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-12.000000000000284</v>
      </c>
      <c r="DP117" s="17">
        <f>DO117*VLOOKUP('Données projet'!$B$14,Paramètres!$A$1:$I$89,3,0)*VLOOKUP('Données projet'!$B$14,Paramètres!$A$1:$I$89,5,0)</f>
        <v>-9.5472000000002257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314.6300257056194</v>
      </c>
      <c r="DU117" s="59">
        <f t="shared" si="98"/>
        <v>298.00555477466668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72.467772285471412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72.467772285471412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8.9692307692307764</v>
      </c>
      <c r="EJ117" s="12">
        <f>IF('Données projet'!$A$192&gt;35,EJ116+EI117-ER116,IF(A117&lt;'Données projet'!$A$192,$EG$205^A117,IF(A117='Données projet'!$A$192,'Données projet'!$B$192,EJ116+EI117-ER116)))</f>
        <v>495.00000000000051</v>
      </c>
      <c r="EK117" s="17">
        <f>EJ117*VLOOKUP('Données projet'!$B$15,Paramètres!$A$1:$I$89,3,0)*VLOOKUP('Données projet'!$B$15,Paramètres!$A$1:$I$89,5,0)</f>
        <v>238.09500000000023</v>
      </c>
      <c r="EL117" s="13">
        <f t="shared" si="99"/>
        <v>58.029470545980899</v>
      </c>
      <c r="EM117" s="20">
        <f t="shared" si="73"/>
        <v>515.75011953425042</v>
      </c>
      <c r="EN117" s="59">
        <f t="shared" si="74"/>
        <v>809.08345286758367</v>
      </c>
      <c r="EO117" s="59">
        <f ca="1">AVERAGE(OFFSET($EN$3,0,0,'Données projet'!$E$15+1,1))-AVERAGE(OFFSET($H$3,0,0,'Données projet'!$E$15+1,1))</f>
        <v>238.83604534181978</v>
      </c>
      <c r="EP117" s="59">
        <f t="shared" si="100"/>
        <v>114.85152559837792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5.6843418860808015E-14</v>
      </c>
      <c r="FF117" s="17">
        <f>FE117*VLOOKUP('Données projet'!$B$16,Paramètres!$A$1:$I$89,3,0)*VLOOKUP('Données projet'!$B$16,Paramètres!$A$1:$I$89,5,0)</f>
        <v>4.6111381379887463E-14</v>
      </c>
      <c r="FG117" s="13">
        <f t="shared" si="101"/>
        <v>7.5804141040779151E-13</v>
      </c>
      <c r="FH117" s="20">
        <f t="shared" si="76"/>
        <v>1.4005661123635408E-12</v>
      </c>
      <c r="FI117" s="59">
        <f t="shared" si="77"/>
        <v>293.33333333333474</v>
      </c>
      <c r="FJ117" s="59">
        <f ca="1">AVERAGE(OFFSET($FI$3,0,0,'Données projet'!$E$16+1,1))-AVERAGE(OFFSET($H$3,0,0,'Données projet'!$E$16+1,1))</f>
        <v>196.95467273423861</v>
      </c>
      <c r="FK117" s="59">
        <f t="shared" si="102"/>
        <v>173.8709326829258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43.689541008046682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3.1436492104025505E-4</v>
      </c>
      <c r="FT117" s="22">
        <f t="shared" si="78"/>
        <v>43.68985537296772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5.6843418860808015E-14</v>
      </c>
      <c r="GA117" s="17">
        <f>FZ117*VLOOKUP('Données projet'!$B$17,Paramètres!$A$1:$I$89,3,0)*VLOOKUP('Données projet'!$B$17,Paramètres!$A$1:$I$89,5,0)</f>
        <v>6.1186256061773749E-14</v>
      </c>
      <c r="GB117" s="13">
        <f t="shared" si="103"/>
        <v>9.7328366192051127E-13</v>
      </c>
      <c r="GC117" s="20">
        <f t="shared" si="79"/>
        <v>1.8017017738191463E-12</v>
      </c>
      <c r="GD117" s="59">
        <f t="shared" si="80"/>
        <v>293.33333333333513</v>
      </c>
      <c r="GE117" s="59">
        <f ca="1">AVERAGE(OFFSET($GD$3,0,0,'Données projet'!$E$17+1,1))-AVERAGE(OFFSET($H$3,0,0,'Données projet'!$E$17+1,1))</f>
        <v>275.5229427552884</v>
      </c>
      <c r="GF117" s="59">
        <f t="shared" si="104"/>
        <v>241.20234081716143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57.972660183754243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4.1713806830341506E-4</v>
      </c>
      <c r="GO117" s="21">
        <f t="shared" si="81"/>
        <v>57.973077321822544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274.57619581652199</v>
      </c>
      <c r="T118" s="59">
        <f t="shared" si="88"/>
        <v>366.15117322598775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 t="e">
        <f>EXP(-LN(2)/35)*Z117+(1-EXP(-LN(2)/35))/(LN(2)/35)*V118*W118*VLOOKUP('Données projet'!$B$9,Paramètres!$A$1:$I$89,3,0)*0.475*44/12</f>
        <v>#VALUE!</v>
      </c>
      <c r="AA118" s="21" t="e">
        <f>EXP(-LN(2)/25)*AA117+(1-EXP(-LN(2)/25))/(LN(2)/25)*Calculateur!V118*Calculateur!X118*VLOOKUP('Données projet'!$B$9,Paramètres!$A$1:$I$89,3,0)*0.475*44/12</f>
        <v>#VALUE!</v>
      </c>
      <c r="AB118" s="21" t="e">
        <f>EXP(-LN(2)/2)*AB117+(1-EXP(-LN(2)/2))/(LN(2)/2)*V118*Y118*VLOOKUP('Données projet'!$B$9,Paramètres!$A$1:$I$89,3,0)*0.475*44/12</f>
        <v>#VALUE!</v>
      </c>
      <c r="AC118" s="22" t="e">
        <f t="shared" si="57"/>
        <v>#VALUE!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175.05987582828078</v>
      </c>
      <c r="AO118" s="59">
        <f t="shared" si="90"/>
        <v>268.54782308462387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56.639800325605322</v>
      </c>
      <c r="AV118" s="21">
        <f>EXP(-LN(2)/25)*AV117+(1-EXP(-LN(2)/25))/(LN(2)/25)*Calculateur!AQ118*Calculateur!AS118*VLOOKUP('Données projet'!$B$10,Paramètres!$A$1:$I$89,3,0)*0.475*44/12</f>
        <v>9.1726315104548899</v>
      </c>
      <c r="AW118" s="21">
        <f>EXP(-LN(2)/2)*AW117+(1-EXP(-LN(2)/2))/(LN(2)/2)*AQ118*AT118*VLOOKUP('Données projet'!$B$10,Paramètres!$A$1:$I$89,3,0)*0.475*44/12</f>
        <v>1.4993456484155532E-7</v>
      </c>
      <c r="AX118" s="21">
        <f t="shared" si="60"/>
        <v>65.812431985994778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252.70779718608964</v>
      </c>
      <c r="BJ118" s="59">
        <f t="shared" si="92"/>
        <v>187.86969111712705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176.75270882544527</v>
      </c>
      <c r="BQ118" s="21">
        <f>EXP(-LN(2)/25)*BQ117+(1-EXP(-LN(2)/25))/(LN(2)/25)*Calculateur!BL118*Calculateur!BN118*VLOOKUP('Données projet'!$B$11,Paramètres!$A$1:$I$89,3,0)*0.475*44/12</f>
        <v>35.736791826704142</v>
      </c>
      <c r="BR118" s="21">
        <f>EXP(-LN(2)/2)*BR117+(1-EXP(-LN(2)/2))/(LN(2)/2)*BL118*BO118*VLOOKUP('Données projet'!$B$11,Paramètres!$A$1:$I$89,3,0)*0.475*44/12</f>
        <v>0.26356665576997784</v>
      </c>
      <c r="BS118" s="22">
        <f t="shared" si="63"/>
        <v>212.75306730791939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-2.2737367544323206E-13</v>
      </c>
      <c r="BZ118" s="13">
        <f>BY118*VLOOKUP('Données projet'!$B$12,Paramètres!$A$1:$I$89,3,0)*VLOOKUP('Données projet'!$B$12,Paramètres!$A$1:$I$89,5,0)</f>
        <v>-1.3596945791505279E-13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279.86432710889352</v>
      </c>
      <c r="CE118" s="59">
        <f t="shared" si="94"/>
        <v>297.01680128882509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42.696348372907657</v>
      </c>
      <c r="CL118" s="21">
        <f>EXP(-LN(2)/25)*CL117+(1-EXP(-LN(2)/25))/(LN(2)/25)*Calculateur!CG118*Calculateur!CI118*VLOOKUP('Données projet'!$B$12,Paramètres!$A$1:$I$89,3,0)*0.475*44/12</f>
        <v>23.826612833590417</v>
      </c>
      <c r="CM118" s="21">
        <f>EXP(-LN(2)/2)*CM117+(1-EXP(-LN(2)/2))/(LN(2)/2)*CG118*CJ118*VLOOKUP('Données projet'!$B$12,Paramètres!$A$1:$I$89,3,0)*0.475*44/12</f>
        <v>2.2738165932594281E-6</v>
      </c>
      <c r="CN118" s="22">
        <f t="shared" si="66"/>
        <v>66.522963480314672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-12.000000000000284</v>
      </c>
      <c r="CU118" s="17">
        <f>CT118*VLOOKUP('Données projet'!$B$13,Paramètres!$A$1:$I$89,3,0)*VLOOKUP('Données projet'!$B$13,Paramètres!$A$1:$I$89,5,0)</f>
        <v>-9.5472000000002257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314.6300257056194</v>
      </c>
      <c r="CZ118" s="59">
        <f t="shared" si="96"/>
        <v>298.00555477466668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71.046723471929923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71.046723471929923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-12.000000000000284</v>
      </c>
      <c r="DP118" s="17">
        <f>DO118*VLOOKUP('Données projet'!$B$14,Paramètres!$A$1:$I$89,3,0)*VLOOKUP('Données projet'!$B$14,Paramètres!$A$1:$I$89,5,0)</f>
        <v>-9.5472000000002257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314.6300257056194</v>
      </c>
      <c r="DU118" s="59">
        <f t="shared" si="98"/>
        <v>298.00555477466668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71.046723471929923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71.046723471929923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8.9692307692307764</v>
      </c>
      <c r="EJ118" s="12">
        <f>IF('Données projet'!$A$192&gt;35,EJ117+EI118-ER117,IF(A118&lt;'Données projet'!$A$192,$EG$205^A118,IF(A118='Données projet'!$A$192,'Données projet'!$B$192,EJ117+EI118-ER117)))</f>
        <v>503.96923076923127</v>
      </c>
      <c r="EK118" s="17">
        <f>EJ118*VLOOKUP('Données projet'!$B$15,Paramètres!$A$1:$I$89,3,0)*VLOOKUP('Données projet'!$B$15,Paramètres!$A$1:$I$89,5,0)</f>
        <v>242.40920000000023</v>
      </c>
      <c r="EL118" s="13">
        <f t="shared" si="99"/>
        <v>58.95757988688672</v>
      </c>
      <c r="EM118" s="20">
        <f t="shared" si="73"/>
        <v>524.88047496966146</v>
      </c>
      <c r="EN118" s="59">
        <f t="shared" si="74"/>
        <v>818.21380830299472</v>
      </c>
      <c r="EO118" s="59">
        <f ca="1">AVERAGE(OFFSET($EN$3,0,0,'Données projet'!$E$15+1,1))-AVERAGE(OFFSET($H$3,0,0,'Données projet'!$E$15+1,1))</f>
        <v>238.83604534181978</v>
      </c>
      <c r="EP118" s="59">
        <f t="shared" si="100"/>
        <v>114.85152559837792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5.6843418860808015E-14</v>
      </c>
      <c r="FF118" s="17">
        <f>FE118*VLOOKUP('Données projet'!$B$16,Paramètres!$A$1:$I$89,3,0)*VLOOKUP('Données projet'!$B$16,Paramètres!$A$1:$I$89,5,0)</f>
        <v>4.6111381379887463E-14</v>
      </c>
      <c r="FG118" s="13">
        <f t="shared" si="101"/>
        <v>7.5804141040779151E-13</v>
      </c>
      <c r="FH118" s="20">
        <f t="shared" si="76"/>
        <v>1.4005661123635408E-12</v>
      </c>
      <c r="FI118" s="59">
        <f t="shared" si="77"/>
        <v>293.33333333333474</v>
      </c>
      <c r="FJ118" s="59">
        <f ca="1">AVERAGE(OFFSET($FI$3,0,0,'Données projet'!$E$16+1,1))-AVERAGE(OFFSET($H$3,0,0,'Données projet'!$E$16+1,1))</f>
        <v>196.95467273423861</v>
      </c>
      <c r="FK118" s="59">
        <f t="shared" si="102"/>
        <v>173.8709326829258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42.832815756867632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2.2228956743473792E-4</v>
      </c>
      <c r="FT118" s="22">
        <f t="shared" si="78"/>
        <v>42.833038046435064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5.6843418860808015E-14</v>
      </c>
      <c r="GA118" s="17">
        <f>FZ118*VLOOKUP('Données projet'!$B$17,Paramètres!$A$1:$I$89,3,0)*VLOOKUP('Données projet'!$B$17,Paramètres!$A$1:$I$89,5,0)</f>
        <v>6.1186256061773749E-14</v>
      </c>
      <c r="GB118" s="13">
        <f t="shared" si="103"/>
        <v>9.7328366192051127E-13</v>
      </c>
      <c r="GC118" s="20">
        <f t="shared" si="79"/>
        <v>1.8017017738191463E-12</v>
      </c>
      <c r="GD118" s="59">
        <f t="shared" si="80"/>
        <v>293.33333333333513</v>
      </c>
      <c r="GE118" s="59">
        <f ca="1">AVERAGE(OFFSET($GD$3,0,0,'Données projet'!$E$17+1,1))-AVERAGE(OFFSET($H$3,0,0,'Données projet'!$E$17+1,1))</f>
        <v>275.5229427552884</v>
      </c>
      <c r="GF118" s="59">
        <f t="shared" si="104"/>
        <v>241.20234081716143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56.835851677382038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2.9496115678840203E-4</v>
      </c>
      <c r="GO118" s="21">
        <f t="shared" si="81"/>
        <v>56.836146638538828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274.57619581652199</v>
      </c>
      <c r="T119" s="59">
        <f t="shared" si="88"/>
        <v>366.15117322598775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 t="e">
        <f>EXP(-LN(2)/35)*Z118+(1-EXP(-LN(2)/35))/(LN(2)/35)*V119*W119*VLOOKUP('Données projet'!$B$9,Paramètres!$A$1:$I$89,3,0)*0.475*44/12</f>
        <v>#VALUE!</v>
      </c>
      <c r="AA119" s="21" t="e">
        <f>EXP(-LN(2)/25)*AA118+(1-EXP(-LN(2)/25))/(LN(2)/25)*Calculateur!V119*Calculateur!X119*VLOOKUP('Données projet'!$B$9,Paramètres!$A$1:$I$89,3,0)*0.475*44/12</f>
        <v>#VALUE!</v>
      </c>
      <c r="AB119" s="21" t="e">
        <f>EXP(-LN(2)/2)*AB118+(1-EXP(-LN(2)/2))/(LN(2)/2)*V119*Y119*VLOOKUP('Données projet'!$B$9,Paramètres!$A$1:$I$89,3,0)*0.475*44/12</f>
        <v>#VALUE!</v>
      </c>
      <c r="AC119" s="22" t="e">
        <f t="shared" si="57"/>
        <v>#VALUE!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175.05987582828078</v>
      </c>
      <c r="AO119" s="59">
        <f t="shared" si="90"/>
        <v>268.54782308462387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55.52912838808718</v>
      </c>
      <c r="AV119" s="21">
        <f>EXP(-LN(2)/25)*AV118+(1-EXP(-LN(2)/25))/(LN(2)/25)*Calculateur!AQ119*Calculateur!AS119*VLOOKUP('Données projet'!$B$10,Paramètres!$A$1:$I$89,3,0)*0.475*44/12</f>
        <v>8.9218054194337739</v>
      </c>
      <c r="AW119" s="21">
        <f>EXP(-LN(2)/2)*AW118+(1-EXP(-LN(2)/2))/(LN(2)/2)*AQ119*AT119*VLOOKUP('Données projet'!$B$10,Paramètres!$A$1:$I$89,3,0)*0.475*44/12</f>
        <v>1.0601974753371788E-7</v>
      </c>
      <c r="AX119" s="21">
        <f t="shared" si="60"/>
        <v>64.450933913540695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252.70779718608964</v>
      </c>
      <c r="BJ119" s="59">
        <f t="shared" si="92"/>
        <v>187.86969111712705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173.28669601388546</v>
      </c>
      <c r="BQ119" s="21">
        <f>EXP(-LN(2)/25)*BQ118+(1-EXP(-LN(2)/25))/(LN(2)/25)*Calculateur!BL119*Calculateur!BN119*VLOOKUP('Données projet'!$B$11,Paramètres!$A$1:$I$89,3,0)*0.475*44/12</f>
        <v>34.759567374886714</v>
      </c>
      <c r="BR119" s="21">
        <f>EXP(-LN(2)/2)*BR118+(1-EXP(-LN(2)/2))/(LN(2)/2)*BL119*BO119*VLOOKUP('Données projet'!$B$11,Paramètres!$A$1:$I$89,3,0)*0.475*44/12</f>
        <v>0.18636976958961182</v>
      </c>
      <c r="BS119" s="22">
        <f t="shared" si="63"/>
        <v>208.23263315836178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-2.2737367544323206E-13</v>
      </c>
      <c r="BZ119" s="13">
        <f>BY119*VLOOKUP('Données projet'!$B$12,Paramètres!$A$1:$I$89,3,0)*VLOOKUP('Données projet'!$B$12,Paramètres!$A$1:$I$89,5,0)</f>
        <v>-1.3596945791505279E-13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279.86432710889352</v>
      </c>
      <c r="CE119" s="59">
        <f t="shared" si="94"/>
        <v>297.01680128882509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41.859099023515995</v>
      </c>
      <c r="CL119" s="21">
        <f>EXP(-LN(2)/25)*CL118+(1-EXP(-LN(2)/25))/(LN(2)/25)*Calculateur!CG119*Calculateur!CI119*VLOOKUP('Données projet'!$B$12,Paramètres!$A$1:$I$89,3,0)*0.475*44/12</f>
        <v>23.175072852668773</v>
      </c>
      <c r="CM119" s="21">
        <f>EXP(-LN(2)/2)*CM118+(1-EXP(-LN(2)/2))/(LN(2)/2)*CG119*CJ119*VLOOKUP('Données projet'!$B$12,Paramètres!$A$1:$I$89,3,0)*0.475*44/12</f>
        <v>1.6078311322682354E-6</v>
      </c>
      <c r="CN119" s="22">
        <f t="shared" si="66"/>
        <v>65.034173484015909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-12.000000000000284</v>
      </c>
      <c r="CU119" s="17">
        <f>CT119*VLOOKUP('Données projet'!$B$13,Paramètres!$A$1:$I$89,3,0)*VLOOKUP('Données projet'!$B$13,Paramètres!$A$1:$I$89,5,0)</f>
        <v>-9.5472000000002257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314.6300257056194</v>
      </c>
      <c r="CZ119" s="59">
        <f t="shared" si="96"/>
        <v>298.00555477466668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69.653540558867789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69.653540558867789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-12.000000000000284</v>
      </c>
      <c r="DP119" s="17">
        <f>DO119*VLOOKUP('Données projet'!$B$14,Paramètres!$A$1:$I$89,3,0)*VLOOKUP('Données projet'!$B$14,Paramètres!$A$1:$I$89,5,0)</f>
        <v>-9.5472000000002257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314.6300257056194</v>
      </c>
      <c r="DU119" s="59">
        <f t="shared" si="98"/>
        <v>298.00555477466668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69.653540558867789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69.653540558867789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>
        <f>VLOOKUP(A119,'Données projet'!$A$191:$I$211,2,0)</f>
        <v>512.93846153846152</v>
      </c>
      <c r="EH119" s="12">
        <f>VLOOKUP(A119,'Données projet'!$A$191:$I$211,9,0)</f>
        <v>8.9692307692307764</v>
      </c>
      <c r="EI119" s="12">
        <f t="array" ref="EI119">INDEX(EH:EH,MIN(IF(ISNUMBER(EH119:EH315),ROW(EH119:EH315),"")))</f>
        <v>8.9692307692307764</v>
      </c>
      <c r="EJ119" s="12">
        <f>IF('Données projet'!$A$192&gt;35,EJ118+EI119-ER118,IF(A119&lt;'Données projet'!$A$192,$EG$205^A119,IF(A119='Données projet'!$A$192,'Données projet'!$B$192,EJ118+EI119-ER118)))</f>
        <v>512.93846153846209</v>
      </c>
      <c r="EK119" s="17">
        <f>EJ119*VLOOKUP('Données projet'!$B$15,Paramètres!$A$1:$I$89,3,0)*VLOOKUP('Données projet'!$B$15,Paramètres!$A$1:$I$89,5,0)</f>
        <v>246.72340000000028</v>
      </c>
      <c r="EL119" s="13">
        <f t="shared" si="99"/>
        <v>59.88376844712711</v>
      </c>
      <c r="EM119" s="20">
        <f t="shared" si="73"/>
        <v>534.00748504541355</v>
      </c>
      <c r="EN119" s="59">
        <f t="shared" si="74"/>
        <v>827.34081837874692</v>
      </c>
      <c r="EO119" s="59">
        <f ca="1">AVERAGE(OFFSET($EN$3,0,0,'Données projet'!$E$15+1,1))-AVERAGE(OFFSET($H$3,0,0,'Données projet'!$E$15+1,1))</f>
        <v>238.83604534181978</v>
      </c>
      <c r="EP119" s="59">
        <f t="shared" si="100"/>
        <v>114.85152559837792</v>
      </c>
      <c r="EQ119" s="15">
        <f>IF(ISNA(VLOOKUP(A119,'Données projet'!$A$191:$I$211,3,0)),0,VLOOKUP(A119,'Données projet'!$A$191:$I$211,3,0))</f>
        <v>10</v>
      </c>
      <c r="ER119" s="15">
        <f>IF(ISNA(VLOOKUP(A119,'Données projet'!$A$191:$I$211,4,0)),0,VLOOKUP(A119,'Données projet'!$A$191:$I$211,4,0))</f>
        <v>78.146153846153851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5.6843418860808015E-14</v>
      </c>
      <c r="FF119" s="17">
        <f>FE119*VLOOKUP('Données projet'!$B$16,Paramètres!$A$1:$I$89,3,0)*VLOOKUP('Données projet'!$B$16,Paramètres!$A$1:$I$89,5,0)</f>
        <v>4.6111381379887463E-14</v>
      </c>
      <c r="FG119" s="13">
        <f t="shared" si="101"/>
        <v>7.5804141040779151E-13</v>
      </c>
      <c r="FH119" s="20">
        <f t="shared" si="76"/>
        <v>1.4005661123635408E-12</v>
      </c>
      <c r="FI119" s="59">
        <f t="shared" si="77"/>
        <v>293.33333333333474</v>
      </c>
      <c r="FJ119" s="59">
        <f ca="1">AVERAGE(OFFSET($FI$3,0,0,'Données projet'!$E$16+1,1))-AVERAGE(OFFSET($H$3,0,0,'Données projet'!$E$16+1,1))</f>
        <v>196.95467273423861</v>
      </c>
      <c r="FK119" s="59">
        <f t="shared" si="102"/>
        <v>173.8709326829258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41.992890365313393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1.5718246052012753E-4</v>
      </c>
      <c r="FT119" s="22">
        <f t="shared" si="78"/>
        <v>41.993047547773912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5.6843418860808015E-14</v>
      </c>
      <c r="GA119" s="17">
        <f>FZ119*VLOOKUP('Données projet'!$B$17,Paramètres!$A$1:$I$89,3,0)*VLOOKUP('Données projet'!$B$17,Paramètres!$A$1:$I$89,5,0)</f>
        <v>6.1186256061773749E-14</v>
      </c>
      <c r="GB119" s="13">
        <f t="shared" si="103"/>
        <v>9.7328366192051127E-13</v>
      </c>
      <c r="GC119" s="20">
        <f t="shared" si="79"/>
        <v>1.8017017738191463E-12</v>
      </c>
      <c r="GD119" s="59">
        <f t="shared" si="80"/>
        <v>293.33333333333513</v>
      </c>
      <c r="GE119" s="59">
        <f ca="1">AVERAGE(OFFSET($GD$3,0,0,'Données projet'!$E$17+1,1))-AVERAGE(OFFSET($H$3,0,0,'Données projet'!$E$17+1,1))</f>
        <v>275.5229427552884</v>
      </c>
      <c r="GF119" s="59">
        <f t="shared" si="104"/>
        <v>241.20234081716143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55.721335292435072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2.0856903415170753E-4</v>
      </c>
      <c r="GO119" s="21">
        <f t="shared" si="81"/>
        <v>55.721543861469222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274.57619581652199</v>
      </c>
      <c r="T120" s="59">
        <f t="shared" si="88"/>
        <v>366.15117322598775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 t="e">
        <f>EXP(-LN(2)/35)*Z119+(1-EXP(-LN(2)/35))/(LN(2)/35)*V120*W120*VLOOKUP('Données projet'!$B$9,Paramètres!$A$1:$I$89,3,0)*0.475*44/12</f>
        <v>#VALUE!</v>
      </c>
      <c r="AA120" s="21" t="e">
        <f>EXP(-LN(2)/25)*AA119+(1-EXP(-LN(2)/25))/(LN(2)/25)*Calculateur!V120*Calculateur!X120*VLOOKUP('Données projet'!$B$9,Paramètres!$A$1:$I$89,3,0)*0.475*44/12</f>
        <v>#VALUE!</v>
      </c>
      <c r="AB120" s="21" t="e">
        <f>EXP(-LN(2)/2)*AB119+(1-EXP(-LN(2)/2))/(LN(2)/2)*V120*Y120*VLOOKUP('Données projet'!$B$9,Paramètres!$A$1:$I$89,3,0)*0.475*44/12</f>
        <v>#VALUE!</v>
      </c>
      <c r="AC120" s="22" t="e">
        <f t="shared" si="57"/>
        <v>#VALUE!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175.05987582828078</v>
      </c>
      <c r="AO120" s="59">
        <f t="shared" si="90"/>
        <v>268.54782308462387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54.440236049820783</v>
      </c>
      <c r="AV120" s="21">
        <f>EXP(-LN(2)/25)*AV119+(1-EXP(-LN(2)/25))/(LN(2)/25)*Calculateur!AQ120*Calculateur!AS120*VLOOKUP('Données projet'!$B$10,Paramètres!$A$1:$I$89,3,0)*0.475*44/12</f>
        <v>8.6778381810620022</v>
      </c>
      <c r="AW120" s="21">
        <f>EXP(-LN(2)/2)*AW119+(1-EXP(-LN(2)/2))/(LN(2)/2)*AQ120*AT120*VLOOKUP('Données projet'!$B$10,Paramètres!$A$1:$I$89,3,0)*0.475*44/12</f>
        <v>7.4967282420777662E-8</v>
      </c>
      <c r="AX120" s="21">
        <f t="shared" si="60"/>
        <v>63.118074305850065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252.70779718608964</v>
      </c>
      <c r="BJ120" s="59">
        <f t="shared" si="92"/>
        <v>187.86969111712705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169.88864959950126</v>
      </c>
      <c r="BQ120" s="21">
        <f>EXP(-LN(2)/25)*BQ119+(1-EXP(-LN(2)/25))/(LN(2)/25)*Calculateur!BL120*Calculateur!BN120*VLOOKUP('Données projet'!$B$11,Paramètres!$A$1:$I$89,3,0)*0.475*44/12</f>
        <v>33.809065177094233</v>
      </c>
      <c r="BR120" s="21">
        <f>EXP(-LN(2)/2)*BR119+(1-EXP(-LN(2)/2))/(LN(2)/2)*BL120*BO120*VLOOKUP('Données projet'!$B$11,Paramètres!$A$1:$I$89,3,0)*0.475*44/12</f>
        <v>0.13178332788498892</v>
      </c>
      <c r="BS120" s="22">
        <f t="shared" si="63"/>
        <v>203.82949810448048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-2.2737367544323206E-13</v>
      </c>
      <c r="BZ120" s="13">
        <f>BY120*VLOOKUP('Données projet'!$B$12,Paramètres!$A$1:$I$89,3,0)*VLOOKUP('Données projet'!$B$12,Paramètres!$A$1:$I$89,5,0)</f>
        <v>-1.3596945791505279E-13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279.86432710889352</v>
      </c>
      <c r="CE120" s="59">
        <f t="shared" si="94"/>
        <v>297.01680128882509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41.038267623194223</v>
      </c>
      <c r="CL120" s="21">
        <f>EXP(-LN(2)/25)*CL119+(1-EXP(-LN(2)/25))/(LN(2)/25)*Calculateur!CG120*Calculateur!CI120*VLOOKUP('Données projet'!$B$12,Paramètres!$A$1:$I$89,3,0)*0.475*44/12</f>
        <v>22.54134926678843</v>
      </c>
      <c r="CM120" s="21">
        <f>EXP(-LN(2)/2)*CM119+(1-EXP(-LN(2)/2))/(LN(2)/2)*CG120*CJ120*VLOOKUP('Données projet'!$B$12,Paramètres!$A$1:$I$89,3,0)*0.475*44/12</f>
        <v>1.136908296629714E-6</v>
      </c>
      <c r="CN120" s="22">
        <f t="shared" si="66"/>
        <v>63.579618026890948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-12.000000000000284</v>
      </c>
      <c r="CU120" s="17">
        <f>CT120*VLOOKUP('Données projet'!$B$13,Paramètres!$A$1:$I$89,3,0)*VLOOKUP('Données projet'!$B$13,Paramètres!$A$1:$I$89,5,0)</f>
        <v>-9.5472000000002257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314.6300257056194</v>
      </c>
      <c r="CZ120" s="59">
        <f t="shared" si="96"/>
        <v>298.00555477466668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68.287677112973142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68.287677112973142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-12.000000000000284</v>
      </c>
      <c r="DP120" s="17">
        <f>DO120*VLOOKUP('Données projet'!$B$14,Paramètres!$A$1:$I$89,3,0)*VLOOKUP('Données projet'!$B$14,Paramètres!$A$1:$I$89,5,0)</f>
        <v>-9.5472000000002257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314.6300257056194</v>
      </c>
      <c r="DU120" s="59">
        <f t="shared" si="98"/>
        <v>298.00555477466668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68.287677112973142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68.287677112973142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8.2061538461538586</v>
      </c>
      <c r="EJ120" s="12">
        <f>IF('Données projet'!$A$192&gt;35,EJ119+EI120-ER119,IF(A120&lt;'Données projet'!$A$192,$EG$205^A120,IF(A120='Données projet'!$A$192,'Données projet'!$B$192,EJ119+EI120-ER119)))</f>
        <v>442.99846153846204</v>
      </c>
      <c r="EK120" s="17">
        <f>EJ120*VLOOKUP('Données projet'!$B$15,Paramètres!$A$1:$I$89,3,0)*VLOOKUP('Données projet'!$B$15,Paramètres!$A$1:$I$89,5,0)</f>
        <v>213.08226000000028</v>
      </c>
      <c r="EL120" s="13">
        <f t="shared" si="99"/>
        <v>52.608564809957556</v>
      </c>
      <c r="EM120" s="20">
        <f t="shared" si="73"/>
        <v>462.74485321067647</v>
      </c>
      <c r="EN120" s="59">
        <f t="shared" si="74"/>
        <v>756.07818654400978</v>
      </c>
      <c r="EO120" s="59">
        <f ca="1">AVERAGE(OFFSET($EN$3,0,0,'Données projet'!$E$15+1,1))-AVERAGE(OFFSET($H$3,0,0,'Données projet'!$E$15+1,1))</f>
        <v>238.83604534181978</v>
      </c>
      <c r="EP120" s="59">
        <f t="shared" si="100"/>
        <v>114.85152559837792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5.6843418860808015E-14</v>
      </c>
      <c r="FF120" s="17">
        <f>FE120*VLOOKUP('Données projet'!$B$16,Paramètres!$A$1:$I$89,3,0)*VLOOKUP('Données projet'!$B$16,Paramètres!$A$1:$I$89,5,0)</f>
        <v>4.6111381379887463E-14</v>
      </c>
      <c r="FG120" s="13">
        <f t="shared" si="101"/>
        <v>7.5804141040779151E-13</v>
      </c>
      <c r="FH120" s="20">
        <f t="shared" si="76"/>
        <v>1.4005661123635408E-12</v>
      </c>
      <c r="FI120" s="59">
        <f t="shared" si="77"/>
        <v>293.33333333333474</v>
      </c>
      <c r="FJ120" s="59">
        <f ca="1">AVERAGE(OFFSET($FI$3,0,0,'Données projet'!$E$16+1,1))-AVERAGE(OFFSET($H$3,0,0,'Données projet'!$E$16+1,1))</f>
        <v>196.95467273423861</v>
      </c>
      <c r="FK120" s="59">
        <f t="shared" si="102"/>
        <v>173.8709326829258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41.169435398383634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1.1114478371736896E-4</v>
      </c>
      <c r="FT120" s="22">
        <f t="shared" si="78"/>
        <v>41.16954654316735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5.6843418860808015E-14</v>
      </c>
      <c r="GA120" s="17">
        <f>FZ120*VLOOKUP('Données projet'!$B$17,Paramètres!$A$1:$I$89,3,0)*VLOOKUP('Données projet'!$B$17,Paramètres!$A$1:$I$89,5,0)</f>
        <v>6.1186256061773749E-14</v>
      </c>
      <c r="GB120" s="13">
        <f t="shared" si="103"/>
        <v>9.7328366192051127E-13</v>
      </c>
      <c r="GC120" s="20">
        <f t="shared" si="79"/>
        <v>1.8017017738191463E-12</v>
      </c>
      <c r="GD120" s="59">
        <f t="shared" si="80"/>
        <v>293.33333333333513</v>
      </c>
      <c r="GE120" s="59">
        <f ca="1">AVERAGE(OFFSET($GD$3,0,0,'Données projet'!$E$17+1,1))-AVERAGE(OFFSET($H$3,0,0,'Données projet'!$E$17+1,1))</f>
        <v>275.5229427552884</v>
      </c>
      <c r="GF120" s="59">
        <f t="shared" si="104"/>
        <v>241.20234081716143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54.628673894009047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1.4748057839420101E-4</v>
      </c>
      <c r="GO120" s="21">
        <f t="shared" si="81"/>
        <v>54.628821374587439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274.57619581652199</v>
      </c>
      <c r="T121" s="59">
        <f t="shared" si="88"/>
        <v>366.15117322598775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 t="e">
        <f>EXP(-LN(2)/35)*Z120+(1-EXP(-LN(2)/35))/(LN(2)/35)*V121*W121*VLOOKUP('Données projet'!$B$9,Paramètres!$A$1:$I$89,3,0)*0.475*44/12</f>
        <v>#VALUE!</v>
      </c>
      <c r="AA121" s="21" t="e">
        <f>EXP(-LN(2)/25)*AA120+(1-EXP(-LN(2)/25))/(LN(2)/25)*Calculateur!V121*Calculateur!X121*VLOOKUP('Données projet'!$B$9,Paramètres!$A$1:$I$89,3,0)*0.475*44/12</f>
        <v>#VALUE!</v>
      </c>
      <c r="AB121" s="21" t="e">
        <f>EXP(-LN(2)/2)*AB120+(1-EXP(-LN(2)/2))/(LN(2)/2)*V121*Y121*VLOOKUP('Données projet'!$B$9,Paramètres!$A$1:$I$89,3,0)*0.475*44/12</f>
        <v>#VALUE!</v>
      </c>
      <c r="AC121" s="22" t="e">
        <f t="shared" si="57"/>
        <v>#VALUE!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175.05987582828078</v>
      </c>
      <c r="AO121" s="59">
        <f t="shared" si="90"/>
        <v>268.54782308462387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53.372696226149039</v>
      </c>
      <c r="AV121" s="21">
        <f>EXP(-LN(2)/25)*AV120+(1-EXP(-LN(2)/25))/(LN(2)/25)*Calculateur!AQ121*Calculateur!AS121*VLOOKUP('Données projet'!$B$10,Paramètres!$A$1:$I$89,3,0)*0.475*44/12</f>
        <v>8.4405422396531851</v>
      </c>
      <c r="AW121" s="21">
        <f>EXP(-LN(2)/2)*AW120+(1-EXP(-LN(2)/2))/(LN(2)/2)*AQ121*AT121*VLOOKUP('Données projet'!$B$10,Paramètres!$A$1:$I$89,3,0)*0.475*44/12</f>
        <v>5.3009873766858942E-8</v>
      </c>
      <c r="AX121" s="21">
        <f t="shared" si="60"/>
        <v>61.813238518812092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252.70779718608964</v>
      </c>
      <c r="BJ121" s="59">
        <f t="shared" si="92"/>
        <v>187.86969111712705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166.55723680269949</v>
      </c>
      <c r="BQ121" s="21">
        <f>EXP(-LN(2)/25)*BQ120+(1-EXP(-LN(2)/25))/(LN(2)/25)*Calculateur!BL121*Calculateur!BN121*VLOOKUP('Données projet'!$B$11,Paramètres!$A$1:$I$89,3,0)*0.475*44/12</f>
        <v>32.884554511885128</v>
      </c>
      <c r="BR121" s="21">
        <f>EXP(-LN(2)/2)*BR120+(1-EXP(-LN(2)/2))/(LN(2)/2)*BL121*BO121*VLOOKUP('Données projet'!$B$11,Paramètres!$A$1:$I$89,3,0)*0.475*44/12</f>
        <v>9.3184884794805911E-2</v>
      </c>
      <c r="BS121" s="22">
        <f t="shared" si="63"/>
        <v>199.53497619937943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-2.2737367544323206E-13</v>
      </c>
      <c r="BZ121" s="13">
        <f>BY121*VLOOKUP('Données projet'!$B$12,Paramètres!$A$1:$I$89,3,0)*VLOOKUP('Données projet'!$B$12,Paramètres!$A$1:$I$89,5,0)</f>
        <v>-1.3596945791505279E-13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279.86432710889352</v>
      </c>
      <c r="CE121" s="59">
        <f t="shared" si="94"/>
        <v>297.01680128882509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40.23353222597504</v>
      </c>
      <c r="CL121" s="21">
        <f>EXP(-LN(2)/25)*CL120+(1-EXP(-LN(2)/25))/(LN(2)/25)*Calculateur!CG121*Calculateur!CI121*VLOOKUP('Données projet'!$B$12,Paramètres!$A$1:$I$89,3,0)*0.475*44/12</f>
        <v>21.92495488569006</v>
      </c>
      <c r="CM121" s="21">
        <f>EXP(-LN(2)/2)*CM120+(1-EXP(-LN(2)/2))/(LN(2)/2)*CG121*CJ121*VLOOKUP('Données projet'!$B$12,Paramètres!$A$1:$I$89,3,0)*0.475*44/12</f>
        <v>8.0391556613411769E-7</v>
      </c>
      <c r="CN121" s="22">
        <f t="shared" si="66"/>
        <v>62.158487915580665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-12.000000000000284</v>
      </c>
      <c r="CU121" s="17">
        <f>CT121*VLOOKUP('Données projet'!$B$13,Paramètres!$A$1:$I$89,3,0)*VLOOKUP('Données projet'!$B$13,Paramètres!$A$1:$I$89,5,0)</f>
        <v>-9.5472000000002257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314.6300257056194</v>
      </c>
      <c r="CZ121" s="59">
        <f t="shared" si="96"/>
        <v>298.00555477466668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66.948597416158051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66.948597416158051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-12.000000000000284</v>
      </c>
      <c r="DP121" s="17">
        <f>DO121*VLOOKUP('Données projet'!$B$14,Paramètres!$A$1:$I$89,3,0)*VLOOKUP('Données projet'!$B$14,Paramètres!$A$1:$I$89,5,0)</f>
        <v>-9.5472000000002257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314.6300257056194</v>
      </c>
      <c r="DU121" s="59">
        <f t="shared" si="98"/>
        <v>298.00555477466668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66.948597416158051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66.948597416158051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8.2061538461538586</v>
      </c>
      <c r="EJ121" s="12">
        <f>IF('Données projet'!$A$192&gt;35,EJ120+EI121-ER120,IF(A121&lt;'Données projet'!$A$192,$EG$205^A121,IF(A121='Données projet'!$A$192,'Données projet'!$B$192,EJ120+EI121-ER120)))</f>
        <v>451.20461538461592</v>
      </c>
      <c r="EK121" s="17">
        <f>EJ121*VLOOKUP('Données projet'!$B$15,Paramètres!$A$1:$I$89,3,0)*VLOOKUP('Données projet'!$B$15,Paramètres!$A$1:$I$89,5,0)</f>
        <v>217.02942000000024</v>
      </c>
      <c r="EL121" s="13">
        <f t="shared" si="99"/>
        <v>53.468734887708472</v>
      </c>
      <c r="EM121" s="20">
        <f t="shared" si="73"/>
        <v>471.11761976275926</v>
      </c>
      <c r="EN121" s="59">
        <f t="shared" si="74"/>
        <v>764.45095309609258</v>
      </c>
      <c r="EO121" s="59">
        <f ca="1">AVERAGE(OFFSET($EN$3,0,0,'Données projet'!$E$15+1,1))-AVERAGE(OFFSET($H$3,0,0,'Données projet'!$E$15+1,1))</f>
        <v>238.83604534181978</v>
      </c>
      <c r="EP121" s="59">
        <f t="shared" si="100"/>
        <v>114.85152559837792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5.6843418860808015E-14</v>
      </c>
      <c r="FF121" s="17">
        <f>FE121*VLOOKUP('Données projet'!$B$16,Paramètres!$A$1:$I$89,3,0)*VLOOKUP('Données projet'!$B$16,Paramètres!$A$1:$I$89,5,0)</f>
        <v>4.6111381379887463E-14</v>
      </c>
      <c r="FG121" s="13">
        <f t="shared" si="101"/>
        <v>7.5804141040779151E-13</v>
      </c>
      <c r="FH121" s="20">
        <f t="shared" si="76"/>
        <v>1.4005661123635408E-12</v>
      </c>
      <c r="FI121" s="59">
        <f t="shared" si="77"/>
        <v>293.33333333333474</v>
      </c>
      <c r="FJ121" s="59">
        <f ca="1">AVERAGE(OFFSET($FI$3,0,0,'Données projet'!$E$16+1,1))-AVERAGE(OFFSET($H$3,0,0,'Données projet'!$E$16+1,1))</f>
        <v>196.95467273423861</v>
      </c>
      <c r="FK121" s="59">
        <f t="shared" si="102"/>
        <v>173.8709326829258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40.362127881097429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7.8591230260063763E-5</v>
      </c>
      <c r="FT121" s="22">
        <f t="shared" si="78"/>
        <v>40.362206472327692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5.6843418860808015E-14</v>
      </c>
      <c r="GA121" s="17">
        <f>FZ121*VLOOKUP('Données projet'!$B$17,Paramètres!$A$1:$I$89,3,0)*VLOOKUP('Données projet'!$B$17,Paramètres!$A$1:$I$89,5,0)</f>
        <v>6.1186256061773749E-14</v>
      </c>
      <c r="GB121" s="13">
        <f t="shared" si="103"/>
        <v>9.7328366192051127E-13</v>
      </c>
      <c r="GC121" s="20">
        <f t="shared" si="79"/>
        <v>1.8017017738191463E-12</v>
      </c>
      <c r="GD121" s="59">
        <f t="shared" si="80"/>
        <v>293.33333333333513</v>
      </c>
      <c r="GE121" s="59">
        <f ca="1">AVERAGE(OFFSET($GD$3,0,0,'Données projet'!$E$17+1,1))-AVERAGE(OFFSET($H$3,0,0,'Données projet'!$E$17+1,1))</f>
        <v>275.5229427552884</v>
      </c>
      <c r="GF121" s="59">
        <f t="shared" si="104"/>
        <v>241.20234081716143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53.55743891914851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1.0428451707585377E-4</v>
      </c>
      <c r="GO121" s="21">
        <f t="shared" si="81"/>
        <v>53.557543203665588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274.57619581652199</v>
      </c>
      <c r="T122" s="59">
        <f t="shared" si="88"/>
        <v>366.15117322598775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 t="e">
        <f>EXP(-LN(2)/35)*Z121+(1-EXP(-LN(2)/35))/(LN(2)/35)*V122*W122*VLOOKUP('Données projet'!$B$9,Paramètres!$A$1:$I$89,3,0)*0.475*44/12</f>
        <v>#VALUE!</v>
      </c>
      <c r="AA122" s="21" t="e">
        <f>EXP(-LN(2)/25)*AA121+(1-EXP(-LN(2)/25))/(LN(2)/25)*Calculateur!V122*Calculateur!X122*VLOOKUP('Données projet'!$B$9,Paramètres!$A$1:$I$89,3,0)*0.475*44/12</f>
        <v>#VALUE!</v>
      </c>
      <c r="AB122" s="21" t="e">
        <f>EXP(-LN(2)/2)*AB121+(1-EXP(-LN(2)/2))/(LN(2)/2)*V122*Y122*VLOOKUP('Données projet'!$B$9,Paramètres!$A$1:$I$89,3,0)*0.475*44/12</f>
        <v>#VALUE!</v>
      </c>
      <c r="AC122" s="22" t="e">
        <f t="shared" si="57"/>
        <v>#VALUE!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175.05987582828078</v>
      </c>
      <c r="AO122" s="59">
        <f t="shared" si="90"/>
        <v>268.54782308462387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52.326090207284501</v>
      </c>
      <c r="AV122" s="21">
        <f>EXP(-LN(2)/25)*AV121+(1-EXP(-LN(2)/25))/(LN(2)/25)*Calculateur!AQ122*Calculateur!AS122*VLOOKUP('Données projet'!$B$10,Paramètres!$A$1:$I$89,3,0)*0.475*44/12</f>
        <v>8.2097351682410427</v>
      </c>
      <c r="AW122" s="21">
        <f>EXP(-LN(2)/2)*AW121+(1-EXP(-LN(2)/2))/(LN(2)/2)*AQ122*AT122*VLOOKUP('Données projet'!$B$10,Paramètres!$A$1:$I$89,3,0)*0.475*44/12</f>
        <v>3.7483641210388831E-8</v>
      </c>
      <c r="AX122" s="21">
        <f t="shared" si="60"/>
        <v>60.535825413009192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252.70779718608964</v>
      </c>
      <c r="BJ122" s="59">
        <f t="shared" si="92"/>
        <v>187.86969111712705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163.29115097888183</v>
      </c>
      <c r="BQ122" s="21">
        <f>EXP(-LN(2)/25)*BQ121+(1-EXP(-LN(2)/25))/(LN(2)/25)*Calculateur!BL122*Calculateur!BN122*VLOOKUP('Données projet'!$B$11,Paramètres!$A$1:$I$89,3,0)*0.475*44/12</f>
        <v>31.985324639434065</v>
      </c>
      <c r="BR122" s="21">
        <f>EXP(-LN(2)/2)*BR121+(1-EXP(-LN(2)/2))/(LN(2)/2)*BL122*BO122*VLOOKUP('Données projet'!$B$11,Paramètres!$A$1:$I$89,3,0)*0.475*44/12</f>
        <v>6.5891663942494461E-2</v>
      </c>
      <c r="BS122" s="22">
        <f t="shared" si="63"/>
        <v>195.34236728225838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-2.2737367544323206E-13</v>
      </c>
      <c r="BZ122" s="13">
        <f>BY122*VLOOKUP('Données projet'!$B$12,Paramètres!$A$1:$I$89,3,0)*VLOOKUP('Données projet'!$B$12,Paramètres!$A$1:$I$89,5,0)</f>
        <v>-1.3596945791505279E-13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279.86432710889352</v>
      </c>
      <c r="CE122" s="59">
        <f t="shared" si="94"/>
        <v>297.01680128882509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39.444577199055203</v>
      </c>
      <c r="CL122" s="21">
        <f>EXP(-LN(2)/25)*CL121+(1-EXP(-LN(2)/25))/(LN(2)/25)*Calculateur!CG122*Calculateur!CI122*VLOOKUP('Données projet'!$B$12,Paramètres!$A$1:$I$89,3,0)*0.475*44/12</f>
        <v>21.325415841357596</v>
      </c>
      <c r="CM122" s="21">
        <f>EXP(-LN(2)/2)*CM121+(1-EXP(-LN(2)/2))/(LN(2)/2)*CG122*CJ122*VLOOKUP('Données projet'!$B$12,Paramètres!$A$1:$I$89,3,0)*0.475*44/12</f>
        <v>5.6845414831485702E-7</v>
      </c>
      <c r="CN122" s="22">
        <f t="shared" si="66"/>
        <v>60.769993608866947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-12.000000000000284</v>
      </c>
      <c r="CU122" s="17">
        <f>CT122*VLOOKUP('Données projet'!$B$13,Paramètres!$A$1:$I$89,3,0)*VLOOKUP('Données projet'!$B$13,Paramètres!$A$1:$I$89,5,0)</f>
        <v>-9.5472000000002257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314.6300257056194</v>
      </c>
      <c r="CZ122" s="59">
        <f t="shared" si="96"/>
        <v>298.00555477466668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65.635776255439538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65.635776255439538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-12.000000000000284</v>
      </c>
      <c r="DP122" s="17">
        <f>DO122*VLOOKUP('Données projet'!$B$14,Paramètres!$A$1:$I$89,3,0)*VLOOKUP('Données projet'!$B$14,Paramètres!$A$1:$I$89,5,0)</f>
        <v>-9.5472000000002257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314.6300257056194</v>
      </c>
      <c r="DU122" s="59">
        <f t="shared" si="98"/>
        <v>298.00555477466668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65.635776255439538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65.635776255439538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8.2061538461538586</v>
      </c>
      <c r="EJ122" s="12">
        <f>IF('Données projet'!$A$192&gt;35,EJ121+EI122-ER121,IF(A122&lt;'Données projet'!$A$192,$EG$205^A122,IF(A122='Données projet'!$A$192,'Données projet'!$B$192,EJ121+EI122-ER121)))</f>
        <v>459.4107692307698</v>
      </c>
      <c r="EK122" s="17">
        <f>EJ122*VLOOKUP('Données projet'!$B$15,Paramètres!$A$1:$I$89,3,0)*VLOOKUP('Données projet'!$B$15,Paramètres!$A$1:$I$89,5,0)</f>
        <v>220.97658000000027</v>
      </c>
      <c r="EL122" s="13">
        <f t="shared" si="99"/>
        <v>54.327085812880362</v>
      </c>
      <c r="EM122" s="20">
        <f t="shared" si="73"/>
        <v>479.48721795743381</v>
      </c>
      <c r="EN122" s="59">
        <f t="shared" si="74"/>
        <v>772.82055129076707</v>
      </c>
      <c r="EO122" s="59">
        <f ca="1">AVERAGE(OFFSET($EN$3,0,0,'Données projet'!$E$15+1,1))-AVERAGE(OFFSET($H$3,0,0,'Données projet'!$E$15+1,1))</f>
        <v>238.83604534181978</v>
      </c>
      <c r="EP122" s="59">
        <f t="shared" si="100"/>
        <v>114.85152559837792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5.6843418860808015E-14</v>
      </c>
      <c r="FF122" s="17">
        <f>FE122*VLOOKUP('Données projet'!$B$16,Paramètres!$A$1:$I$89,3,0)*VLOOKUP('Données projet'!$B$16,Paramètres!$A$1:$I$89,5,0)</f>
        <v>4.6111381379887463E-14</v>
      </c>
      <c r="FG122" s="13">
        <f t="shared" si="101"/>
        <v>7.5804141040779151E-13</v>
      </c>
      <c r="FH122" s="20">
        <f t="shared" si="76"/>
        <v>1.4005661123635408E-12</v>
      </c>
      <c r="FI122" s="59">
        <f t="shared" si="77"/>
        <v>293.33333333333474</v>
      </c>
      <c r="FJ122" s="59">
        <f ca="1">AVERAGE(OFFSET($FI$3,0,0,'Données projet'!$E$16+1,1))-AVERAGE(OFFSET($H$3,0,0,'Données projet'!$E$16+1,1))</f>
        <v>196.95467273423861</v>
      </c>
      <c r="FK122" s="59">
        <f t="shared" si="102"/>
        <v>173.8709326829258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39.570651171816245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5.5572391858684481E-5</v>
      </c>
      <c r="FT122" s="22">
        <f t="shared" si="78"/>
        <v>39.570706744208103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5.6843418860808015E-14</v>
      </c>
      <c r="GA122" s="17">
        <f>FZ122*VLOOKUP('Données projet'!$B$17,Paramètres!$A$1:$I$89,3,0)*VLOOKUP('Données projet'!$B$17,Paramètres!$A$1:$I$89,5,0)</f>
        <v>6.1186256061773749E-14</v>
      </c>
      <c r="GB122" s="13">
        <f t="shared" si="103"/>
        <v>9.7328366192051127E-13</v>
      </c>
      <c r="GC122" s="20">
        <f t="shared" si="79"/>
        <v>1.8017017738191463E-12</v>
      </c>
      <c r="GD122" s="59">
        <f t="shared" si="80"/>
        <v>293.33333333333513</v>
      </c>
      <c r="GE122" s="59">
        <f ca="1">AVERAGE(OFFSET($GD$3,0,0,'Données projet'!$E$17+1,1))-AVERAGE(OFFSET($H$3,0,0,'Données projet'!$E$17+1,1))</f>
        <v>275.5229427552884</v>
      </c>
      <c r="GF122" s="59">
        <f t="shared" si="104"/>
        <v>241.20234081716143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52.50721020875617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7.3740289197100507E-5</v>
      </c>
      <c r="GO122" s="21">
        <f t="shared" si="81"/>
        <v>52.507283949045366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274.57619581652199</v>
      </c>
      <c r="T123" s="59">
        <f t="shared" si="88"/>
        <v>366.15117322598775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 t="e">
        <f>EXP(-LN(2)/35)*Z122+(1-EXP(-LN(2)/35))/(LN(2)/35)*V123*W123*VLOOKUP('Données projet'!$B$9,Paramètres!$A$1:$I$89,3,0)*0.475*44/12</f>
        <v>#VALUE!</v>
      </c>
      <c r="AA123" s="21" t="e">
        <f>EXP(-LN(2)/25)*AA122+(1-EXP(-LN(2)/25))/(LN(2)/25)*Calculateur!V123*Calculateur!X123*VLOOKUP('Données projet'!$B$9,Paramètres!$A$1:$I$89,3,0)*0.475*44/12</f>
        <v>#VALUE!</v>
      </c>
      <c r="AB123" s="21" t="e">
        <f>EXP(-LN(2)/2)*AB122+(1-EXP(-LN(2)/2))/(LN(2)/2)*V123*Y123*VLOOKUP('Données projet'!$B$9,Paramètres!$A$1:$I$89,3,0)*0.475*44/12</f>
        <v>#VALUE!</v>
      </c>
      <c r="AC123" s="22" t="e">
        <f t="shared" si="57"/>
        <v>#VALUE!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175.05987582828078</v>
      </c>
      <c r="AO123" s="59">
        <f t="shared" si="90"/>
        <v>268.54782308462387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51.30000749408326</v>
      </c>
      <c r="AV123" s="21">
        <f>EXP(-LN(2)/25)*AV122+(1-EXP(-LN(2)/25))/(LN(2)/25)*Calculateur!AQ123*Calculateur!AS123*VLOOKUP('Données projet'!$B$10,Paramètres!$A$1:$I$89,3,0)*0.475*44/12</f>
        <v>7.9852395283342821</v>
      </c>
      <c r="AW123" s="21">
        <f>EXP(-LN(2)/2)*AW122+(1-EXP(-LN(2)/2))/(LN(2)/2)*AQ123*AT123*VLOOKUP('Données projet'!$B$10,Paramètres!$A$1:$I$89,3,0)*0.475*44/12</f>
        <v>2.6504936883429471E-8</v>
      </c>
      <c r="AX123" s="21">
        <f t="shared" si="60"/>
        <v>59.285247048922479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252.70779718608964</v>
      </c>
      <c r="BJ123" s="59">
        <f t="shared" si="92"/>
        <v>187.86969111712705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160.08911110595361</v>
      </c>
      <c r="BQ123" s="21">
        <f>EXP(-LN(2)/25)*BQ122+(1-EXP(-LN(2)/25))/(LN(2)/25)*Calculateur!BL123*Calculateur!BN123*VLOOKUP('Données projet'!$B$11,Paramètres!$A$1:$I$89,3,0)*0.475*44/12</f>
        <v>31.11068425513362</v>
      </c>
      <c r="BR123" s="21">
        <f>EXP(-LN(2)/2)*BR122+(1-EXP(-LN(2)/2))/(LN(2)/2)*BL123*BO123*VLOOKUP('Données projet'!$B$11,Paramètres!$A$1:$I$89,3,0)*0.475*44/12</f>
        <v>4.6592442397402956E-2</v>
      </c>
      <c r="BS123" s="22">
        <f t="shared" si="63"/>
        <v>191.24638780348465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-2.2737367544323206E-13</v>
      </c>
      <c r="BZ123" s="13">
        <f>BY123*VLOOKUP('Données projet'!$B$12,Paramètres!$A$1:$I$89,3,0)*VLOOKUP('Données projet'!$B$12,Paramètres!$A$1:$I$89,5,0)</f>
        <v>-1.3596945791505279E-13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279.86432710889352</v>
      </c>
      <c r="CE123" s="59">
        <f t="shared" si="94"/>
        <v>297.01680128882509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38.671093098998213</v>
      </c>
      <c r="CL123" s="21">
        <f>EXP(-LN(2)/25)*CL122+(1-EXP(-LN(2)/25))/(LN(2)/25)*Calculateur!CG123*Calculateur!CI123*VLOOKUP('Données projet'!$B$12,Paramètres!$A$1:$I$89,3,0)*0.475*44/12</f>
        <v>20.742271223720795</v>
      </c>
      <c r="CM123" s="21">
        <f>EXP(-LN(2)/2)*CM122+(1-EXP(-LN(2)/2))/(LN(2)/2)*CG123*CJ123*VLOOKUP('Données projet'!$B$12,Paramètres!$A$1:$I$89,3,0)*0.475*44/12</f>
        <v>4.0195778306705884E-7</v>
      </c>
      <c r="CN123" s="22">
        <f t="shared" si="66"/>
        <v>59.413364724676789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-12.000000000000284</v>
      </c>
      <c r="CU123" s="17">
        <f>CT123*VLOOKUP('Données projet'!$B$13,Paramètres!$A$1:$I$89,3,0)*VLOOKUP('Données projet'!$B$13,Paramètres!$A$1:$I$89,5,0)</f>
        <v>-9.5472000000002257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314.6300257056194</v>
      </c>
      <c r="CZ123" s="59">
        <f t="shared" si="96"/>
        <v>298.00555477466668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64.348698716940874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64.348698716940874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-12.000000000000284</v>
      </c>
      <c r="DP123" s="17">
        <f>DO123*VLOOKUP('Données projet'!$B$14,Paramètres!$A$1:$I$89,3,0)*VLOOKUP('Données projet'!$B$14,Paramètres!$A$1:$I$89,5,0)</f>
        <v>-9.5472000000002257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314.6300257056194</v>
      </c>
      <c r="DU123" s="59">
        <f t="shared" si="98"/>
        <v>298.00555477466668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64.348698716940874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64.348698716940874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8.2061538461538586</v>
      </c>
      <c r="EJ123" s="12">
        <f>IF('Données projet'!$A$192&gt;35,EJ122+EI123-ER122,IF(A123&lt;'Données projet'!$A$192,$EG$205^A123,IF(A123='Données projet'!$A$192,'Données projet'!$B$192,EJ122+EI123-ER122)))</f>
        <v>467.61692307692368</v>
      </c>
      <c r="EK123" s="17">
        <f>EJ123*VLOOKUP('Données projet'!$B$15,Paramètres!$A$1:$I$89,3,0)*VLOOKUP('Données projet'!$B$15,Paramètres!$A$1:$I$89,5,0)</f>
        <v>224.92374000000029</v>
      </c>
      <c r="EL123" s="13">
        <f t="shared" si="99"/>
        <v>55.183653828344518</v>
      </c>
      <c r="EM123" s="20">
        <f t="shared" si="73"/>
        <v>487.85371091770054</v>
      </c>
      <c r="EN123" s="59">
        <f t="shared" si="74"/>
        <v>781.18704425103385</v>
      </c>
      <c r="EO123" s="59">
        <f ca="1">AVERAGE(OFFSET($EN$3,0,0,'Données projet'!$E$15+1,1))-AVERAGE(OFFSET($H$3,0,0,'Données projet'!$E$15+1,1))</f>
        <v>238.83604534181978</v>
      </c>
      <c r="EP123" s="59">
        <f t="shared" si="100"/>
        <v>114.85152559837792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5.6843418860808015E-14</v>
      </c>
      <c r="FF123" s="17">
        <f>FE123*VLOOKUP('Données projet'!$B$16,Paramètres!$A$1:$I$89,3,0)*VLOOKUP('Données projet'!$B$16,Paramètres!$A$1:$I$89,5,0)</f>
        <v>4.6111381379887463E-14</v>
      </c>
      <c r="FG123" s="13">
        <f t="shared" si="101"/>
        <v>7.5804141040779151E-13</v>
      </c>
      <c r="FH123" s="20">
        <f t="shared" si="76"/>
        <v>1.4005661123635408E-12</v>
      </c>
      <c r="FI123" s="59">
        <f t="shared" si="77"/>
        <v>293.33333333333474</v>
      </c>
      <c r="FJ123" s="59">
        <f ca="1">AVERAGE(OFFSET($FI$3,0,0,'Données projet'!$E$16+1,1))-AVERAGE(OFFSET($H$3,0,0,'Données projet'!$E$16+1,1))</f>
        <v>196.95467273423861</v>
      </c>
      <c r="FK123" s="59">
        <f t="shared" si="102"/>
        <v>173.8709326829258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38.794694838050937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3.9295615130031881E-5</v>
      </c>
      <c r="FT123" s="22">
        <f t="shared" si="78"/>
        <v>38.794734133666068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5.6843418860808015E-14</v>
      </c>
      <c r="GA123" s="17">
        <f>FZ123*VLOOKUP('Données projet'!$B$17,Paramètres!$A$1:$I$89,3,0)*VLOOKUP('Données projet'!$B$17,Paramètres!$A$1:$I$89,5,0)</f>
        <v>6.1186256061773749E-14</v>
      </c>
      <c r="GB123" s="13">
        <f t="shared" si="103"/>
        <v>9.7328366192051127E-13</v>
      </c>
      <c r="GC123" s="20">
        <f t="shared" si="79"/>
        <v>1.8017017738191463E-12</v>
      </c>
      <c r="GD123" s="59">
        <f t="shared" si="80"/>
        <v>293.33333333333513</v>
      </c>
      <c r="GE123" s="59">
        <f ca="1">AVERAGE(OFFSET($GD$3,0,0,'Données projet'!$E$17+1,1))-AVERAGE(OFFSET($H$3,0,0,'Données projet'!$E$17+1,1))</f>
        <v>275.5229427552884</v>
      </c>
      <c r="GF123" s="59">
        <f t="shared" si="104"/>
        <v>241.20234081716143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51.477575842798359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5.2142258537926883E-5</v>
      </c>
      <c r="GO123" s="21">
        <f t="shared" si="81"/>
        <v>51.477627985056898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274.57619581652199</v>
      </c>
      <c r="T124" s="59">
        <f t="shared" si="88"/>
        <v>366.15117322598775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 t="e">
        <f>EXP(-LN(2)/35)*Z123+(1-EXP(-LN(2)/35))/(LN(2)/35)*V124*W124*VLOOKUP('Données projet'!$B$9,Paramètres!$A$1:$I$89,3,0)*0.475*44/12</f>
        <v>#VALUE!</v>
      </c>
      <c r="AA124" s="21" t="e">
        <f>EXP(-LN(2)/25)*AA123+(1-EXP(-LN(2)/25))/(LN(2)/25)*Calculateur!V124*Calculateur!X124*VLOOKUP('Données projet'!$B$9,Paramètres!$A$1:$I$89,3,0)*0.475*44/12</f>
        <v>#VALUE!</v>
      </c>
      <c r="AB124" s="21" t="e">
        <f>EXP(-LN(2)/2)*AB123+(1-EXP(-LN(2)/2))/(LN(2)/2)*V124*Y124*VLOOKUP('Données projet'!$B$9,Paramètres!$A$1:$I$89,3,0)*0.475*44/12</f>
        <v>#VALUE!</v>
      </c>
      <c r="AC124" s="22" t="e">
        <f t="shared" si="57"/>
        <v>#VALUE!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175.05987582828078</v>
      </c>
      <c r="AO124" s="59">
        <f t="shared" si="90"/>
        <v>268.54782308462387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50.29404563703924</v>
      </c>
      <c r="AV124" s="21">
        <f>EXP(-LN(2)/25)*AV123+(1-EXP(-LN(2)/25))/(LN(2)/25)*Calculateur!AQ124*Calculateur!AS124*VLOOKUP('Données projet'!$B$10,Paramètres!$A$1:$I$89,3,0)*0.475*44/12</f>
        <v>7.7668827335064847</v>
      </c>
      <c r="AW124" s="21">
        <f>EXP(-LN(2)/2)*AW123+(1-EXP(-LN(2)/2))/(LN(2)/2)*AQ124*AT124*VLOOKUP('Données projet'!$B$10,Paramètres!$A$1:$I$89,3,0)*0.475*44/12</f>
        <v>1.8741820605194415E-8</v>
      </c>
      <c r="AX124" s="21">
        <f t="shared" si="60"/>
        <v>58.060928389287547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252.70779718608964</v>
      </c>
      <c r="BJ124" s="59">
        <f t="shared" si="92"/>
        <v>187.86969111712705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156.94986128188202</v>
      </c>
      <c r="BQ124" s="21">
        <f>EXP(-LN(2)/25)*BQ123+(1-EXP(-LN(2)/25))/(LN(2)/25)*Calculateur!BL124*Calculateur!BN124*VLOOKUP('Données projet'!$B$11,Paramètres!$A$1:$I$89,3,0)*0.475*44/12</f>
        <v>30.25996095813721</v>
      </c>
      <c r="BR124" s="21">
        <f>EXP(-LN(2)/2)*BR123+(1-EXP(-LN(2)/2))/(LN(2)/2)*BL124*BO124*VLOOKUP('Données projet'!$B$11,Paramètres!$A$1:$I$89,3,0)*0.475*44/12</f>
        <v>3.294583197124723E-2</v>
      </c>
      <c r="BS124" s="22">
        <f t="shared" si="63"/>
        <v>187.2427680719905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-2.2737367544323206E-13</v>
      </c>
      <c r="BZ124" s="13">
        <f>BY124*VLOOKUP('Données projet'!$B$12,Paramètres!$A$1:$I$89,3,0)*VLOOKUP('Données projet'!$B$12,Paramètres!$A$1:$I$89,5,0)</f>
        <v>-1.3596945791505279E-13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279.86432710889352</v>
      </c>
      <c r="CE124" s="59">
        <f t="shared" si="94"/>
        <v>297.01680128882509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37.912776550364619</v>
      </c>
      <c r="CL124" s="21">
        <f>EXP(-LN(2)/25)*CL123+(1-EXP(-LN(2)/25))/(LN(2)/25)*Calculateur!CG124*Calculateur!CI124*VLOOKUP('Données projet'!$B$12,Paramètres!$A$1:$I$89,3,0)*0.475*44/12</f>
        <v>20.175072726319513</v>
      </c>
      <c r="CM124" s="21">
        <f>EXP(-LN(2)/2)*CM123+(1-EXP(-LN(2)/2))/(LN(2)/2)*CG124*CJ124*VLOOKUP('Données projet'!$B$12,Paramètres!$A$1:$I$89,3,0)*0.475*44/12</f>
        <v>2.8422707415742851E-7</v>
      </c>
      <c r="CN124" s="22">
        <f t="shared" si="66"/>
        <v>58.087849560911209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-12.000000000000284</v>
      </c>
      <c r="CU124" s="17">
        <f>CT124*VLOOKUP('Données projet'!$B$13,Paramètres!$A$1:$I$89,3,0)*VLOOKUP('Données projet'!$B$13,Paramètres!$A$1:$I$89,5,0)</f>
        <v>-9.5472000000002257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314.6300257056194</v>
      </c>
      <c r="CZ124" s="59">
        <f t="shared" si="96"/>
        <v>298.00555477466668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63.086859983932378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63.086859983932378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-12.000000000000284</v>
      </c>
      <c r="DP124" s="17">
        <f>DO124*VLOOKUP('Données projet'!$B$14,Paramètres!$A$1:$I$89,3,0)*VLOOKUP('Données projet'!$B$14,Paramètres!$A$1:$I$89,5,0)</f>
        <v>-9.5472000000002257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314.6300257056194</v>
      </c>
      <c r="DU124" s="59">
        <f t="shared" si="98"/>
        <v>298.00555477466668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63.086859983932378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63.086859983932378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>
        <f>VLOOKUP(A124,'Données projet'!$A$191:$I$211,2,0)</f>
        <v>475.82307692307694</v>
      </c>
      <c r="EH124" s="12">
        <f>VLOOKUP(A124,'Données projet'!$A$191:$I$211,9,0)</f>
        <v>8.2061538461538586</v>
      </c>
      <c r="EI124" s="12">
        <f t="array" ref="EI124">INDEX(EH:EH,MIN(IF(ISNUMBER(EH124:EH320),ROW(EH124:EH320),"")))</f>
        <v>8.2061538461538586</v>
      </c>
      <c r="EJ124" s="12">
        <f>IF('Données projet'!$A$192&gt;35,EJ123+EI124-ER123,IF(A124&lt;'Données projet'!$A$192,$EG$205^A124,IF(A124='Données projet'!$A$192,'Données projet'!$B$192,EJ123+EI124-ER123)))</f>
        <v>475.82307692307756</v>
      </c>
      <c r="EK124" s="17">
        <f>EJ124*VLOOKUP('Données projet'!$B$15,Paramètres!$A$1:$I$89,3,0)*VLOOKUP('Données projet'!$B$15,Paramètres!$A$1:$I$89,5,0)</f>
        <v>228.87090000000032</v>
      </c>
      <c r="EL124" s="13">
        <f t="shared" si="99"/>
        <v>56.038473832062557</v>
      </c>
      <c r="EM124" s="20">
        <f t="shared" si="73"/>
        <v>496.21715942417615</v>
      </c>
      <c r="EN124" s="59">
        <f t="shared" si="74"/>
        <v>789.55049275750946</v>
      </c>
      <c r="EO124" s="59">
        <f ca="1">AVERAGE(OFFSET($EN$3,0,0,'Données projet'!$E$15+1,1))-AVERAGE(OFFSET($H$3,0,0,'Données projet'!$E$15+1,1))</f>
        <v>238.83604534181978</v>
      </c>
      <c r="EP124" s="59">
        <f t="shared" si="100"/>
        <v>114.85152559837792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5.6843418860808015E-14</v>
      </c>
      <c r="FF124" s="17">
        <f>FE124*VLOOKUP('Données projet'!$B$16,Paramètres!$A$1:$I$89,3,0)*VLOOKUP('Données projet'!$B$16,Paramètres!$A$1:$I$89,5,0)</f>
        <v>4.6111381379887463E-14</v>
      </c>
      <c r="FG124" s="13">
        <f t="shared" si="101"/>
        <v>7.5804141040779151E-13</v>
      </c>
      <c r="FH124" s="20">
        <f t="shared" si="76"/>
        <v>1.4005661123635408E-12</v>
      </c>
      <c r="FI124" s="59">
        <f t="shared" si="77"/>
        <v>293.33333333333474</v>
      </c>
      <c r="FJ124" s="59">
        <f ca="1">AVERAGE(OFFSET($FI$3,0,0,'Données projet'!$E$16+1,1))-AVERAGE(OFFSET($H$3,0,0,'Données projet'!$E$16+1,1))</f>
        <v>196.95467273423861</v>
      </c>
      <c r="FK124" s="59">
        <f t="shared" si="102"/>
        <v>173.8709326829258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38.033954534704137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2.778619592934224E-5</v>
      </c>
      <c r="FT124" s="22">
        <f t="shared" si="78"/>
        <v>38.033982320900066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5.6843418860808015E-14</v>
      </c>
      <c r="GA124" s="17">
        <f>FZ124*VLOOKUP('Données projet'!$B$17,Paramètres!$A$1:$I$89,3,0)*VLOOKUP('Données projet'!$B$17,Paramètres!$A$1:$I$89,5,0)</f>
        <v>6.1186256061773749E-14</v>
      </c>
      <c r="GB124" s="13">
        <f t="shared" si="103"/>
        <v>9.7328366192051127E-13</v>
      </c>
      <c r="GC124" s="20">
        <f t="shared" si="79"/>
        <v>1.8017017738191463E-12</v>
      </c>
      <c r="GD124" s="59">
        <f t="shared" si="80"/>
        <v>293.33333333333513</v>
      </c>
      <c r="GE124" s="59">
        <f ca="1">AVERAGE(OFFSET($GD$3,0,0,'Données projet'!$E$17+1,1))-AVERAGE(OFFSET($H$3,0,0,'Données projet'!$E$17+1,1))</f>
        <v>275.5229427552884</v>
      </c>
      <c r="GF124" s="59">
        <f t="shared" si="104"/>
        <v>241.20234081716143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50.468131978742029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3.6870144598550254E-5</v>
      </c>
      <c r="GO124" s="21">
        <f t="shared" si="81"/>
        <v>50.468168848886627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274.57619581652199</v>
      </c>
      <c r="T125" s="59">
        <f t="shared" si="88"/>
        <v>366.15117322598775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 t="e">
        <f>EXP(-LN(2)/35)*Z124+(1-EXP(-LN(2)/35))/(LN(2)/35)*V125*W125*VLOOKUP('Données projet'!$B$9,Paramètres!$A$1:$I$89,3,0)*0.475*44/12</f>
        <v>#VALUE!</v>
      </c>
      <c r="AA125" s="21" t="e">
        <f>EXP(-LN(2)/25)*AA124+(1-EXP(-LN(2)/25))/(LN(2)/25)*Calculateur!V125*Calculateur!X125*VLOOKUP('Données projet'!$B$9,Paramètres!$A$1:$I$89,3,0)*0.475*44/12</f>
        <v>#VALUE!</v>
      </c>
      <c r="AB125" s="21" t="e">
        <f>EXP(-LN(2)/2)*AB124+(1-EXP(-LN(2)/2))/(LN(2)/2)*V125*Y125*VLOOKUP('Données projet'!$B$9,Paramètres!$A$1:$I$89,3,0)*0.475*44/12</f>
        <v>#VALUE!</v>
      </c>
      <c r="AC125" s="22" t="e">
        <f t="shared" si="57"/>
        <v>#VALUE!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175.05987582828078</v>
      </c>
      <c r="AO125" s="59">
        <f t="shared" si="90"/>
        <v>268.54782308462387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49.307810078435701</v>
      </c>
      <c r="AV125" s="21">
        <f>EXP(-LN(2)/25)*AV124+(1-EXP(-LN(2)/25))/(LN(2)/25)*Calculateur!AQ125*Calculateur!AS125*VLOOKUP('Données projet'!$B$10,Paramètres!$A$1:$I$89,3,0)*0.475*44/12</f>
        <v>7.554496916716138</v>
      </c>
      <c r="AW125" s="21">
        <f>EXP(-LN(2)/2)*AW124+(1-EXP(-LN(2)/2))/(LN(2)/2)*AQ125*AT125*VLOOKUP('Données projet'!$B$10,Paramètres!$A$1:$I$89,3,0)*0.475*44/12</f>
        <v>1.3252468441714735E-8</v>
      </c>
      <c r="AX125" s="21">
        <f t="shared" si="60"/>
        <v>56.862307008404308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252.70779718608964</v>
      </c>
      <c r="BJ125" s="59">
        <f t="shared" si="92"/>
        <v>187.86969111712705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153.87217023210715</v>
      </c>
      <c r="BQ125" s="21">
        <f>EXP(-LN(2)/25)*BQ124+(1-EXP(-LN(2)/25))/(LN(2)/25)*Calculateur!BL125*Calculateur!BN125*VLOOKUP('Données projet'!$B$11,Paramètres!$A$1:$I$89,3,0)*0.475*44/12</f>
        <v>29.432500734434761</v>
      </c>
      <c r="BR125" s="21">
        <f>EXP(-LN(2)/2)*BR124+(1-EXP(-LN(2)/2))/(LN(2)/2)*BL125*BO125*VLOOKUP('Données projet'!$B$11,Paramètres!$A$1:$I$89,3,0)*0.475*44/12</f>
        <v>2.3296221198701478E-2</v>
      </c>
      <c r="BS125" s="22">
        <f t="shared" si="63"/>
        <v>183.32796718774063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-2.2737367544323206E-13</v>
      </c>
      <c r="BZ125" s="13">
        <f>BY125*VLOOKUP('Données projet'!$B$12,Paramètres!$A$1:$I$89,3,0)*VLOOKUP('Données projet'!$B$12,Paramètres!$A$1:$I$89,5,0)</f>
        <v>-1.3596945791505279E-13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279.86432710889352</v>
      </c>
      <c r="CE125" s="59">
        <f t="shared" si="94"/>
        <v>297.01680128882509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37.169330126722308</v>
      </c>
      <c r="CL125" s="21">
        <f>EXP(-LN(2)/25)*CL124+(1-EXP(-LN(2)/25))/(LN(2)/25)*Calculateur!CG125*Calculateur!CI125*VLOOKUP('Données projet'!$B$12,Paramètres!$A$1:$I$89,3,0)*0.475*44/12</f>
        <v>19.623384301657342</v>
      </c>
      <c r="CM125" s="21">
        <f>EXP(-LN(2)/2)*CM124+(1-EXP(-LN(2)/2))/(LN(2)/2)*CG125*CJ125*VLOOKUP('Données projet'!$B$12,Paramètres!$A$1:$I$89,3,0)*0.475*44/12</f>
        <v>2.0097889153352942E-7</v>
      </c>
      <c r="CN125" s="22">
        <f t="shared" si="66"/>
        <v>56.792714629358542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-12.000000000000284</v>
      </c>
      <c r="CU125" s="17">
        <f>CT125*VLOOKUP('Données projet'!$B$13,Paramètres!$A$1:$I$89,3,0)*VLOOKUP('Données projet'!$B$13,Paramètres!$A$1:$I$89,5,0)</f>
        <v>-9.5472000000002257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314.6300257056194</v>
      </c>
      <c r="CZ125" s="59">
        <f t="shared" si="96"/>
        <v>298.00555477466668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61.849765138832552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61.849765138832552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-12.000000000000284</v>
      </c>
      <c r="DP125" s="17">
        <f>DO125*VLOOKUP('Données projet'!$B$14,Paramètres!$A$1:$I$89,3,0)*VLOOKUP('Données projet'!$B$14,Paramètres!$A$1:$I$89,5,0)</f>
        <v>-9.5472000000002257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314.6300257056194</v>
      </c>
      <c r="DU125" s="59">
        <f t="shared" si="98"/>
        <v>298.00555477466668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61.849765138832552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61.849765138832552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7.9326923076923066</v>
      </c>
      <c r="EJ125" s="12">
        <f>IF('Données projet'!$A$192&gt;35,EJ124+EI125-ER124,IF(A125&lt;'Données projet'!$A$192,$EG$205^A125,IF(A125='Données projet'!$A$192,'Données projet'!$B$192,EJ124+EI125-ER124)))</f>
        <v>483.75576923076989</v>
      </c>
      <c r="EK125" s="17">
        <f>EJ125*VLOOKUP('Données projet'!$B$15,Paramètres!$A$1:$I$89,3,0)*VLOOKUP('Données projet'!$B$15,Paramètres!$A$1:$I$89,5,0)</f>
        <v>232.68652500000033</v>
      </c>
      <c r="EL125" s="13">
        <f t="shared" si="99"/>
        <v>56.863177859938972</v>
      </c>
      <c r="EM125" s="20">
        <f t="shared" si="73"/>
        <v>504.29906581439428</v>
      </c>
      <c r="EN125" s="59">
        <f t="shared" si="74"/>
        <v>797.6323991477276</v>
      </c>
      <c r="EO125" s="59">
        <f ca="1">AVERAGE(OFFSET($EN$3,0,0,'Données projet'!$E$15+1,1))-AVERAGE(OFFSET($H$3,0,0,'Données projet'!$E$15+1,1))</f>
        <v>238.83604534181978</v>
      </c>
      <c r="EP125" s="59">
        <f t="shared" si="100"/>
        <v>114.85152559837792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5.6843418860808015E-14</v>
      </c>
      <c r="FF125" s="17">
        <f>FE125*VLOOKUP('Données projet'!$B$16,Paramètres!$A$1:$I$89,3,0)*VLOOKUP('Données projet'!$B$16,Paramètres!$A$1:$I$89,5,0)</f>
        <v>4.6111381379887463E-14</v>
      </c>
      <c r="FG125" s="13">
        <f t="shared" si="101"/>
        <v>7.5804141040779151E-13</v>
      </c>
      <c r="FH125" s="20">
        <f t="shared" si="76"/>
        <v>1.4005661123635408E-12</v>
      </c>
      <c r="FI125" s="59">
        <f t="shared" si="77"/>
        <v>293.33333333333474</v>
      </c>
      <c r="FJ125" s="59">
        <f ca="1">AVERAGE(OFFSET($FI$3,0,0,'Données projet'!$E$16+1,1))-AVERAGE(OFFSET($H$3,0,0,'Données projet'!$E$16+1,1))</f>
        <v>196.95467273423861</v>
      </c>
      <c r="FK125" s="59">
        <f t="shared" si="102"/>
        <v>173.8709326829258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37.288131884700199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1.9647807565015941E-5</v>
      </c>
      <c r="FT125" s="22">
        <f t="shared" si="78"/>
        <v>37.288151532507761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5.6843418860808015E-14</v>
      </c>
      <c r="GA125" s="17">
        <f>FZ125*VLOOKUP('Données projet'!$B$17,Paramètres!$A$1:$I$89,3,0)*VLOOKUP('Données projet'!$B$17,Paramètres!$A$1:$I$89,5,0)</f>
        <v>6.1186256061773749E-14</v>
      </c>
      <c r="GB125" s="13">
        <f t="shared" si="103"/>
        <v>9.7328366192051127E-13</v>
      </c>
      <c r="GC125" s="20">
        <f t="shared" si="79"/>
        <v>1.8017017738191463E-12</v>
      </c>
      <c r="GD125" s="59">
        <f t="shared" si="80"/>
        <v>293.33333333333513</v>
      </c>
      <c r="GE125" s="59">
        <f ca="1">AVERAGE(OFFSET($GD$3,0,0,'Données projet'!$E$17+1,1))-AVERAGE(OFFSET($H$3,0,0,'Données projet'!$E$17+1,1))</f>
        <v>275.5229427552884</v>
      </c>
      <c r="GF125" s="59">
        <f t="shared" si="104"/>
        <v>241.20234081716143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49.478482693159883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2.6071129268963442E-5</v>
      </c>
      <c r="GO125" s="21">
        <f t="shared" si="81"/>
        <v>49.478508764289153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274.57619581652199</v>
      </c>
      <c r="T126" s="59">
        <f t="shared" si="88"/>
        <v>366.15117322598775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 t="e">
        <f>EXP(-LN(2)/35)*Z125+(1-EXP(-LN(2)/35))/(LN(2)/35)*V126*W126*VLOOKUP('Données projet'!$B$9,Paramètres!$A$1:$I$89,3,0)*0.475*44/12</f>
        <v>#VALUE!</v>
      </c>
      <c r="AA126" s="21" t="e">
        <f>EXP(-LN(2)/25)*AA125+(1-EXP(-LN(2)/25))/(LN(2)/25)*Calculateur!V126*Calculateur!X126*VLOOKUP('Données projet'!$B$9,Paramètres!$A$1:$I$89,3,0)*0.475*44/12</f>
        <v>#VALUE!</v>
      </c>
      <c r="AB126" s="21" t="e">
        <f>EXP(-LN(2)/2)*AB125+(1-EXP(-LN(2)/2))/(LN(2)/2)*V126*Y126*VLOOKUP('Données projet'!$B$9,Paramètres!$A$1:$I$89,3,0)*0.475*44/12</f>
        <v>#VALUE!</v>
      </c>
      <c r="AC126" s="22" t="e">
        <f t="shared" si="57"/>
        <v>#VALUE!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175.05987582828078</v>
      </c>
      <c r="AO126" s="59">
        <f t="shared" si="90"/>
        <v>268.54782308462387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48.340913997592082</v>
      </c>
      <c r="AV126" s="21">
        <f>EXP(-LN(2)/25)*AV125+(1-EXP(-LN(2)/25))/(LN(2)/25)*Calculateur!AQ126*Calculateur!AS126*VLOOKUP('Données projet'!$B$10,Paramètres!$A$1:$I$89,3,0)*0.475*44/12</f>
        <v>7.3479188012548082</v>
      </c>
      <c r="AW126" s="21">
        <f>EXP(-LN(2)/2)*AW125+(1-EXP(-LN(2)/2))/(LN(2)/2)*AQ126*AT126*VLOOKUP('Données projet'!$B$10,Paramètres!$A$1:$I$89,3,0)*0.475*44/12</f>
        <v>9.3709103025972077E-9</v>
      </c>
      <c r="AX126" s="21">
        <f t="shared" si="60"/>
        <v>55.688832808217796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252.70779718608964</v>
      </c>
      <c r="BJ126" s="59">
        <f t="shared" si="92"/>
        <v>187.86969111712705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150.85483082661219</v>
      </c>
      <c r="BQ126" s="21">
        <f>EXP(-LN(2)/25)*BQ125+(1-EXP(-LN(2)/25))/(LN(2)/25)*Calculateur!BL126*Calculateur!BN126*VLOOKUP('Données projet'!$B$11,Paramètres!$A$1:$I$89,3,0)*0.475*44/12</f>
        <v>28.627667454063698</v>
      </c>
      <c r="BR126" s="21">
        <f>EXP(-LN(2)/2)*BR125+(1-EXP(-LN(2)/2))/(LN(2)/2)*BL126*BO126*VLOOKUP('Données projet'!$B$11,Paramètres!$A$1:$I$89,3,0)*0.475*44/12</f>
        <v>1.6472915985623615E-2</v>
      </c>
      <c r="BS126" s="22">
        <f t="shared" si="63"/>
        <v>179.4989711966615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-2.2737367544323206E-13</v>
      </c>
      <c r="BZ126" s="13">
        <f>BY126*VLOOKUP('Données projet'!$B$12,Paramètres!$A$1:$I$89,3,0)*VLOOKUP('Données projet'!$B$12,Paramètres!$A$1:$I$89,5,0)</f>
        <v>-1.3596945791505279E-13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279.86432710889352</v>
      </c>
      <c r="CE126" s="59">
        <f t="shared" si="94"/>
        <v>297.01680128882509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36.440462233990083</v>
      </c>
      <c r="CL126" s="21">
        <f>EXP(-LN(2)/25)*CL125+(1-EXP(-LN(2)/25))/(LN(2)/25)*Calculateur!CG126*Calculateur!CI126*VLOOKUP('Données projet'!$B$12,Paramètres!$A$1:$I$89,3,0)*0.475*44/12</f>
        <v>19.086781825979592</v>
      </c>
      <c r="CM126" s="21">
        <f>EXP(-LN(2)/2)*CM125+(1-EXP(-LN(2)/2))/(LN(2)/2)*CG126*CJ126*VLOOKUP('Données projet'!$B$12,Paramètres!$A$1:$I$89,3,0)*0.475*44/12</f>
        <v>1.4211353707871425E-7</v>
      </c>
      <c r="CN126" s="22">
        <f t="shared" si="66"/>
        <v>55.52724420208321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-12.000000000000284</v>
      </c>
      <c r="CU126" s="17">
        <f>CT126*VLOOKUP('Données projet'!$B$13,Paramètres!$A$1:$I$89,3,0)*VLOOKUP('Données projet'!$B$13,Paramètres!$A$1:$I$89,5,0)</f>
        <v>-9.5472000000002257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314.6300257056194</v>
      </c>
      <c r="CZ126" s="59">
        <f t="shared" si="96"/>
        <v>298.00555477466668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60.636928969091784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60.636928969091784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-12.000000000000284</v>
      </c>
      <c r="DP126" s="17">
        <f>DO126*VLOOKUP('Données projet'!$B$14,Paramètres!$A$1:$I$89,3,0)*VLOOKUP('Données projet'!$B$14,Paramètres!$A$1:$I$89,5,0)</f>
        <v>-9.5472000000002257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314.6300257056194</v>
      </c>
      <c r="DU126" s="59">
        <f t="shared" si="98"/>
        <v>298.00555477466668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60.636928969091784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60.636928969091784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7.9326923076923066</v>
      </c>
      <c r="EJ126" s="12">
        <f>IF('Données projet'!$A$192&gt;35,EJ125+EI126-ER125,IF(A126&lt;'Données projet'!$A$192,$EG$205^A126,IF(A126='Données projet'!$A$192,'Données projet'!$B$192,EJ125+EI126-ER125)))</f>
        <v>491.68846153846221</v>
      </c>
      <c r="EK126" s="17">
        <f>EJ126*VLOOKUP('Données projet'!$B$15,Paramètres!$A$1:$I$89,3,0)*VLOOKUP('Données projet'!$B$15,Paramètres!$A$1:$I$89,5,0)</f>
        <v>236.50215000000034</v>
      </c>
      <c r="EL126" s="13">
        <f t="shared" si="99"/>
        <v>57.686309166713286</v>
      </c>
      <c r="EM126" s="20">
        <f t="shared" si="73"/>
        <v>512.37823304869289</v>
      </c>
      <c r="EN126" s="59">
        <f t="shared" si="74"/>
        <v>805.71156638202615</v>
      </c>
      <c r="EO126" s="59">
        <f ca="1">AVERAGE(OFFSET($EN$3,0,0,'Données projet'!$E$15+1,1))-AVERAGE(OFFSET($H$3,0,0,'Données projet'!$E$15+1,1))</f>
        <v>238.83604534181978</v>
      </c>
      <c r="EP126" s="59">
        <f t="shared" si="100"/>
        <v>114.85152559837792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5.6843418860808015E-14</v>
      </c>
      <c r="FF126" s="17">
        <f>FE126*VLOOKUP('Données projet'!$B$16,Paramètres!$A$1:$I$89,3,0)*VLOOKUP('Données projet'!$B$16,Paramètres!$A$1:$I$89,5,0)</f>
        <v>4.6111381379887463E-14</v>
      </c>
      <c r="FG126" s="13">
        <f t="shared" si="101"/>
        <v>7.5804141040779151E-13</v>
      </c>
      <c r="FH126" s="20">
        <f t="shared" si="76"/>
        <v>1.4005661123635408E-12</v>
      </c>
      <c r="FI126" s="59">
        <f t="shared" si="77"/>
        <v>293.33333333333474</v>
      </c>
      <c r="FJ126" s="59">
        <f ca="1">AVERAGE(OFFSET($FI$3,0,0,'Données projet'!$E$16+1,1))-AVERAGE(OFFSET($H$3,0,0,'Données projet'!$E$16+1,1))</f>
        <v>196.95467273423861</v>
      </c>
      <c r="FK126" s="59">
        <f t="shared" si="102"/>
        <v>173.8709326829258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36.556934361955939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1.389309796467112E-5</v>
      </c>
      <c r="FT126" s="22">
        <f t="shared" si="78"/>
        <v>36.556948255053904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5.6843418860808015E-14</v>
      </c>
      <c r="GA126" s="17">
        <f>FZ126*VLOOKUP('Données projet'!$B$17,Paramètres!$A$1:$I$89,3,0)*VLOOKUP('Données projet'!$B$17,Paramètres!$A$1:$I$89,5,0)</f>
        <v>6.1186256061773749E-14</v>
      </c>
      <c r="GB126" s="13">
        <f t="shared" si="103"/>
        <v>9.7328366192051127E-13</v>
      </c>
      <c r="GC126" s="20">
        <f t="shared" si="79"/>
        <v>1.8017017738191463E-12</v>
      </c>
      <c r="GD126" s="59">
        <f t="shared" si="80"/>
        <v>293.33333333333513</v>
      </c>
      <c r="GE126" s="59">
        <f ca="1">AVERAGE(OFFSET($GD$3,0,0,'Données projet'!$E$17+1,1))-AVERAGE(OFFSET($H$3,0,0,'Données projet'!$E$17+1,1))</f>
        <v>275.5229427552884</v>
      </c>
      <c r="GF126" s="59">
        <f t="shared" si="104"/>
        <v>241.20234081716143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48.508239826441539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1.8435072299275127E-5</v>
      </c>
      <c r="GO126" s="21">
        <f t="shared" si="81"/>
        <v>48.508258261513838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274.57619581652199</v>
      </c>
      <c r="T127" s="59">
        <f t="shared" si="88"/>
        <v>366.15117322598775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 t="e">
        <f>EXP(-LN(2)/35)*Z126+(1-EXP(-LN(2)/35))/(LN(2)/35)*V127*W127*VLOOKUP('Données projet'!$B$9,Paramètres!$A$1:$I$89,3,0)*0.475*44/12</f>
        <v>#VALUE!</v>
      </c>
      <c r="AA127" s="21" t="e">
        <f>EXP(-LN(2)/25)*AA126+(1-EXP(-LN(2)/25))/(LN(2)/25)*Calculateur!V127*Calculateur!X127*VLOOKUP('Données projet'!$B$9,Paramètres!$A$1:$I$89,3,0)*0.475*44/12</f>
        <v>#VALUE!</v>
      </c>
      <c r="AB127" s="21" t="e">
        <f>EXP(-LN(2)/2)*AB126+(1-EXP(-LN(2)/2))/(LN(2)/2)*V127*Y127*VLOOKUP('Données projet'!$B$9,Paramètres!$A$1:$I$89,3,0)*0.475*44/12</f>
        <v>#VALUE!</v>
      </c>
      <c r="AC127" s="22" t="e">
        <f t="shared" si="57"/>
        <v>#VALUE!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175.05987582828078</v>
      </c>
      <c r="AO127" s="59">
        <f t="shared" si="90"/>
        <v>268.54782308462387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47.392978159145436</v>
      </c>
      <c r="AV127" s="21">
        <f>EXP(-LN(2)/25)*AV126+(1-EXP(-LN(2)/25))/(LN(2)/25)*Calculateur!AQ127*Calculateur!AS127*VLOOKUP('Données projet'!$B$10,Paramètres!$A$1:$I$89,3,0)*0.475*44/12</f>
        <v>7.1469895752242394</v>
      </c>
      <c r="AW127" s="21">
        <f>EXP(-LN(2)/2)*AW126+(1-EXP(-LN(2)/2))/(LN(2)/2)*AQ127*AT127*VLOOKUP('Données projet'!$B$10,Paramètres!$A$1:$I$89,3,0)*0.475*44/12</f>
        <v>6.6262342208573677E-9</v>
      </c>
      <c r="AX127" s="21">
        <f t="shared" si="60"/>
        <v>54.539967740995912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252.70779718608964</v>
      </c>
      <c r="BJ127" s="59">
        <f t="shared" si="92"/>
        <v>187.86969111712705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147.89665960646366</v>
      </c>
      <c r="BQ127" s="21">
        <f>EXP(-LN(2)/25)*BQ126+(1-EXP(-LN(2)/25))/(LN(2)/25)*Calculateur!BL127*Calculateur!BN127*VLOOKUP('Données projet'!$B$11,Paramètres!$A$1:$I$89,3,0)*0.475*44/12</f>
        <v>27.844842382068723</v>
      </c>
      <c r="BR127" s="21">
        <f>EXP(-LN(2)/2)*BR126+(1-EXP(-LN(2)/2))/(LN(2)/2)*BL127*BO127*VLOOKUP('Données projet'!$B$11,Paramètres!$A$1:$I$89,3,0)*0.475*44/12</f>
        <v>1.1648110599350739E-2</v>
      </c>
      <c r="BS127" s="22">
        <f t="shared" si="63"/>
        <v>175.75315009913172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-2.2737367544323206E-13</v>
      </c>
      <c r="BZ127" s="13">
        <f>BY127*VLOOKUP('Données projet'!$B$12,Paramètres!$A$1:$I$89,3,0)*VLOOKUP('Données projet'!$B$12,Paramètres!$A$1:$I$89,5,0)</f>
        <v>-1.3596945791505279E-13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279.86432710889352</v>
      </c>
      <c r="CE127" s="59">
        <f t="shared" si="94"/>
        <v>297.01680128882509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35.725886996068816</v>
      </c>
      <c r="CL127" s="21">
        <f>EXP(-LN(2)/25)*CL126+(1-EXP(-LN(2)/25))/(LN(2)/25)*Calculateur!CG127*Calculateur!CI127*VLOOKUP('Données projet'!$B$12,Paramètres!$A$1:$I$89,3,0)*0.475*44/12</f>
        <v>18.564852773217947</v>
      </c>
      <c r="CM127" s="21">
        <f>EXP(-LN(2)/2)*CM126+(1-EXP(-LN(2)/2))/(LN(2)/2)*CG127*CJ127*VLOOKUP('Données projet'!$B$12,Paramètres!$A$1:$I$89,3,0)*0.475*44/12</f>
        <v>1.0048944576676471E-7</v>
      </c>
      <c r="CN127" s="22">
        <f t="shared" si="66"/>
        <v>54.290739869776203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-12.000000000000284</v>
      </c>
      <c r="CU127" s="17">
        <f>CT127*VLOOKUP('Données projet'!$B$13,Paramètres!$A$1:$I$89,3,0)*VLOOKUP('Données projet'!$B$13,Paramètres!$A$1:$I$89,5,0)</f>
        <v>-9.5472000000002257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314.6300257056194</v>
      </c>
      <c r="CZ127" s="59">
        <f t="shared" si="96"/>
        <v>298.00555477466668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59.447875776882611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59.447875776882611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-12.000000000000284</v>
      </c>
      <c r="DP127" s="17">
        <f>DO127*VLOOKUP('Données projet'!$B$14,Paramètres!$A$1:$I$89,3,0)*VLOOKUP('Données projet'!$B$14,Paramètres!$A$1:$I$89,5,0)</f>
        <v>-9.5472000000002257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314.6300257056194</v>
      </c>
      <c r="DU127" s="59">
        <f t="shared" si="98"/>
        <v>298.00555477466668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59.447875776882611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59.447875776882611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7.9326923076923066</v>
      </c>
      <c r="EJ127" s="12">
        <f>IF('Données projet'!$A$192&gt;35,EJ126+EI127-ER126,IF(A127&lt;'Données projet'!$A$192,$EG$205^A127,IF(A127='Données projet'!$A$192,'Données projet'!$B$192,EJ126+EI127-ER126)))</f>
        <v>499.62115384615453</v>
      </c>
      <c r="EK127" s="17">
        <f>EJ127*VLOOKUP('Données projet'!$B$15,Paramètres!$A$1:$I$89,3,0)*VLOOKUP('Données projet'!$B$15,Paramètres!$A$1:$I$89,5,0)</f>
        <v>240.31777500000035</v>
      </c>
      <c r="EL127" s="13">
        <f t="shared" si="99"/>
        <v>58.507896055378637</v>
      </c>
      <c r="EM127" s="20">
        <f t="shared" si="73"/>
        <v>520.45471042145175</v>
      </c>
      <c r="EN127" s="59">
        <f t="shared" si="74"/>
        <v>813.78804375478512</v>
      </c>
      <c r="EO127" s="59">
        <f ca="1">AVERAGE(OFFSET($EN$3,0,0,'Données projet'!$E$15+1,1))-AVERAGE(OFFSET($H$3,0,0,'Données projet'!$E$15+1,1))</f>
        <v>238.83604534181978</v>
      </c>
      <c r="EP127" s="59">
        <f t="shared" si="100"/>
        <v>114.85152559837792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5.6843418860808015E-14</v>
      </c>
      <c r="FF127" s="17">
        <f>FE127*VLOOKUP('Données projet'!$B$16,Paramètres!$A$1:$I$89,3,0)*VLOOKUP('Données projet'!$B$16,Paramètres!$A$1:$I$89,5,0)</f>
        <v>4.6111381379887463E-14</v>
      </c>
      <c r="FG127" s="13">
        <f t="shared" si="101"/>
        <v>7.5804141040779151E-13</v>
      </c>
      <c r="FH127" s="20">
        <f t="shared" si="76"/>
        <v>1.4005661123635408E-12</v>
      </c>
      <c r="FI127" s="59">
        <f t="shared" si="77"/>
        <v>293.33333333333474</v>
      </c>
      <c r="FJ127" s="59">
        <f ca="1">AVERAGE(OFFSET($FI$3,0,0,'Données projet'!$E$16+1,1))-AVERAGE(OFFSET($H$3,0,0,'Données projet'!$E$16+1,1))</f>
        <v>196.95467273423861</v>
      </c>
      <c r="FK127" s="59">
        <f t="shared" si="102"/>
        <v>173.8709326829258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35.840075176646245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9.8239037825079704E-6</v>
      </c>
      <c r="FT127" s="22">
        <f t="shared" si="78"/>
        <v>35.840085000550026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5.6843418860808015E-14</v>
      </c>
      <c r="GA127" s="17">
        <f>FZ127*VLOOKUP('Données projet'!$B$17,Paramètres!$A$1:$I$89,3,0)*VLOOKUP('Données projet'!$B$17,Paramètres!$A$1:$I$89,5,0)</f>
        <v>6.1186256061773749E-14</v>
      </c>
      <c r="GB127" s="13">
        <f t="shared" si="103"/>
        <v>9.7328366192051127E-13</v>
      </c>
      <c r="GC127" s="20">
        <f t="shared" si="79"/>
        <v>1.8017017738191463E-12</v>
      </c>
      <c r="GD127" s="59">
        <f t="shared" si="80"/>
        <v>293.33333333333513</v>
      </c>
      <c r="GE127" s="59">
        <f ca="1">AVERAGE(OFFSET($GD$3,0,0,'Données projet'!$E$17+1,1))-AVERAGE(OFFSET($H$3,0,0,'Données projet'!$E$17+1,1))</f>
        <v>275.5229427552884</v>
      </c>
      <c r="GF127" s="59">
        <f t="shared" si="104"/>
        <v>241.20234081716143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47.557022830549833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1.3035564634481721E-5</v>
      </c>
      <c r="GO127" s="21">
        <f t="shared" si="81"/>
        <v>47.557035866114468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274.57619581652199</v>
      </c>
      <c r="T128" s="59">
        <f t="shared" si="88"/>
        <v>366.15117322598775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 t="e">
        <f>EXP(-LN(2)/35)*Z127+(1-EXP(-LN(2)/35))/(LN(2)/35)*V128*W128*VLOOKUP('Données projet'!$B$9,Paramètres!$A$1:$I$89,3,0)*0.475*44/12</f>
        <v>#VALUE!</v>
      </c>
      <c r="AA128" s="21" t="e">
        <f>EXP(-LN(2)/25)*AA127+(1-EXP(-LN(2)/25))/(LN(2)/25)*Calculateur!V128*Calculateur!X128*VLOOKUP('Données projet'!$B$9,Paramètres!$A$1:$I$89,3,0)*0.475*44/12</f>
        <v>#VALUE!</v>
      </c>
      <c r="AB128" s="21" t="e">
        <f>EXP(-LN(2)/2)*AB127+(1-EXP(-LN(2)/2))/(LN(2)/2)*V128*Y128*VLOOKUP('Données projet'!$B$9,Paramètres!$A$1:$I$89,3,0)*0.475*44/12</f>
        <v>#VALUE!</v>
      </c>
      <c r="AC128" s="22" t="e">
        <f t="shared" si="57"/>
        <v>#VALUE!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175.05987582828078</v>
      </c>
      <c r="AO128" s="59">
        <f t="shared" si="90"/>
        <v>268.54782308462387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46.463630764306956</v>
      </c>
      <c r="AV128" s="21">
        <f>EXP(-LN(2)/25)*AV127+(1-EXP(-LN(2)/25))/(LN(2)/25)*Calculateur!AQ128*Calculateur!AS128*VLOOKUP('Données projet'!$B$10,Paramètres!$A$1:$I$89,3,0)*0.475*44/12</f>
        <v>6.9515547694458855</v>
      </c>
      <c r="AW128" s="21">
        <f>EXP(-LN(2)/2)*AW127+(1-EXP(-LN(2)/2))/(LN(2)/2)*AQ128*AT128*VLOOKUP('Données projet'!$B$10,Paramètres!$A$1:$I$89,3,0)*0.475*44/12</f>
        <v>4.6854551512986038E-9</v>
      </c>
      <c r="AX128" s="21">
        <f t="shared" si="60"/>
        <v>53.415185538438294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252.70779718608964</v>
      </c>
      <c r="BJ128" s="59">
        <f t="shared" si="92"/>
        <v>187.86969111712705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144.99649631963595</v>
      </c>
      <c r="BQ128" s="21">
        <f>EXP(-LN(2)/25)*BQ127+(1-EXP(-LN(2)/25))/(LN(2)/25)*Calculateur!BL128*Calculateur!BN128*VLOOKUP('Données projet'!$B$11,Paramètres!$A$1:$I$89,3,0)*0.475*44/12</f>
        <v>27.083423702834434</v>
      </c>
      <c r="BR128" s="21">
        <f>EXP(-LN(2)/2)*BR127+(1-EXP(-LN(2)/2))/(LN(2)/2)*BL128*BO128*VLOOKUP('Données projet'!$B$11,Paramètres!$A$1:$I$89,3,0)*0.475*44/12</f>
        <v>8.2364579928118076E-3</v>
      </c>
      <c r="BS128" s="22">
        <f t="shared" si="63"/>
        <v>172.0881564804632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-2.2737367544323206E-13</v>
      </c>
      <c r="BZ128" s="13">
        <f>BY128*VLOOKUP('Données projet'!$B$12,Paramètres!$A$1:$I$89,3,0)*VLOOKUP('Données projet'!$B$12,Paramètres!$A$1:$I$89,5,0)</f>
        <v>-1.3596945791505279E-13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279.86432710889352</v>
      </c>
      <c r="CE128" s="59">
        <f t="shared" si="94"/>
        <v>297.01680128882509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35.025324142715327</v>
      </c>
      <c r="CL128" s="21">
        <f>EXP(-LN(2)/25)*CL127+(1-EXP(-LN(2)/25))/(LN(2)/25)*Calculateur!CG128*Calculateur!CI128*VLOOKUP('Données projet'!$B$12,Paramètres!$A$1:$I$89,3,0)*0.475*44/12</f>
        <v>18.057195897851127</v>
      </c>
      <c r="CM128" s="21">
        <f>EXP(-LN(2)/2)*CM127+(1-EXP(-LN(2)/2))/(LN(2)/2)*CG128*CJ128*VLOOKUP('Données projet'!$B$12,Paramètres!$A$1:$I$89,3,0)*0.475*44/12</f>
        <v>7.1056768539357127E-8</v>
      </c>
      <c r="CN128" s="22">
        <f t="shared" si="66"/>
        <v>53.082520111623218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-12.000000000000284</v>
      </c>
      <c r="CU128" s="17">
        <f>CT128*VLOOKUP('Données projet'!$B$13,Paramètres!$A$1:$I$89,3,0)*VLOOKUP('Données projet'!$B$13,Paramètres!$A$1:$I$89,5,0)</f>
        <v>-9.5472000000002257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314.6300257056194</v>
      </c>
      <c r="CZ128" s="59">
        <f t="shared" si="96"/>
        <v>298.00555477466668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58.282139192521825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58.282139192521825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-12.000000000000284</v>
      </c>
      <c r="DP128" s="17">
        <f>DO128*VLOOKUP('Données projet'!$B$14,Paramètres!$A$1:$I$89,3,0)*VLOOKUP('Données projet'!$B$14,Paramètres!$A$1:$I$89,5,0)</f>
        <v>-9.5472000000002257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314.6300257056194</v>
      </c>
      <c r="DU128" s="59">
        <f t="shared" si="98"/>
        <v>298.00555477466668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58.282139192521825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58.282139192521825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>
        <f>VLOOKUP(A128,'Données projet'!$A$191:$I$211,2,0)</f>
        <v>507.55384615384617</v>
      </c>
      <c r="EH128" s="12">
        <f>VLOOKUP(A128,'Données projet'!$A$191:$I$211,9,0)</f>
        <v>7.9326923076923066</v>
      </c>
      <c r="EI128" s="12">
        <f t="array" ref="EI128">INDEX(EH:EH,MIN(IF(ISNUMBER(EH128:EH324),ROW(EH128:EH324),"")))</f>
        <v>7.9326923076923066</v>
      </c>
      <c r="EJ128" s="12">
        <f>IF('Données projet'!$A$192&gt;35,EJ127+EI128-ER127,IF(A128&lt;'Données projet'!$A$192,$EG$205^A128,IF(A128='Données projet'!$A$192,'Données projet'!$B$192,EJ127+EI128-ER127)))</f>
        <v>507.55384615384685</v>
      </c>
      <c r="EK128" s="17">
        <f>EJ128*VLOOKUP('Données projet'!$B$15,Paramètres!$A$1:$I$89,3,0)*VLOOKUP('Données projet'!$B$15,Paramètres!$A$1:$I$89,5,0)</f>
        <v>244.13340000000034</v>
      </c>
      <c r="EL128" s="13">
        <f t="shared" si="99"/>
        <v>59.32796587862267</v>
      </c>
      <c r="EM128" s="20">
        <f t="shared" si="73"/>
        <v>528.52854557193496</v>
      </c>
      <c r="EN128" s="59">
        <f t="shared" si="74"/>
        <v>821.86187890526821</v>
      </c>
      <c r="EO128" s="59">
        <f ca="1">AVERAGE(OFFSET($EN$3,0,0,'Données projet'!$E$15+1,1))-AVERAGE(OFFSET($H$3,0,0,'Données projet'!$E$15+1,1))</f>
        <v>238.83604534181978</v>
      </c>
      <c r="EP128" s="59">
        <f t="shared" si="100"/>
        <v>114.85152559837792</v>
      </c>
      <c r="EQ128" s="15">
        <f>IF(ISNA(VLOOKUP(A128,'Données projet'!$A$191:$I$211,3,0)),0,VLOOKUP(A128,'Données projet'!$A$191:$I$211,3,0))</f>
        <v>11</v>
      </c>
      <c r="ER128" s="15">
        <f>IF(ISNA(VLOOKUP(A128,'Données projet'!$A$191:$I$211,4,0)),0,VLOOKUP(A128,'Données projet'!$A$191:$I$211,4,0))</f>
        <v>66.315384615384602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5.6843418860808015E-14</v>
      </c>
      <c r="FF128" s="17">
        <f>FE128*VLOOKUP('Données projet'!$B$16,Paramètres!$A$1:$I$89,3,0)*VLOOKUP('Données projet'!$B$16,Paramètres!$A$1:$I$89,5,0)</f>
        <v>4.6111381379887463E-14</v>
      </c>
      <c r="FG128" s="13">
        <f t="shared" si="101"/>
        <v>7.5804141040779151E-13</v>
      </c>
      <c r="FH128" s="20">
        <f t="shared" si="76"/>
        <v>1.4005661123635408E-12</v>
      </c>
      <c r="FI128" s="59">
        <f t="shared" si="77"/>
        <v>293.33333333333474</v>
      </c>
      <c r="FJ128" s="59">
        <f ca="1">AVERAGE(OFFSET($FI$3,0,0,'Données projet'!$E$16+1,1))-AVERAGE(OFFSET($H$3,0,0,'Données projet'!$E$16+1,1))</f>
        <v>196.95467273423861</v>
      </c>
      <c r="FK128" s="59">
        <f t="shared" si="102"/>
        <v>173.8709326829258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35.137273162719545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6.9465489823355601E-6</v>
      </c>
      <c r="FT128" s="22">
        <f t="shared" si="78"/>
        <v>35.137280109268531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5.6843418860808015E-14</v>
      </c>
      <c r="GA128" s="17">
        <f>FZ128*VLOOKUP('Données projet'!$B$17,Paramètres!$A$1:$I$89,3,0)*VLOOKUP('Données projet'!$B$17,Paramètres!$A$1:$I$89,5,0)</f>
        <v>6.1186256061773749E-14</v>
      </c>
      <c r="GB128" s="13">
        <f t="shared" si="103"/>
        <v>9.7328366192051127E-13</v>
      </c>
      <c r="GC128" s="20">
        <f t="shared" si="79"/>
        <v>1.8017017738191463E-12</v>
      </c>
      <c r="GD128" s="59">
        <f t="shared" si="80"/>
        <v>293.33333333333513</v>
      </c>
      <c r="GE128" s="59">
        <f ca="1">AVERAGE(OFFSET($GD$3,0,0,'Données projet'!$E$17+1,1))-AVERAGE(OFFSET($H$3,0,0,'Données projet'!$E$17+1,1))</f>
        <v>275.5229427552884</v>
      </c>
      <c r="GF128" s="59">
        <f t="shared" si="104"/>
        <v>241.20234081716143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46.624458619762486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9.2175361496375634E-6</v>
      </c>
      <c r="GO128" s="21">
        <f t="shared" si="81"/>
        <v>46.624467837298639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274.57619581652199</v>
      </c>
      <c r="T129" s="59">
        <f t="shared" si="88"/>
        <v>366.15117322598775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 t="e">
        <f>EXP(-LN(2)/35)*Z128+(1-EXP(-LN(2)/35))/(LN(2)/35)*V129*W129*VLOOKUP('Données projet'!$B$9,Paramètres!$A$1:$I$89,3,0)*0.475*44/12</f>
        <v>#VALUE!</v>
      </c>
      <c r="AA129" s="21" t="e">
        <f>EXP(-LN(2)/25)*AA128+(1-EXP(-LN(2)/25))/(LN(2)/25)*Calculateur!V129*Calculateur!X129*VLOOKUP('Données projet'!$B$9,Paramètres!$A$1:$I$89,3,0)*0.475*44/12</f>
        <v>#VALUE!</v>
      </c>
      <c r="AB129" s="21" t="e">
        <f>EXP(-LN(2)/2)*AB128+(1-EXP(-LN(2)/2))/(LN(2)/2)*V129*Y129*VLOOKUP('Données projet'!$B$9,Paramètres!$A$1:$I$89,3,0)*0.475*44/12</f>
        <v>#VALUE!</v>
      </c>
      <c r="AC129" s="22" t="e">
        <f t="shared" si="57"/>
        <v>#VALUE!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175.05987582828078</v>
      </c>
      <c r="AO129" s="59">
        <f t="shared" si="90"/>
        <v>268.54782308462387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45.55250730503532</v>
      </c>
      <c r="AV129" s="21">
        <f>EXP(-LN(2)/25)*AV128+(1-EXP(-LN(2)/25))/(LN(2)/25)*Calculateur!AQ129*Calculateur!AS129*VLOOKUP('Données projet'!$B$10,Paramètres!$A$1:$I$89,3,0)*0.475*44/12</f>
        <v>6.7614641387090106</v>
      </c>
      <c r="AW129" s="21">
        <f>EXP(-LN(2)/2)*AW128+(1-EXP(-LN(2)/2))/(LN(2)/2)*AQ129*AT129*VLOOKUP('Données projet'!$B$10,Paramètres!$A$1:$I$89,3,0)*0.475*44/12</f>
        <v>3.3131171104286839E-9</v>
      </c>
      <c r="AX129" s="21">
        <f t="shared" si="60"/>
        <v>52.313971447057448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252.70779718608964</v>
      </c>
      <c r="BJ129" s="59">
        <f t="shared" si="92"/>
        <v>187.86969111712705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142.15320346593802</v>
      </c>
      <c r="BQ129" s="21">
        <f>EXP(-LN(2)/25)*BQ128+(1-EXP(-LN(2)/25))/(LN(2)/25)*Calculateur!BL129*Calculateur!BN129*VLOOKUP('Données projet'!$B$11,Paramètres!$A$1:$I$89,3,0)*0.475*44/12</f>
        <v>26.342826057425075</v>
      </c>
      <c r="BR129" s="21">
        <f>EXP(-LN(2)/2)*BR128+(1-EXP(-LN(2)/2))/(LN(2)/2)*BL129*BO129*VLOOKUP('Données projet'!$B$11,Paramètres!$A$1:$I$89,3,0)*0.475*44/12</f>
        <v>5.8240552996753694E-3</v>
      </c>
      <c r="BS129" s="22">
        <f t="shared" si="63"/>
        <v>168.50185357866278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-2.2737367544323206E-13</v>
      </c>
      <c r="BZ129" s="13">
        <f>BY129*VLOOKUP('Données projet'!$B$12,Paramètres!$A$1:$I$89,3,0)*VLOOKUP('Données projet'!$B$12,Paramètres!$A$1:$I$89,5,0)</f>
        <v>-1.3596945791505279E-13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279.86432710889352</v>
      </c>
      <c r="CE129" s="59">
        <f t="shared" si="94"/>
        <v>297.01680128882509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34.338498899614954</v>
      </c>
      <c r="CL129" s="21">
        <f>EXP(-LN(2)/25)*CL128+(1-EXP(-LN(2)/25))/(LN(2)/25)*Calculateur!CG129*Calculateur!CI129*VLOOKUP('Données projet'!$B$12,Paramètres!$A$1:$I$89,3,0)*0.475*44/12</f>
        <v>17.563420926437725</v>
      </c>
      <c r="CM129" s="21">
        <f>EXP(-LN(2)/2)*CM128+(1-EXP(-LN(2)/2))/(LN(2)/2)*CG129*CJ129*VLOOKUP('Données projet'!$B$12,Paramètres!$A$1:$I$89,3,0)*0.475*44/12</f>
        <v>5.0244722883382355E-8</v>
      </c>
      <c r="CN129" s="22">
        <f t="shared" si="66"/>
        <v>51.901919876297399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-12.000000000000284</v>
      </c>
      <c r="CU129" s="17">
        <f>CT129*VLOOKUP('Données projet'!$B$13,Paramètres!$A$1:$I$89,3,0)*VLOOKUP('Données projet'!$B$13,Paramètres!$A$1:$I$89,5,0)</f>
        <v>-9.5472000000002257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314.6300257056194</v>
      </c>
      <c r="CZ129" s="59">
        <f t="shared" si="96"/>
        <v>298.00555477466668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57.139261991551244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57.139261991551244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-12.000000000000284</v>
      </c>
      <c r="DP129" s="17">
        <f>DO129*VLOOKUP('Données projet'!$B$14,Paramètres!$A$1:$I$89,3,0)*VLOOKUP('Données projet'!$B$14,Paramètres!$A$1:$I$89,5,0)</f>
        <v>-9.5472000000002257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314.6300257056194</v>
      </c>
      <c r="DU129" s="59">
        <f t="shared" si="98"/>
        <v>298.00555477466668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57.139261991551244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57.139261991551244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441.23846153846227</v>
      </c>
      <c r="EK129" s="17">
        <f>EJ129*VLOOKUP('Données projet'!$B$15,Paramètres!$A$1:$I$89,3,0)*VLOOKUP('Données projet'!$B$15,Paramètres!$A$1:$I$89,5,0)</f>
        <v>212.23570000000035</v>
      </c>
      <c r="EL129" s="13">
        <f t="shared" si="99"/>
        <v>52.423840876495639</v>
      </c>
      <c r="EM129" s="20">
        <f t="shared" si="73"/>
        <v>460.9487003598972</v>
      </c>
      <c r="EN129" s="59">
        <f t="shared" si="74"/>
        <v>754.28203369323046</v>
      </c>
      <c r="EO129" s="59">
        <f ca="1">AVERAGE(OFFSET($EN$3,0,0,'Données projet'!$E$15+1,1))-AVERAGE(OFFSET($H$3,0,0,'Données projet'!$E$15+1,1))</f>
        <v>238.83604534181978</v>
      </c>
      <c r="EP129" s="59">
        <f t="shared" si="100"/>
        <v>114.85152559837792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5.6843418860808015E-14</v>
      </c>
      <c r="FF129" s="17">
        <f>FE129*VLOOKUP('Données projet'!$B$16,Paramètres!$A$1:$I$89,3,0)*VLOOKUP('Données projet'!$B$16,Paramètres!$A$1:$I$89,5,0)</f>
        <v>4.6111381379887463E-14</v>
      </c>
      <c r="FG129" s="13">
        <f t="shared" si="101"/>
        <v>7.5804141040779151E-13</v>
      </c>
      <c r="FH129" s="20">
        <f t="shared" si="76"/>
        <v>1.4005661123635408E-12</v>
      </c>
      <c r="FI129" s="59">
        <f t="shared" si="77"/>
        <v>293.33333333333474</v>
      </c>
      <c r="FJ129" s="59">
        <f ca="1">AVERAGE(OFFSET($FI$3,0,0,'Données projet'!$E$16+1,1))-AVERAGE(OFFSET($H$3,0,0,'Données projet'!$E$16+1,1))</f>
        <v>196.95467273423861</v>
      </c>
      <c r="FK129" s="59">
        <f t="shared" si="102"/>
        <v>173.8709326829258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34.448252667619045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4.9119518912539852E-6</v>
      </c>
      <c r="FT129" s="22">
        <f t="shared" si="78"/>
        <v>34.448257579570935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5.6843418860808015E-14</v>
      </c>
      <c r="GA129" s="17">
        <f>FZ129*VLOOKUP('Données projet'!$B$17,Paramètres!$A$1:$I$89,3,0)*VLOOKUP('Données projet'!$B$17,Paramètres!$A$1:$I$89,5,0)</f>
        <v>6.1186256061773749E-14</v>
      </c>
      <c r="GB129" s="13">
        <f t="shared" si="103"/>
        <v>9.7328366192051127E-13</v>
      </c>
      <c r="GC129" s="20">
        <f t="shared" si="79"/>
        <v>1.8017017738191463E-12</v>
      </c>
      <c r="GD129" s="59">
        <f t="shared" si="80"/>
        <v>293.33333333333513</v>
      </c>
      <c r="GE129" s="59">
        <f ca="1">AVERAGE(OFFSET($GD$3,0,0,'Données projet'!$E$17+1,1))-AVERAGE(OFFSET($H$3,0,0,'Données projet'!$E$17+1,1))</f>
        <v>275.5229427552884</v>
      </c>
      <c r="GF129" s="59">
        <f t="shared" si="104"/>
        <v>241.20234081716143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45.710181424340668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6.5177823172408604E-6</v>
      </c>
      <c r="GO129" s="21">
        <f t="shared" si="81"/>
        <v>45.710187942122985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274.57619581652199</v>
      </c>
      <c r="T130" s="59">
        <f t="shared" si="88"/>
        <v>366.15117322598775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 t="e">
        <f>EXP(-LN(2)/35)*Z129+(1-EXP(-LN(2)/35))/(LN(2)/35)*V130*W130*VLOOKUP('Données projet'!$B$9,Paramètres!$A$1:$I$89,3,0)*0.475*44/12</f>
        <v>#VALUE!</v>
      </c>
      <c r="AA130" s="21" t="e">
        <f>EXP(-LN(2)/25)*AA129+(1-EXP(-LN(2)/25))/(LN(2)/25)*Calculateur!V130*Calculateur!X130*VLOOKUP('Données projet'!$B$9,Paramètres!$A$1:$I$89,3,0)*0.475*44/12</f>
        <v>#VALUE!</v>
      </c>
      <c r="AB130" s="21" t="e">
        <f>EXP(-LN(2)/2)*AB129+(1-EXP(-LN(2)/2))/(LN(2)/2)*V130*Y130*VLOOKUP('Données projet'!$B$9,Paramètres!$A$1:$I$89,3,0)*0.475*44/12</f>
        <v>#VALUE!</v>
      </c>
      <c r="AC130" s="22" t="e">
        <f t="shared" si="57"/>
        <v>#VALUE!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175.05987582828078</v>
      </c>
      <c r="AO130" s="59">
        <f t="shared" si="90"/>
        <v>268.54782308462387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44.659250421069565</v>
      </c>
      <c r="AV130" s="21">
        <f>EXP(-LN(2)/25)*AV129+(1-EXP(-LN(2)/25))/(LN(2)/25)*Calculateur!AQ130*Calculateur!AS130*VLOOKUP('Données projet'!$B$10,Paramètres!$A$1:$I$89,3,0)*0.475*44/12</f>
        <v>6.5765715462660674</v>
      </c>
      <c r="AW130" s="21">
        <f>EXP(-LN(2)/2)*AW129+(1-EXP(-LN(2)/2))/(LN(2)/2)*AQ130*AT130*VLOOKUP('Données projet'!$B$10,Paramètres!$A$1:$I$89,3,0)*0.475*44/12</f>
        <v>2.3427275756493019E-9</v>
      </c>
      <c r="AX130" s="21">
        <f t="shared" si="60"/>
        <v>51.235821969678362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252.70779718608964</v>
      </c>
      <c r="BJ130" s="59">
        <f t="shared" si="92"/>
        <v>187.86969111712705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139.36566585086371</v>
      </c>
      <c r="BQ130" s="21">
        <f>EXP(-LN(2)/25)*BQ129+(1-EXP(-LN(2)/25))/(LN(2)/25)*Calculateur!BL130*Calculateur!BN130*VLOOKUP('Données projet'!$B$11,Paramètres!$A$1:$I$89,3,0)*0.475*44/12</f>
        <v>25.622480093575771</v>
      </c>
      <c r="BR130" s="21">
        <f>EXP(-LN(2)/2)*BR129+(1-EXP(-LN(2)/2))/(LN(2)/2)*BL130*BO130*VLOOKUP('Données projet'!$B$11,Paramètres!$A$1:$I$89,3,0)*0.475*44/12</f>
        <v>4.1182289964059038E-3</v>
      </c>
      <c r="BS130" s="22">
        <f t="shared" si="63"/>
        <v>164.9922641734359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-2.2737367544323206E-13</v>
      </c>
      <c r="BZ130" s="13">
        <f>BY130*VLOOKUP('Données projet'!$B$12,Paramètres!$A$1:$I$89,3,0)*VLOOKUP('Données projet'!$B$12,Paramètres!$A$1:$I$89,5,0)</f>
        <v>-1.3596945791505279E-13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279.86432710889352</v>
      </c>
      <c r="CE130" s="59">
        <f t="shared" si="94"/>
        <v>297.01680128882509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33.665141880609745</v>
      </c>
      <c r="CL130" s="21">
        <f>EXP(-LN(2)/25)*CL129+(1-EXP(-LN(2)/25))/(LN(2)/25)*Calculateur!CG130*Calculateur!CI130*VLOOKUP('Données projet'!$B$12,Paramètres!$A$1:$I$89,3,0)*0.475*44/12</f>
        <v>17.083148257584121</v>
      </c>
      <c r="CM130" s="21">
        <f>EXP(-LN(2)/2)*CM129+(1-EXP(-LN(2)/2))/(LN(2)/2)*CG130*CJ130*VLOOKUP('Données projet'!$B$12,Paramètres!$A$1:$I$89,3,0)*0.475*44/12</f>
        <v>3.5528384269678564E-8</v>
      </c>
      <c r="CN130" s="22">
        <f t="shared" si="66"/>
        <v>50.748290173722253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-12.000000000000284</v>
      </c>
      <c r="CU130" s="17">
        <f>CT130*VLOOKUP('Données projet'!$B$13,Paramètres!$A$1:$I$89,3,0)*VLOOKUP('Données projet'!$B$13,Paramètres!$A$1:$I$89,5,0)</f>
        <v>-9.5472000000002257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314.6300257056194</v>
      </c>
      <c r="CZ130" s="59">
        <f t="shared" si="96"/>
        <v>298.00555477466668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56.018795915405441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56.018795915405441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-12.000000000000284</v>
      </c>
      <c r="DP130" s="17">
        <f>DO130*VLOOKUP('Données projet'!$B$14,Paramètres!$A$1:$I$89,3,0)*VLOOKUP('Données projet'!$B$14,Paramètres!$A$1:$I$89,5,0)</f>
        <v>-9.5472000000002257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314.6300257056194</v>
      </c>
      <c r="DU130" s="59">
        <f t="shared" si="98"/>
        <v>298.00555477466668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56.018795915405441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56.018795915405441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441.23846153846227</v>
      </c>
      <c r="EK130" s="17">
        <f>EJ130*VLOOKUP('Données projet'!$B$15,Paramètres!$A$1:$I$89,3,0)*VLOOKUP('Données projet'!$B$15,Paramètres!$A$1:$I$89,5,0)</f>
        <v>212.23570000000035</v>
      </c>
      <c r="EL130" s="13">
        <f t="shared" si="99"/>
        <v>52.423840876495639</v>
      </c>
      <c r="EM130" s="20">
        <f t="shared" si="73"/>
        <v>460.9487003598972</v>
      </c>
      <c r="EN130" s="59">
        <f t="shared" si="74"/>
        <v>754.28203369323046</v>
      </c>
      <c r="EO130" s="59">
        <f ca="1">AVERAGE(OFFSET($EN$3,0,0,'Données projet'!$E$15+1,1))-AVERAGE(OFFSET($H$3,0,0,'Données projet'!$E$15+1,1))</f>
        <v>238.83604534181978</v>
      </c>
      <c r="EP130" s="59">
        <f t="shared" si="100"/>
        <v>114.85152559837792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5.6843418860808015E-14</v>
      </c>
      <c r="FF130" s="17">
        <f>FE130*VLOOKUP('Données projet'!$B$16,Paramètres!$A$1:$I$89,3,0)*VLOOKUP('Données projet'!$B$16,Paramètres!$A$1:$I$89,5,0)</f>
        <v>4.6111381379887463E-14</v>
      </c>
      <c r="FG130" s="13">
        <f t="shared" si="101"/>
        <v>7.5804141040779151E-13</v>
      </c>
      <c r="FH130" s="20">
        <f t="shared" si="76"/>
        <v>1.4005661123635408E-12</v>
      </c>
      <c r="FI130" s="59">
        <f t="shared" si="77"/>
        <v>293.33333333333474</v>
      </c>
      <c r="FJ130" s="59">
        <f ca="1">AVERAGE(OFFSET($FI$3,0,0,'Données projet'!$E$16+1,1))-AVERAGE(OFFSET($H$3,0,0,'Données projet'!$E$16+1,1))</f>
        <v>196.95467273423861</v>
      </c>
      <c r="FK130" s="59">
        <f t="shared" si="102"/>
        <v>173.8709326829258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33.772743444166466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3.47327449116778E-6</v>
      </c>
      <c r="FT130" s="22">
        <f t="shared" si="78"/>
        <v>33.772746917440955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5.6843418860808015E-14</v>
      </c>
      <c r="GA130" s="17">
        <f>FZ130*VLOOKUP('Données projet'!$B$17,Paramètres!$A$1:$I$89,3,0)*VLOOKUP('Données projet'!$B$17,Paramètres!$A$1:$I$89,5,0)</f>
        <v>6.1186256061773749E-14</v>
      </c>
      <c r="GB130" s="13">
        <f t="shared" si="103"/>
        <v>9.7328366192051127E-13</v>
      </c>
      <c r="GC130" s="20">
        <f t="shared" si="79"/>
        <v>1.8017017738191463E-12</v>
      </c>
      <c r="GD130" s="59">
        <f t="shared" si="80"/>
        <v>293.33333333333513</v>
      </c>
      <c r="GE130" s="59">
        <f ca="1">AVERAGE(OFFSET($GD$3,0,0,'Données projet'!$E$17+1,1))-AVERAGE(OFFSET($H$3,0,0,'Données projet'!$E$17+1,1))</f>
        <v>275.5229427552884</v>
      </c>
      <c r="GF130" s="59">
        <f t="shared" si="104"/>
        <v>241.20234081716143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44.813832647067052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4.6087680748187817E-6</v>
      </c>
      <c r="GO130" s="21">
        <f t="shared" si="81"/>
        <v>44.813837255835125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274.57619581652199</v>
      </c>
      <c r="T131" s="59">
        <f t="shared" si="88"/>
        <v>366.15117322598775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 t="e">
        <f>EXP(-LN(2)/35)*Z130+(1-EXP(-LN(2)/35))/(LN(2)/35)*V131*W131*VLOOKUP('Données projet'!$B$9,Paramètres!$A$1:$I$89,3,0)*0.475*44/12</f>
        <v>#VALUE!</v>
      </c>
      <c r="AA131" s="21" t="e">
        <f>EXP(-LN(2)/25)*AA130+(1-EXP(-LN(2)/25))/(LN(2)/25)*Calculateur!V131*Calculateur!X131*VLOOKUP('Données projet'!$B$9,Paramètres!$A$1:$I$89,3,0)*0.475*44/12</f>
        <v>#VALUE!</v>
      </c>
      <c r="AB131" s="21" t="e">
        <f>EXP(-LN(2)/2)*AB130+(1-EXP(-LN(2)/2))/(LN(2)/2)*V131*Y131*VLOOKUP('Données projet'!$B$9,Paramètres!$A$1:$I$89,3,0)*0.475*44/12</f>
        <v>#VALUE!</v>
      </c>
      <c r="AC131" s="22" t="e">
        <f t="shared" si="57"/>
        <v>#VALUE!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175.05987582828078</v>
      </c>
      <c r="AO131" s="59">
        <f t="shared" si="90"/>
        <v>268.54782308462387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43.783509759765472</v>
      </c>
      <c r="AV131" s="21">
        <f>EXP(-LN(2)/25)*AV130+(1-EXP(-LN(2)/25))/(LN(2)/25)*Calculateur!AQ131*Calculateur!AS131*VLOOKUP('Données projet'!$B$10,Paramètres!$A$1:$I$89,3,0)*0.475*44/12</f>
        <v>6.3967348514865554</v>
      </c>
      <c r="AW131" s="21">
        <f>EXP(-LN(2)/2)*AW130+(1-EXP(-LN(2)/2))/(LN(2)/2)*AQ131*AT131*VLOOKUP('Données projet'!$B$10,Paramètres!$A$1:$I$89,3,0)*0.475*44/12</f>
        <v>1.6565585552143419E-9</v>
      </c>
      <c r="AX131" s="21">
        <f t="shared" si="60"/>
        <v>50.180244612908588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252.70779718608964</v>
      </c>
      <c r="BJ131" s="59">
        <f t="shared" si="92"/>
        <v>187.86969111712705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136.63279014819094</v>
      </c>
      <c r="BQ131" s="21">
        <f>EXP(-LN(2)/25)*BQ130+(1-EXP(-LN(2)/25))/(LN(2)/25)*Calculateur!BL131*Calculateur!BN131*VLOOKUP('Données projet'!$B$11,Paramètres!$A$1:$I$89,3,0)*0.475*44/12</f>
        <v>24.921832027989275</v>
      </c>
      <c r="BR131" s="21">
        <f>EXP(-LN(2)/2)*BR130+(1-EXP(-LN(2)/2))/(LN(2)/2)*BL131*BO131*VLOOKUP('Données projet'!$B$11,Paramètres!$A$1:$I$89,3,0)*0.475*44/12</f>
        <v>2.9120276498376847E-3</v>
      </c>
      <c r="BS131" s="22">
        <f t="shared" si="63"/>
        <v>161.55753420383004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-2.2737367544323206E-13</v>
      </c>
      <c r="BZ131" s="13">
        <f>BY131*VLOOKUP('Données projet'!$B$12,Paramètres!$A$1:$I$89,3,0)*VLOOKUP('Données projet'!$B$12,Paramètres!$A$1:$I$89,5,0)</f>
        <v>-1.3596945791505279E-13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279.86432710889352</v>
      </c>
      <c r="CE131" s="59">
        <f t="shared" si="94"/>
        <v>297.01680128882509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33.004988982039997</v>
      </c>
      <c r="CL131" s="21">
        <f>EXP(-LN(2)/25)*CL130+(1-EXP(-LN(2)/25))/(LN(2)/25)*Calculateur!CG131*Calculateur!CI131*VLOOKUP('Données projet'!$B$12,Paramètres!$A$1:$I$89,3,0)*0.475*44/12</f>
        <v>16.616008670116759</v>
      </c>
      <c r="CM131" s="21">
        <f>EXP(-LN(2)/2)*CM130+(1-EXP(-LN(2)/2))/(LN(2)/2)*CG131*CJ131*VLOOKUP('Données projet'!$B$12,Paramètres!$A$1:$I$89,3,0)*0.475*44/12</f>
        <v>2.5122361441691178E-8</v>
      </c>
      <c r="CN131" s="22">
        <f t="shared" si="66"/>
        <v>49.620997677279121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-12.000000000000284</v>
      </c>
      <c r="CU131" s="17">
        <f>CT131*VLOOKUP('Données projet'!$B$13,Paramètres!$A$1:$I$89,3,0)*VLOOKUP('Données projet'!$B$13,Paramètres!$A$1:$I$89,5,0)</f>
        <v>-9.5472000000002257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314.6300257056194</v>
      </c>
      <c r="CZ131" s="59">
        <f t="shared" si="96"/>
        <v>298.00555477466668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54.920301495596028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54.920301495596028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-12.000000000000284</v>
      </c>
      <c r="DP131" s="17">
        <f>DO131*VLOOKUP('Données projet'!$B$14,Paramètres!$A$1:$I$89,3,0)*VLOOKUP('Données projet'!$B$14,Paramètres!$A$1:$I$89,5,0)</f>
        <v>-9.5472000000002257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314.6300257056194</v>
      </c>
      <c r="DU131" s="59">
        <f t="shared" si="98"/>
        <v>298.00555477466668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54.920301495596028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54.920301495596028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441.23846153846227</v>
      </c>
      <c r="EK131" s="17">
        <f>EJ131*VLOOKUP('Données projet'!$B$15,Paramètres!$A$1:$I$89,3,0)*VLOOKUP('Données projet'!$B$15,Paramètres!$A$1:$I$89,5,0)</f>
        <v>212.23570000000035</v>
      </c>
      <c r="EL131" s="13">
        <f t="shared" si="99"/>
        <v>52.423840876495639</v>
      </c>
      <c r="EM131" s="20">
        <f t="shared" si="73"/>
        <v>460.9487003598972</v>
      </c>
      <c r="EN131" s="59">
        <f t="shared" si="74"/>
        <v>754.28203369323046</v>
      </c>
      <c r="EO131" s="59">
        <f ca="1">AVERAGE(OFFSET($EN$3,0,0,'Données projet'!$E$15+1,1))-AVERAGE(OFFSET($H$3,0,0,'Données projet'!$E$15+1,1))</f>
        <v>238.83604534181978</v>
      </c>
      <c r="EP131" s="59">
        <f t="shared" si="100"/>
        <v>114.85152559837792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5.6843418860808015E-14</v>
      </c>
      <c r="FF131" s="17">
        <f>FE131*VLOOKUP('Données projet'!$B$16,Paramètres!$A$1:$I$89,3,0)*VLOOKUP('Données projet'!$B$16,Paramètres!$A$1:$I$89,5,0)</f>
        <v>4.6111381379887463E-14</v>
      </c>
      <c r="FG131" s="13">
        <f t="shared" si="101"/>
        <v>7.5804141040779151E-13</v>
      </c>
      <c r="FH131" s="20">
        <f t="shared" si="76"/>
        <v>1.4005661123635408E-12</v>
      </c>
      <c r="FI131" s="59">
        <f t="shared" si="77"/>
        <v>293.33333333333474</v>
      </c>
      <c r="FJ131" s="59">
        <f ca="1">AVERAGE(OFFSET($FI$3,0,0,'Données projet'!$E$16+1,1))-AVERAGE(OFFSET($H$3,0,0,'Données projet'!$E$16+1,1))</f>
        <v>196.95467273423861</v>
      </c>
      <c r="FK131" s="59">
        <f t="shared" si="102"/>
        <v>173.8709326829258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33.110480544565846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2.4559759456269926E-6</v>
      </c>
      <c r="FT131" s="22">
        <f t="shared" si="78"/>
        <v>33.110483000541791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5.6843418860808015E-14</v>
      </c>
      <c r="GA131" s="17">
        <f>FZ131*VLOOKUP('Données projet'!$B$17,Paramètres!$A$1:$I$89,3,0)*VLOOKUP('Données projet'!$B$17,Paramètres!$A$1:$I$89,5,0)</f>
        <v>6.1186256061773749E-14</v>
      </c>
      <c r="GB131" s="13">
        <f t="shared" si="103"/>
        <v>9.7328366192051127E-13</v>
      </c>
      <c r="GC131" s="20">
        <f t="shared" si="79"/>
        <v>1.8017017738191463E-12</v>
      </c>
      <c r="GD131" s="59">
        <f t="shared" si="80"/>
        <v>293.33333333333513</v>
      </c>
      <c r="GE131" s="59">
        <f ca="1">AVERAGE(OFFSET($GD$3,0,0,'Données projet'!$E$17+1,1))-AVERAGE(OFFSET($H$3,0,0,'Données projet'!$E$17+1,1))</f>
        <v>275.5229427552884</v>
      </c>
      <c r="GF131" s="59">
        <f t="shared" si="104"/>
        <v>241.20234081716143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43.935060722597001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3.2588911586204302E-6</v>
      </c>
      <c r="GO131" s="21">
        <f t="shared" si="81"/>
        <v>43.935063981488156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274.57619581652199</v>
      </c>
      <c r="T132" s="59">
        <f t="shared" si="88"/>
        <v>366.15117322598775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 t="e">
        <f>EXP(-LN(2)/35)*Z131+(1-EXP(-LN(2)/35))/(LN(2)/35)*V132*W132*VLOOKUP('Données projet'!$B$9,Paramètres!$A$1:$I$89,3,0)*0.475*44/12</f>
        <v>#VALUE!</v>
      </c>
      <c r="AA132" s="21" t="e">
        <f>EXP(-LN(2)/25)*AA131+(1-EXP(-LN(2)/25))/(LN(2)/25)*Calculateur!V132*Calculateur!X132*VLOOKUP('Données projet'!$B$9,Paramètres!$A$1:$I$89,3,0)*0.475*44/12</f>
        <v>#VALUE!</v>
      </c>
      <c r="AB132" s="21" t="e">
        <f>EXP(-LN(2)/2)*AB131+(1-EXP(-LN(2)/2))/(LN(2)/2)*V132*Y132*VLOOKUP('Données projet'!$B$9,Paramètres!$A$1:$I$89,3,0)*0.475*44/12</f>
        <v>#VALUE!</v>
      </c>
      <c r="AC132" s="22" t="e">
        <f t="shared" ref="AC132:AC153" si="111">SUM(Z132:AB132)</f>
        <v>#VALUE!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175.05987582828078</v>
      </c>
      <c r="AO132" s="59">
        <f t="shared" si="90"/>
        <v>268.54782308462387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42.924941838680496</v>
      </c>
      <c r="AV132" s="21">
        <f>EXP(-LN(2)/25)*AV131+(1-EXP(-LN(2)/25))/(LN(2)/25)*Calculateur!AQ132*Calculateur!AS132*VLOOKUP('Données projet'!$B$10,Paramètres!$A$1:$I$89,3,0)*0.475*44/12</f>
        <v>6.2218158005829896</v>
      </c>
      <c r="AW132" s="21">
        <f>EXP(-LN(2)/2)*AW131+(1-EXP(-LN(2)/2))/(LN(2)/2)*AQ132*AT132*VLOOKUP('Données projet'!$B$10,Paramètres!$A$1:$I$89,3,0)*0.475*44/12</f>
        <v>1.171363787824651E-9</v>
      </c>
      <c r="AX132" s="21">
        <f t="shared" ref="AX132:AX153" si="114">SUM(AU132:AW132)</f>
        <v>49.146757640434849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252.70779718608964</v>
      </c>
      <c r="BJ132" s="59">
        <f t="shared" si="92"/>
        <v>187.86969111712705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133.95350447115797</v>
      </c>
      <c r="BQ132" s="21">
        <f>EXP(-LN(2)/25)*BQ131+(1-EXP(-LN(2)/25))/(LN(2)/25)*Calculateur!BL132*Calculateur!BN132*VLOOKUP('Données projet'!$B$11,Paramètres!$A$1:$I$89,3,0)*0.475*44/12</f>
        <v>24.240343220601723</v>
      </c>
      <c r="BR132" s="21">
        <f>EXP(-LN(2)/2)*BR131+(1-EXP(-LN(2)/2))/(LN(2)/2)*BL132*BO132*VLOOKUP('Données projet'!$B$11,Paramètres!$A$1:$I$89,3,0)*0.475*44/12</f>
        <v>2.0591144982029519E-3</v>
      </c>
      <c r="BS132" s="22">
        <f t="shared" ref="BS132:BS153" si="117">SUM(BP132:BR132)</f>
        <v>158.19590680625788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-2.2737367544323206E-13</v>
      </c>
      <c r="BZ132" s="13">
        <f>BY132*VLOOKUP('Données projet'!$B$12,Paramètres!$A$1:$I$89,3,0)*VLOOKUP('Données projet'!$B$12,Paramètres!$A$1:$I$89,5,0)</f>
        <v>-1.3596945791505279E-13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279.86432710889352</v>
      </c>
      <c r="CE132" s="59">
        <f t="shared" si="94"/>
        <v>297.01680128882509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32.357781279157692</v>
      </c>
      <c r="CL132" s="21">
        <f>EXP(-LN(2)/25)*CL131+(1-EXP(-LN(2)/25))/(LN(2)/25)*Calculateur!CG132*Calculateur!CI132*VLOOKUP('Données projet'!$B$12,Paramètres!$A$1:$I$89,3,0)*0.475*44/12</f>
        <v>16.161643039234498</v>
      </c>
      <c r="CM132" s="21">
        <f>EXP(-LN(2)/2)*CM131+(1-EXP(-LN(2)/2))/(LN(2)/2)*CG132*CJ132*VLOOKUP('Données projet'!$B$12,Paramètres!$A$1:$I$89,3,0)*0.475*44/12</f>
        <v>1.7764192134839282E-8</v>
      </c>
      <c r="CN132" s="22">
        <f t="shared" ref="CN132:CN153" si="120">SUM(CK132:CM132)</f>
        <v>48.519424336156384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-12.000000000000284</v>
      </c>
      <c r="CU132" s="17">
        <f>CT132*VLOOKUP('Données projet'!$B$13,Paramètres!$A$1:$I$89,3,0)*VLOOKUP('Données projet'!$B$13,Paramètres!$A$1:$I$89,5,0)</f>
        <v>-9.5472000000002257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314.6300257056194</v>
      </c>
      <c r="CZ132" s="59">
        <f t="shared" si="96"/>
        <v>298.00555477466668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53.843347881343639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53.843347881343639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-12.000000000000284</v>
      </c>
      <c r="DP132" s="17">
        <f>DO132*VLOOKUP('Données projet'!$B$14,Paramètres!$A$1:$I$89,3,0)*VLOOKUP('Données projet'!$B$14,Paramètres!$A$1:$I$89,5,0)</f>
        <v>-9.5472000000002257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314.6300257056194</v>
      </c>
      <c r="DU132" s="59">
        <f t="shared" si="98"/>
        <v>298.00555477466668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53.843347881343639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53.843347881343639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441.23846153846227</v>
      </c>
      <c r="EK132" s="17">
        <f>EJ132*VLOOKUP('Données projet'!$B$15,Paramètres!$A$1:$I$89,3,0)*VLOOKUP('Données projet'!$B$15,Paramètres!$A$1:$I$89,5,0)</f>
        <v>212.23570000000035</v>
      </c>
      <c r="EL132" s="13">
        <f t="shared" si="99"/>
        <v>52.423840876495639</v>
      </c>
      <c r="EM132" s="20">
        <f t="shared" ref="EM132:EM153" si="127">(EK132+EL132)*0.475*44/12</f>
        <v>460.9487003598972</v>
      </c>
      <c r="EN132" s="59">
        <f t="shared" ref="EN132:EN195" si="128">EM132+(EE132+EF132)*44/12</f>
        <v>754.28203369323046</v>
      </c>
      <c r="EO132" s="59">
        <f ca="1">AVERAGE(OFFSET($EN$3,0,0,'Données projet'!$E$15+1,1))-AVERAGE(OFFSET($H$3,0,0,'Données projet'!$E$15+1,1))</f>
        <v>238.83604534181978</v>
      </c>
      <c r="EP132" s="59">
        <f t="shared" si="100"/>
        <v>114.85152559837792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5.6843418860808015E-14</v>
      </c>
      <c r="FF132" s="17">
        <f>FE132*VLOOKUP('Données projet'!$B$16,Paramètres!$A$1:$I$89,3,0)*VLOOKUP('Données projet'!$B$16,Paramètres!$A$1:$I$89,5,0)</f>
        <v>4.6111381379887463E-14</v>
      </c>
      <c r="FG132" s="13">
        <f t="shared" si="101"/>
        <v>7.5804141040779151E-13</v>
      </c>
      <c r="FH132" s="20">
        <f t="shared" ref="FH132:FH153" si="130">(FF132+FG132)*0.475*44/12</f>
        <v>1.4005661123635408E-12</v>
      </c>
      <c r="FI132" s="59">
        <f t="shared" ref="FI132:FI195" si="131">FH132+(EZ132+FA132)*44/12</f>
        <v>293.33333333333474</v>
      </c>
      <c r="FJ132" s="59">
        <f ca="1">AVERAGE(OFFSET($FI$3,0,0,'Données projet'!$E$16+1,1))-AVERAGE(OFFSET($H$3,0,0,'Données projet'!$E$16+1,1))</f>
        <v>196.95467273423861</v>
      </c>
      <c r="FK132" s="59">
        <f t="shared" si="102"/>
        <v>173.8709326829258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32.46120421648591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1.73663724558389E-6</v>
      </c>
      <c r="FT132" s="22">
        <f t="shared" ref="FT132:FT153" si="132">SUM(FQ132:FS132)</f>
        <v>32.461205953123155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5.6843418860808015E-14</v>
      </c>
      <c r="GA132" s="17">
        <f>FZ132*VLOOKUP('Données projet'!$B$17,Paramètres!$A$1:$I$89,3,0)*VLOOKUP('Données projet'!$B$17,Paramètres!$A$1:$I$89,5,0)</f>
        <v>6.1186256061773749E-14</v>
      </c>
      <c r="GB132" s="13">
        <f t="shared" si="103"/>
        <v>9.7328366192051127E-13</v>
      </c>
      <c r="GC132" s="20">
        <f t="shared" ref="GC132:GC153" si="133">(GA132+GB132)*0.475*44/12</f>
        <v>1.8017017738191463E-12</v>
      </c>
      <c r="GD132" s="59">
        <f t="shared" ref="GD132:GD195" si="134">GC132+(FU132+FV132)*44/12</f>
        <v>293.33333333333513</v>
      </c>
      <c r="GE132" s="59">
        <f ca="1">AVERAGE(OFFSET($GD$3,0,0,'Données projet'!$E$17+1,1))-AVERAGE(OFFSET($H$3,0,0,'Données projet'!$E$17+1,1))</f>
        <v>275.5229427552884</v>
      </c>
      <c r="GF132" s="59">
        <f t="shared" si="104"/>
        <v>241.20234081716143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43.07352097956786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2.3043840374093908E-6</v>
      </c>
      <c r="GO132" s="21">
        <f t="shared" ref="GO132:GO153" si="135">SUM(GL132:GN132)</f>
        <v>43.0735232839519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274.57619581652199</v>
      </c>
      <c r="T133" s="59">
        <f t="shared" ref="T133:T196" si="142">$T$3</f>
        <v>366.15117322598775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 t="e">
        <f>EXP(-LN(2)/35)*Z132+(1-EXP(-LN(2)/35))/(LN(2)/35)*V133*W133*VLOOKUP('Données projet'!$B$9,Paramètres!$A$1:$I$89,3,0)*0.475*44/12</f>
        <v>#VALUE!</v>
      </c>
      <c r="AA133" s="21" t="e">
        <f>EXP(-LN(2)/25)*AA132+(1-EXP(-LN(2)/25))/(LN(2)/25)*Calculateur!V133*Calculateur!X133*VLOOKUP('Données projet'!$B$9,Paramètres!$A$1:$I$89,3,0)*0.475*44/12</f>
        <v>#VALUE!</v>
      </c>
      <c r="AB133" s="21" t="e">
        <f>EXP(-LN(2)/2)*AB132+(1-EXP(-LN(2)/2))/(LN(2)/2)*V133*Y133*VLOOKUP('Données projet'!$B$9,Paramètres!$A$1:$I$89,3,0)*0.475*44/12</f>
        <v>#VALUE!</v>
      </c>
      <c r="AC133" s="22" t="e">
        <f t="shared" si="111"/>
        <v>#VALUE!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175.05987582828078</v>
      </c>
      <c r="AO133" s="59">
        <f t="shared" ref="AO133:AO196" si="144">$AO$3</f>
        <v>268.54782308462387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42.08320991085327</v>
      </c>
      <c r="AV133" s="21">
        <f>EXP(-LN(2)/25)*AV132+(1-EXP(-LN(2)/25))/(LN(2)/25)*Calculateur!AQ133*Calculateur!AS133*VLOOKUP('Données projet'!$B$10,Paramètres!$A$1:$I$89,3,0)*0.475*44/12</f>
        <v>6.0516799203249745</v>
      </c>
      <c r="AW133" s="21">
        <f>EXP(-LN(2)/2)*AW132+(1-EXP(-LN(2)/2))/(LN(2)/2)*AQ133*AT133*VLOOKUP('Données projet'!$B$10,Paramètres!$A$1:$I$89,3,0)*0.475*44/12</f>
        <v>8.2827927760717096E-10</v>
      </c>
      <c r="AX133" s="21">
        <f t="shared" si="114"/>
        <v>48.134889832006522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252.70779718608964</v>
      </c>
      <c r="BJ133" s="59">
        <f t="shared" ref="BJ133:BJ196" si="146">$BJ$3</f>
        <v>187.86969111712705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131.32675795204872</v>
      </c>
      <c r="BQ133" s="21">
        <f>EXP(-LN(2)/25)*BQ132+(1-EXP(-LN(2)/25))/(LN(2)/25)*Calculateur!BL133*Calculateur!BN133*VLOOKUP('Données projet'!$B$11,Paramètres!$A$1:$I$89,3,0)*0.475*44/12</f>
        <v>23.577489760490121</v>
      </c>
      <c r="BR133" s="21">
        <f>EXP(-LN(2)/2)*BR132+(1-EXP(-LN(2)/2))/(LN(2)/2)*BL133*BO133*VLOOKUP('Données projet'!$B$11,Paramètres!$A$1:$I$89,3,0)*0.475*44/12</f>
        <v>1.4560138249188424E-3</v>
      </c>
      <c r="BS133" s="22">
        <f t="shared" si="117"/>
        <v>154.90570372636375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-2.2737367544323206E-13</v>
      </c>
      <c r="BZ133" s="13">
        <f>BY133*VLOOKUP('Données projet'!$B$12,Paramètres!$A$1:$I$89,3,0)*VLOOKUP('Données projet'!$B$12,Paramètres!$A$1:$I$89,5,0)</f>
        <v>-1.3596945791505279E-13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279.86432710889352</v>
      </c>
      <c r="CE133" s="59">
        <f t="shared" ref="CE133:CE196" si="148">$CE$3</f>
        <v>297.01680128882509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31.723264924571193</v>
      </c>
      <c r="CL133" s="21">
        <f>EXP(-LN(2)/25)*CL132+(1-EXP(-LN(2)/25))/(LN(2)/25)*Calculateur!CG133*Calculateur!CI133*VLOOKUP('Données projet'!$B$12,Paramètres!$A$1:$I$89,3,0)*0.475*44/12</f>
        <v>15.719702060422762</v>
      </c>
      <c r="CM133" s="21">
        <f>EXP(-LN(2)/2)*CM132+(1-EXP(-LN(2)/2))/(LN(2)/2)*CG133*CJ133*VLOOKUP('Données projet'!$B$12,Paramètres!$A$1:$I$89,3,0)*0.475*44/12</f>
        <v>1.2561180720845589E-8</v>
      </c>
      <c r="CN133" s="22">
        <f t="shared" si="120"/>
        <v>47.442966997555139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-12.000000000000284</v>
      </c>
      <c r="CU133" s="17">
        <f>CT133*VLOOKUP('Données projet'!$B$13,Paramètres!$A$1:$I$89,3,0)*VLOOKUP('Données projet'!$B$13,Paramètres!$A$1:$I$89,5,0)</f>
        <v>-9.5472000000002257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314.6300257056194</v>
      </c>
      <c r="CZ133" s="59">
        <f t="shared" ref="CZ133:CZ196" si="150">$CZ$3</f>
        <v>298.00555477466668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52.787512670589898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52.787512670589898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-12.000000000000284</v>
      </c>
      <c r="DP133" s="17">
        <f>DO133*VLOOKUP('Données projet'!$B$14,Paramètres!$A$1:$I$89,3,0)*VLOOKUP('Données projet'!$B$14,Paramètres!$A$1:$I$89,5,0)</f>
        <v>-9.5472000000002257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314.6300257056194</v>
      </c>
      <c r="DU133" s="59">
        <f t="shared" ref="DU133:DU196" si="152">$DU$3</f>
        <v>298.00555477466668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52.787512670589898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52.787512670589898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441.23846153846227</v>
      </c>
      <c r="EK133" s="17">
        <f>EJ133*VLOOKUP('Données projet'!$B$15,Paramètres!$A$1:$I$89,3,0)*VLOOKUP('Données projet'!$B$15,Paramètres!$A$1:$I$89,5,0)</f>
        <v>212.23570000000035</v>
      </c>
      <c r="EL133" s="13">
        <f t="shared" ref="EL133:EL153" si="153">EXP(-1.0587+0.8836*LN(EK133)+0.284)</f>
        <v>52.423840876495639</v>
      </c>
      <c r="EM133" s="20">
        <f t="shared" si="127"/>
        <v>460.9487003598972</v>
      </c>
      <c r="EN133" s="59">
        <f t="shared" si="128"/>
        <v>754.28203369323046</v>
      </c>
      <c r="EO133" s="59">
        <f ca="1">AVERAGE(OFFSET($EN$3,0,0,'Données projet'!$E$15+1,1))-AVERAGE(OFFSET($H$3,0,0,'Données projet'!$E$15+1,1))</f>
        <v>238.83604534181978</v>
      </c>
      <c r="EP133" s="59">
        <f t="shared" ref="EP133:EP196" si="154">$EP$3</f>
        <v>114.85152559837792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5.6843418860808015E-14</v>
      </c>
      <c r="FF133" s="17">
        <f>FE133*VLOOKUP('Données projet'!$B$16,Paramètres!$A$1:$I$89,3,0)*VLOOKUP('Données projet'!$B$16,Paramètres!$A$1:$I$89,5,0)</f>
        <v>4.6111381379887463E-14</v>
      </c>
      <c r="FG133" s="13">
        <f t="shared" ref="FG133:FG153" si="155">EXP(-1.0587+0.8836*LN(FF133)+0.284)</f>
        <v>7.5804141040779151E-13</v>
      </c>
      <c r="FH133" s="20">
        <f t="shared" si="130"/>
        <v>1.4005661123635408E-12</v>
      </c>
      <c r="FI133" s="59">
        <f t="shared" si="131"/>
        <v>293.33333333333474</v>
      </c>
      <c r="FJ133" s="59">
        <f ca="1">AVERAGE(OFFSET($FI$3,0,0,'Données projet'!$E$16+1,1))-AVERAGE(OFFSET($H$3,0,0,'Données projet'!$E$16+1,1))</f>
        <v>196.95467273423861</v>
      </c>
      <c r="FK133" s="59">
        <f t="shared" ref="FK133:FK196" si="156">$FK$3</f>
        <v>173.8709326829258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31.824659801180168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1.2279879728134963E-6</v>
      </c>
      <c r="FT133" s="22">
        <f t="shared" si="132"/>
        <v>31.824661029168141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5.6843418860808015E-14</v>
      </c>
      <c r="GA133" s="17">
        <f>FZ133*VLOOKUP('Données projet'!$B$17,Paramètres!$A$1:$I$89,3,0)*VLOOKUP('Données projet'!$B$17,Paramètres!$A$1:$I$89,5,0)</f>
        <v>6.1186256061773749E-14</v>
      </c>
      <c r="GB133" s="13">
        <f t="shared" ref="GB133:GB153" si="157">EXP(-1.0587+0.8836*LN(GA133)+0.284)</f>
        <v>9.7328366192051127E-13</v>
      </c>
      <c r="GC133" s="20">
        <f t="shared" si="133"/>
        <v>1.8017017738191463E-12</v>
      </c>
      <c r="GD133" s="59">
        <f t="shared" si="134"/>
        <v>293.33333333333513</v>
      </c>
      <c r="GE133" s="59">
        <f ca="1">AVERAGE(OFFSET($GD$3,0,0,'Données projet'!$E$17+1,1))-AVERAGE(OFFSET($H$3,0,0,'Données projet'!$E$17+1,1))</f>
        <v>275.5229427552884</v>
      </c>
      <c r="GF133" s="59">
        <f t="shared" ref="GF133:GF196" si="158">$GF$3</f>
        <v>241.20234081716143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42.228875505412162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1.6294455793102151E-6</v>
      </c>
      <c r="GO133" s="21">
        <f t="shared" si="135"/>
        <v>42.22887713485774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274.57619581652199</v>
      </c>
      <c r="T134" s="59">
        <f t="shared" si="142"/>
        <v>366.15117322598775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 t="e">
        <f>EXP(-LN(2)/35)*Z133+(1-EXP(-LN(2)/35))/(LN(2)/35)*V134*W134*VLOOKUP('Données projet'!$B$9,Paramètres!$A$1:$I$89,3,0)*0.475*44/12</f>
        <v>#VALUE!</v>
      </c>
      <c r="AA134" s="21" t="e">
        <f>EXP(-LN(2)/25)*AA133+(1-EXP(-LN(2)/25))/(LN(2)/25)*Calculateur!V134*Calculateur!X134*VLOOKUP('Données projet'!$B$9,Paramètres!$A$1:$I$89,3,0)*0.475*44/12</f>
        <v>#VALUE!</v>
      </c>
      <c r="AB134" s="21" t="e">
        <f>EXP(-LN(2)/2)*AB133+(1-EXP(-LN(2)/2))/(LN(2)/2)*V134*Y134*VLOOKUP('Données projet'!$B$9,Paramètres!$A$1:$I$89,3,0)*0.475*44/12</f>
        <v>#VALUE!</v>
      </c>
      <c r="AC134" s="22" t="e">
        <f t="shared" si="111"/>
        <v>#VALUE!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175.05987582828078</v>
      </c>
      <c r="AO134" s="59">
        <f t="shared" si="144"/>
        <v>268.54782308462387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41.257983832724953</v>
      </c>
      <c r="AV134" s="21">
        <f>EXP(-LN(2)/25)*AV133+(1-EXP(-LN(2)/25))/(LN(2)/25)*Calculateur!AQ134*Calculateur!AS134*VLOOKUP('Données projet'!$B$10,Paramètres!$A$1:$I$89,3,0)*0.475*44/12</f>
        <v>5.8861964146596719</v>
      </c>
      <c r="AW134" s="21">
        <f>EXP(-LN(2)/2)*AW133+(1-EXP(-LN(2)/2))/(LN(2)/2)*AQ134*AT134*VLOOKUP('Données projet'!$B$10,Paramètres!$A$1:$I$89,3,0)*0.475*44/12</f>
        <v>5.8568189391232548E-10</v>
      </c>
      <c r="AX134" s="21">
        <f t="shared" si="114"/>
        <v>47.144180247970304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252.70779718608964</v>
      </c>
      <c r="BJ134" s="59">
        <f t="shared" si="146"/>
        <v>187.86969111712705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128.75152033002203</v>
      </c>
      <c r="BQ134" s="21">
        <f>EXP(-LN(2)/25)*BQ133+(1-EXP(-LN(2)/25))/(LN(2)/25)*Calculateur!BL134*Calculateur!BN134*VLOOKUP('Données projet'!$B$11,Paramètres!$A$1:$I$89,3,0)*0.475*44/12</f>
        <v>22.932762063103219</v>
      </c>
      <c r="BR134" s="21">
        <f>EXP(-LN(2)/2)*BR133+(1-EXP(-LN(2)/2))/(LN(2)/2)*BL134*BO134*VLOOKUP('Données projet'!$B$11,Paramètres!$A$1:$I$89,3,0)*0.475*44/12</f>
        <v>1.0295572491014759E-3</v>
      </c>
      <c r="BS134" s="22">
        <f t="shared" si="117"/>
        <v>151.68531195037434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-2.2737367544323206E-13</v>
      </c>
      <c r="BZ134" s="13">
        <f>BY134*VLOOKUP('Données projet'!$B$12,Paramètres!$A$1:$I$89,3,0)*VLOOKUP('Données projet'!$B$12,Paramètres!$A$1:$I$89,5,0)</f>
        <v>-1.3596945791505279E-13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279.86432710889352</v>
      </c>
      <c r="CE134" s="59">
        <f t="shared" si="148"/>
        <v>297.01680128882509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31.101191048681372</v>
      </c>
      <c r="CL134" s="21">
        <f>EXP(-LN(2)/25)*CL133+(1-EXP(-LN(2)/25))/(LN(2)/25)*Calculateur!CG134*Calculateur!CI134*VLOOKUP('Données projet'!$B$12,Paramètres!$A$1:$I$89,3,0)*0.475*44/12</f>
        <v>15.289845980917297</v>
      </c>
      <c r="CM134" s="21">
        <f>EXP(-LN(2)/2)*CM133+(1-EXP(-LN(2)/2))/(LN(2)/2)*CG134*CJ134*VLOOKUP('Données projet'!$B$12,Paramètres!$A$1:$I$89,3,0)*0.475*44/12</f>
        <v>8.8820960674196409E-9</v>
      </c>
      <c r="CN134" s="22">
        <f t="shared" si="120"/>
        <v>46.391037038480768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-12.000000000000284</v>
      </c>
      <c r="CU134" s="17">
        <f>CT134*VLOOKUP('Données projet'!$B$13,Paramètres!$A$1:$I$89,3,0)*VLOOKUP('Données projet'!$B$13,Paramètres!$A$1:$I$89,5,0)</f>
        <v>-9.5472000000002257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314.6300257056194</v>
      </c>
      <c r="CZ134" s="59">
        <f t="shared" si="150"/>
        <v>298.00555477466668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51.752381744323152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51.752381744323152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-12.000000000000284</v>
      </c>
      <c r="DP134" s="17">
        <f>DO134*VLOOKUP('Données projet'!$B$14,Paramètres!$A$1:$I$89,3,0)*VLOOKUP('Données projet'!$B$14,Paramètres!$A$1:$I$89,5,0)</f>
        <v>-9.5472000000002257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314.6300257056194</v>
      </c>
      <c r="DU134" s="59">
        <f t="shared" si="152"/>
        <v>298.00555477466668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51.752381744323152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51.752381744323152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441.23846153846227</v>
      </c>
      <c r="EK134" s="17">
        <f>EJ134*VLOOKUP('Données projet'!$B$15,Paramètres!$A$1:$I$89,3,0)*VLOOKUP('Données projet'!$B$15,Paramètres!$A$1:$I$89,5,0)</f>
        <v>212.23570000000035</v>
      </c>
      <c r="EL134" s="13">
        <f t="shared" si="153"/>
        <v>52.423840876495639</v>
      </c>
      <c r="EM134" s="20">
        <f t="shared" si="127"/>
        <v>460.9487003598972</v>
      </c>
      <c r="EN134" s="59">
        <f t="shared" si="128"/>
        <v>754.28203369323046</v>
      </c>
      <c r="EO134" s="59">
        <f ca="1">AVERAGE(OFFSET($EN$3,0,0,'Données projet'!$E$15+1,1))-AVERAGE(OFFSET($H$3,0,0,'Données projet'!$E$15+1,1))</f>
        <v>238.83604534181978</v>
      </c>
      <c r="EP134" s="59">
        <f t="shared" si="154"/>
        <v>114.85152559837792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5.6843418860808015E-14</v>
      </c>
      <c r="FF134" s="17">
        <f>FE134*VLOOKUP('Données projet'!$B$16,Paramètres!$A$1:$I$89,3,0)*VLOOKUP('Données projet'!$B$16,Paramètres!$A$1:$I$89,5,0)</f>
        <v>4.6111381379887463E-14</v>
      </c>
      <c r="FG134" s="13">
        <f t="shared" si="155"/>
        <v>7.5804141040779151E-13</v>
      </c>
      <c r="FH134" s="20">
        <f t="shared" si="130"/>
        <v>1.4005661123635408E-12</v>
      </c>
      <c r="FI134" s="59">
        <f t="shared" si="131"/>
        <v>293.33333333333474</v>
      </c>
      <c r="FJ134" s="59">
        <f ca="1">AVERAGE(OFFSET($FI$3,0,0,'Données projet'!$E$16+1,1))-AVERAGE(OFFSET($H$3,0,0,'Données projet'!$E$16+1,1))</f>
        <v>196.95467273423861</v>
      </c>
      <c r="FK134" s="59">
        <f t="shared" si="156"/>
        <v>173.8709326829258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31.200597633604815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8.6831862279194501E-7</v>
      </c>
      <c r="FT134" s="22">
        <f t="shared" si="132"/>
        <v>31.200598501923437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5.6843418860808015E-14</v>
      </c>
      <c r="GA134" s="17">
        <f>FZ134*VLOOKUP('Données projet'!$B$17,Paramètres!$A$1:$I$89,3,0)*VLOOKUP('Données projet'!$B$17,Paramètres!$A$1:$I$89,5,0)</f>
        <v>6.1186256061773749E-14</v>
      </c>
      <c r="GB134" s="13">
        <f t="shared" si="157"/>
        <v>9.7328366192051127E-13</v>
      </c>
      <c r="GC134" s="20">
        <f t="shared" si="133"/>
        <v>1.8017017738191463E-12</v>
      </c>
      <c r="GD134" s="59">
        <f t="shared" si="134"/>
        <v>293.33333333333513</v>
      </c>
      <c r="GE134" s="59">
        <f ca="1">AVERAGE(OFFSET($GD$3,0,0,'Données projet'!$E$17+1,1))-AVERAGE(OFFSET($H$3,0,0,'Données projet'!$E$17+1,1))</f>
        <v>275.5229427552884</v>
      </c>
      <c r="GF134" s="59">
        <f t="shared" si="158"/>
        <v>241.20234081716143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41.40079301382179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1.1521920187046954E-6</v>
      </c>
      <c r="GO134" s="21">
        <f t="shared" si="135"/>
        <v>41.40079416601381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274.57619581652199</v>
      </c>
      <c r="T135" s="59">
        <f t="shared" si="142"/>
        <v>366.15117322598775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 t="e">
        <f>EXP(-LN(2)/35)*Z134+(1-EXP(-LN(2)/35))/(LN(2)/35)*V135*W135*VLOOKUP('Données projet'!$B$9,Paramètres!$A$1:$I$89,3,0)*0.475*44/12</f>
        <v>#VALUE!</v>
      </c>
      <c r="AA135" s="21" t="e">
        <f>EXP(-LN(2)/25)*AA134+(1-EXP(-LN(2)/25))/(LN(2)/25)*Calculateur!V135*Calculateur!X135*VLOOKUP('Données projet'!$B$9,Paramètres!$A$1:$I$89,3,0)*0.475*44/12</f>
        <v>#VALUE!</v>
      </c>
      <c r="AB135" s="21" t="e">
        <f>EXP(-LN(2)/2)*AB134+(1-EXP(-LN(2)/2))/(LN(2)/2)*V135*Y135*VLOOKUP('Données projet'!$B$9,Paramètres!$A$1:$I$89,3,0)*0.475*44/12</f>
        <v>#VALUE!</v>
      </c>
      <c r="AC135" s="22" t="e">
        <f t="shared" si="111"/>
        <v>#VALUE!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175.05987582828078</v>
      </c>
      <c r="AO135" s="59">
        <f t="shared" si="144"/>
        <v>268.54782308462387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40.448939934650532</v>
      </c>
      <c r="AV135" s="21">
        <f>EXP(-LN(2)/25)*AV134+(1-EXP(-LN(2)/25))/(LN(2)/25)*Calculateur!AQ135*Calculateur!AS135*VLOOKUP('Données projet'!$B$10,Paramètres!$A$1:$I$89,3,0)*0.475*44/12</f>
        <v>5.7252380641591865</v>
      </c>
      <c r="AW135" s="21">
        <f>EXP(-LN(2)/2)*AW134+(1-EXP(-LN(2)/2))/(LN(2)/2)*AQ135*AT135*VLOOKUP('Données projet'!$B$10,Paramètres!$A$1:$I$89,3,0)*0.475*44/12</f>
        <v>4.1413963880358548E-10</v>
      </c>
      <c r="AX135" s="21">
        <f t="shared" si="114"/>
        <v>46.174177999223858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252.70779718608964</v>
      </c>
      <c r="BJ135" s="59">
        <f t="shared" si="146"/>
        <v>187.86969111712705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126.22678154702344</v>
      </c>
      <c r="BQ135" s="21">
        <f>EXP(-LN(2)/25)*BQ134+(1-EXP(-LN(2)/25))/(LN(2)/25)*Calculateur!BL135*Calculateur!BN135*VLOOKUP('Données projet'!$B$11,Paramètres!$A$1:$I$89,3,0)*0.475*44/12</f>
        <v>22.305664478506117</v>
      </c>
      <c r="BR135" s="21">
        <f>EXP(-LN(2)/2)*BR134+(1-EXP(-LN(2)/2))/(LN(2)/2)*BL135*BO135*VLOOKUP('Données projet'!$B$11,Paramètres!$A$1:$I$89,3,0)*0.475*44/12</f>
        <v>7.2800691245942118E-4</v>
      </c>
      <c r="BS135" s="22">
        <f t="shared" si="117"/>
        <v>148.53317403244202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-2.2737367544323206E-13</v>
      </c>
      <c r="BZ135" s="13">
        <f>BY135*VLOOKUP('Données projet'!$B$12,Paramètres!$A$1:$I$89,3,0)*VLOOKUP('Données projet'!$B$12,Paramètres!$A$1:$I$89,5,0)</f>
        <v>-1.3596945791505279E-13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279.86432710889352</v>
      </c>
      <c r="CE135" s="59">
        <f t="shared" si="148"/>
        <v>297.01680128882509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30.491315662070154</v>
      </c>
      <c r="CL135" s="21">
        <f>EXP(-LN(2)/25)*CL134+(1-EXP(-LN(2)/25))/(LN(2)/25)*Calculateur!CG135*Calculateur!CI135*VLOOKUP('Données projet'!$B$12,Paramètres!$A$1:$I$89,3,0)*0.475*44/12</f>
        <v>14.871744338511059</v>
      </c>
      <c r="CM135" s="21">
        <f>EXP(-LN(2)/2)*CM134+(1-EXP(-LN(2)/2))/(LN(2)/2)*CG135*CJ135*VLOOKUP('Données projet'!$B$12,Paramètres!$A$1:$I$89,3,0)*0.475*44/12</f>
        <v>6.2805903604227944E-9</v>
      </c>
      <c r="CN135" s="22">
        <f t="shared" si="120"/>
        <v>45.363060006861808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-12.000000000000284</v>
      </c>
      <c r="CU135" s="17">
        <f>CT135*VLOOKUP('Données projet'!$B$13,Paramètres!$A$1:$I$89,3,0)*VLOOKUP('Données projet'!$B$13,Paramètres!$A$1:$I$89,5,0)</f>
        <v>-9.5472000000002257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314.6300257056194</v>
      </c>
      <c r="CZ135" s="59">
        <f t="shared" si="150"/>
        <v>298.00555477466668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50.737549104152968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50.737549104152968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-12.000000000000284</v>
      </c>
      <c r="DP135" s="17">
        <f>DO135*VLOOKUP('Données projet'!$B$14,Paramètres!$A$1:$I$89,3,0)*VLOOKUP('Données projet'!$B$14,Paramètres!$A$1:$I$89,5,0)</f>
        <v>-9.5472000000002257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314.6300257056194</v>
      </c>
      <c r="DU135" s="59">
        <f t="shared" si="152"/>
        <v>298.00555477466668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50.737549104152968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50.737549104152968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441.23846153846227</v>
      </c>
      <c r="EK135" s="17">
        <f>EJ135*VLOOKUP('Données projet'!$B$15,Paramètres!$A$1:$I$89,3,0)*VLOOKUP('Données projet'!$B$15,Paramètres!$A$1:$I$89,5,0)</f>
        <v>212.23570000000035</v>
      </c>
      <c r="EL135" s="13">
        <f t="shared" si="153"/>
        <v>52.423840876495639</v>
      </c>
      <c r="EM135" s="20">
        <f t="shared" si="127"/>
        <v>460.9487003598972</v>
      </c>
      <c r="EN135" s="59">
        <f t="shared" si="128"/>
        <v>754.28203369323046</v>
      </c>
      <c r="EO135" s="59">
        <f ca="1">AVERAGE(OFFSET($EN$3,0,0,'Données projet'!$E$15+1,1))-AVERAGE(OFFSET($H$3,0,0,'Données projet'!$E$15+1,1))</f>
        <v>238.83604534181978</v>
      </c>
      <c r="EP135" s="59">
        <f t="shared" si="154"/>
        <v>114.85152559837792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5.6843418860808015E-14</v>
      </c>
      <c r="FF135" s="17">
        <f>FE135*VLOOKUP('Données projet'!$B$16,Paramètres!$A$1:$I$89,3,0)*VLOOKUP('Données projet'!$B$16,Paramètres!$A$1:$I$89,5,0)</f>
        <v>4.6111381379887463E-14</v>
      </c>
      <c r="FG135" s="13">
        <f t="shared" si="155"/>
        <v>7.5804141040779151E-13</v>
      </c>
      <c r="FH135" s="20">
        <f t="shared" si="130"/>
        <v>1.4005661123635408E-12</v>
      </c>
      <c r="FI135" s="59">
        <f t="shared" si="131"/>
        <v>293.33333333333474</v>
      </c>
      <c r="FJ135" s="59">
        <f ca="1">AVERAGE(OFFSET($FI$3,0,0,'Données projet'!$E$16+1,1))-AVERAGE(OFFSET($H$3,0,0,'Données projet'!$E$16+1,1))</f>
        <v>196.95467273423861</v>
      </c>
      <c r="FK135" s="59">
        <f t="shared" si="156"/>
        <v>173.8709326829258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30.588772944495275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6.1399398640674815E-7</v>
      </c>
      <c r="FT135" s="22">
        <f t="shared" si="132"/>
        <v>30.588773558489262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5.6843418860808015E-14</v>
      </c>
      <c r="GA135" s="17">
        <f>FZ135*VLOOKUP('Données projet'!$B$17,Paramètres!$A$1:$I$89,3,0)*VLOOKUP('Données projet'!$B$17,Paramètres!$A$1:$I$89,5,0)</f>
        <v>6.1186256061773749E-14</v>
      </c>
      <c r="GB135" s="13">
        <f t="shared" si="157"/>
        <v>9.7328366192051127E-13</v>
      </c>
      <c r="GC135" s="20">
        <f t="shared" si="133"/>
        <v>1.8017017738191463E-12</v>
      </c>
      <c r="GD135" s="59">
        <f t="shared" si="134"/>
        <v>293.33333333333513</v>
      </c>
      <c r="GE135" s="59">
        <f ca="1">AVERAGE(OFFSET($GD$3,0,0,'Données projet'!$E$17+1,1))-AVERAGE(OFFSET($H$3,0,0,'Données projet'!$E$17+1,1))</f>
        <v>275.5229427552884</v>
      </c>
      <c r="GF135" s="59">
        <f t="shared" si="158"/>
        <v>241.20234081716143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40.588948714811053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8.1472278965510755E-7</v>
      </c>
      <c r="GO135" s="21">
        <f t="shared" si="135"/>
        <v>40.588949529533842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274.57619581652199</v>
      </c>
      <c r="T136" s="59">
        <f t="shared" si="142"/>
        <v>366.15117322598775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 t="e">
        <f>EXP(-LN(2)/35)*Z135+(1-EXP(-LN(2)/35))/(LN(2)/35)*V136*W136*VLOOKUP('Données projet'!$B$9,Paramètres!$A$1:$I$89,3,0)*0.475*44/12</f>
        <v>#VALUE!</v>
      </c>
      <c r="AA136" s="21" t="e">
        <f>EXP(-LN(2)/25)*AA135+(1-EXP(-LN(2)/25))/(LN(2)/25)*Calculateur!V136*Calculateur!X136*VLOOKUP('Données projet'!$B$9,Paramètres!$A$1:$I$89,3,0)*0.475*44/12</f>
        <v>#VALUE!</v>
      </c>
      <c r="AB136" s="21" t="e">
        <f>EXP(-LN(2)/2)*AB135+(1-EXP(-LN(2)/2))/(LN(2)/2)*V136*Y136*VLOOKUP('Données projet'!$B$9,Paramètres!$A$1:$I$89,3,0)*0.475*44/12</f>
        <v>#VALUE!</v>
      </c>
      <c r="AC136" s="22" t="e">
        <f t="shared" si="111"/>
        <v>#VALUE!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175.05987582828078</v>
      </c>
      <c r="AO136" s="59">
        <f t="shared" si="144"/>
        <v>268.54782308462387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39.655760893949292</v>
      </c>
      <c r="AV136" s="21">
        <f>EXP(-LN(2)/25)*AV135+(1-EXP(-LN(2)/25))/(LN(2)/25)*Calculateur!AQ136*Calculateur!AS136*VLOOKUP('Données projet'!$B$10,Paramètres!$A$1:$I$89,3,0)*0.475*44/12</f>
        <v>5.5686811282175688</v>
      </c>
      <c r="AW136" s="21">
        <f>EXP(-LN(2)/2)*AW135+(1-EXP(-LN(2)/2))/(LN(2)/2)*AQ136*AT136*VLOOKUP('Données projet'!$B$10,Paramètres!$A$1:$I$89,3,0)*0.475*44/12</f>
        <v>2.9284094695616274E-10</v>
      </c>
      <c r="AX136" s="21">
        <f t="shared" si="114"/>
        <v>45.224442022459705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252.70779718608964</v>
      </c>
      <c r="BJ136" s="59">
        <f t="shared" si="146"/>
        <v>187.86969111712705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123.75155135162085</v>
      </c>
      <c r="BQ136" s="21">
        <f>EXP(-LN(2)/25)*BQ135+(1-EXP(-LN(2)/25))/(LN(2)/25)*Calculateur!BL136*Calculateur!BN136*VLOOKUP('Données projet'!$B$11,Paramètres!$A$1:$I$89,3,0)*0.475*44/12</f>
        <v>21.695714910337454</v>
      </c>
      <c r="BR136" s="21">
        <f>EXP(-LN(2)/2)*BR135+(1-EXP(-LN(2)/2))/(LN(2)/2)*BL136*BO136*VLOOKUP('Données projet'!$B$11,Paramètres!$A$1:$I$89,3,0)*0.475*44/12</f>
        <v>5.1477862455073797E-4</v>
      </c>
      <c r="BS136" s="22">
        <f t="shared" si="117"/>
        <v>145.44778104058287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-2.2737367544323206E-13</v>
      </c>
      <c r="BZ136" s="13">
        <f>BY136*VLOOKUP('Données projet'!$B$12,Paramètres!$A$1:$I$89,3,0)*VLOOKUP('Données projet'!$B$12,Paramètres!$A$1:$I$89,5,0)</f>
        <v>-1.3596945791505279E-13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279.86432710889352</v>
      </c>
      <c r="CE136" s="59">
        <f t="shared" si="148"/>
        <v>297.01680128882509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29.893399559803125</v>
      </c>
      <c r="CL136" s="21">
        <f>EXP(-LN(2)/25)*CL135+(1-EXP(-LN(2)/25))/(LN(2)/25)*Calculateur!CG136*Calculateur!CI136*VLOOKUP('Données projet'!$B$12,Paramètres!$A$1:$I$89,3,0)*0.475*44/12</f>
        <v>14.465075707503429</v>
      </c>
      <c r="CM136" s="21">
        <f>EXP(-LN(2)/2)*CM135+(1-EXP(-LN(2)/2))/(LN(2)/2)*CG136*CJ136*VLOOKUP('Données projet'!$B$12,Paramètres!$A$1:$I$89,3,0)*0.475*44/12</f>
        <v>4.4410480337098205E-9</v>
      </c>
      <c r="CN136" s="22">
        <f t="shared" si="120"/>
        <v>44.358475271747601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-12.000000000000284</v>
      </c>
      <c r="CU136" s="17">
        <f>CT136*VLOOKUP('Données projet'!$B$13,Paramètres!$A$1:$I$89,3,0)*VLOOKUP('Données projet'!$B$13,Paramètres!$A$1:$I$89,5,0)</f>
        <v>-9.5472000000002257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314.6300257056194</v>
      </c>
      <c r="CZ136" s="59">
        <f t="shared" si="150"/>
        <v>298.00555477466668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49.742616713069737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49.742616713069737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-12.000000000000284</v>
      </c>
      <c r="DP136" s="17">
        <f>DO136*VLOOKUP('Données projet'!$B$14,Paramètres!$A$1:$I$89,3,0)*VLOOKUP('Données projet'!$B$14,Paramètres!$A$1:$I$89,5,0)</f>
        <v>-9.5472000000002257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314.6300257056194</v>
      </c>
      <c r="DU136" s="59">
        <f t="shared" si="152"/>
        <v>298.00555477466668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49.742616713069737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49.742616713069737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441.23846153846227</v>
      </c>
      <c r="EK136" s="17">
        <f>EJ136*VLOOKUP('Données projet'!$B$15,Paramètres!$A$1:$I$89,3,0)*VLOOKUP('Données projet'!$B$15,Paramètres!$A$1:$I$89,5,0)</f>
        <v>212.23570000000035</v>
      </c>
      <c r="EL136" s="13">
        <f t="shared" si="153"/>
        <v>52.423840876495639</v>
      </c>
      <c r="EM136" s="20">
        <f t="shared" si="127"/>
        <v>460.9487003598972</v>
      </c>
      <c r="EN136" s="59">
        <f t="shared" si="128"/>
        <v>754.28203369323046</v>
      </c>
      <c r="EO136" s="59">
        <f ca="1">AVERAGE(OFFSET($EN$3,0,0,'Données projet'!$E$15+1,1))-AVERAGE(OFFSET($H$3,0,0,'Données projet'!$E$15+1,1))</f>
        <v>238.83604534181978</v>
      </c>
      <c r="EP136" s="59">
        <f t="shared" si="154"/>
        <v>114.85152559837792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5.6843418860808015E-14</v>
      </c>
      <c r="FF136" s="17">
        <f>FE136*VLOOKUP('Données projet'!$B$16,Paramètres!$A$1:$I$89,3,0)*VLOOKUP('Données projet'!$B$16,Paramètres!$A$1:$I$89,5,0)</f>
        <v>4.6111381379887463E-14</v>
      </c>
      <c r="FG136" s="13">
        <f t="shared" si="155"/>
        <v>7.5804141040779151E-13</v>
      </c>
      <c r="FH136" s="20">
        <f t="shared" si="130"/>
        <v>1.4005661123635408E-12</v>
      </c>
      <c r="FI136" s="59">
        <f t="shared" si="131"/>
        <v>293.33333333333474</v>
      </c>
      <c r="FJ136" s="59">
        <f ca="1">AVERAGE(OFFSET($FI$3,0,0,'Données projet'!$E$16+1,1))-AVERAGE(OFFSET($H$3,0,0,'Données projet'!$E$16+1,1))</f>
        <v>196.95467273423861</v>
      </c>
      <c r="FK136" s="59">
        <f t="shared" si="156"/>
        <v>173.8709326829258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29.988945764362963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4.341593113959725E-7</v>
      </c>
      <c r="FT136" s="22">
        <f t="shared" si="132"/>
        <v>29.988946198522274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5.6843418860808015E-14</v>
      </c>
      <c r="GA136" s="17">
        <f>FZ136*VLOOKUP('Données projet'!$B$17,Paramètres!$A$1:$I$89,3,0)*VLOOKUP('Données projet'!$B$17,Paramètres!$A$1:$I$89,5,0)</f>
        <v>6.1186256061773749E-14</v>
      </c>
      <c r="GB136" s="13">
        <f t="shared" si="157"/>
        <v>9.7328366192051127E-13</v>
      </c>
      <c r="GC136" s="20">
        <f t="shared" si="133"/>
        <v>1.8017017738191463E-12</v>
      </c>
      <c r="GD136" s="59">
        <f t="shared" si="134"/>
        <v>293.33333333333513</v>
      </c>
      <c r="GE136" s="59">
        <f ca="1">AVERAGE(OFFSET($GD$3,0,0,'Données projet'!$E$17+1,1))-AVERAGE(OFFSET($H$3,0,0,'Données projet'!$E$17+1,1))</f>
        <v>275.5229427552884</v>
      </c>
      <c r="GF136" s="59">
        <f t="shared" si="158"/>
        <v>241.20234081716143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39.793024187327795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5.7609600935234771E-7</v>
      </c>
      <c r="GO136" s="21">
        <f t="shared" si="135"/>
        <v>39.793024763423801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274.57619581652199</v>
      </c>
      <c r="T137" s="59">
        <f t="shared" si="142"/>
        <v>366.15117322598775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 t="e">
        <f>EXP(-LN(2)/35)*Z136+(1-EXP(-LN(2)/35))/(LN(2)/35)*V137*W137*VLOOKUP('Données projet'!$B$9,Paramètres!$A$1:$I$89,3,0)*0.475*44/12</f>
        <v>#VALUE!</v>
      </c>
      <c r="AA137" s="21" t="e">
        <f>EXP(-LN(2)/25)*AA136+(1-EXP(-LN(2)/25))/(LN(2)/25)*Calculateur!V137*Calculateur!X137*VLOOKUP('Données projet'!$B$9,Paramètres!$A$1:$I$89,3,0)*0.475*44/12</f>
        <v>#VALUE!</v>
      </c>
      <c r="AB137" s="21" t="e">
        <f>EXP(-LN(2)/2)*AB136+(1-EXP(-LN(2)/2))/(LN(2)/2)*V137*Y137*VLOOKUP('Données projet'!$B$9,Paramètres!$A$1:$I$89,3,0)*0.475*44/12</f>
        <v>#VALUE!</v>
      </c>
      <c r="AC137" s="22" t="e">
        <f t="shared" si="111"/>
        <v>#VALUE!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175.05987582828078</v>
      </c>
      <c r="AO137" s="59">
        <f t="shared" si="144"/>
        <v>268.54782308462387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38.878135610444765</v>
      </c>
      <c r="AV137" s="21">
        <f>EXP(-LN(2)/25)*AV136+(1-EXP(-LN(2)/25))/(LN(2)/25)*Calculateur!AQ137*Calculateur!AS137*VLOOKUP('Données projet'!$B$10,Paramètres!$A$1:$I$89,3,0)*0.475*44/12</f>
        <v>5.4164052499222466</v>
      </c>
      <c r="AW137" s="21">
        <f>EXP(-LN(2)/2)*AW136+(1-EXP(-LN(2)/2))/(LN(2)/2)*AQ137*AT137*VLOOKUP('Données projet'!$B$10,Paramètres!$A$1:$I$89,3,0)*0.475*44/12</f>
        <v>2.0706981940179274E-10</v>
      </c>
      <c r="AX137" s="21">
        <f t="shared" si="114"/>
        <v>44.294540860574081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252.70779718608964</v>
      </c>
      <c r="BJ137" s="59">
        <f t="shared" si="146"/>
        <v>187.86969111712705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121.32485891060875</v>
      </c>
      <c r="BQ137" s="21">
        <f>EXP(-LN(2)/25)*BQ136+(1-EXP(-LN(2)/25))/(LN(2)/25)*Calculateur!BL137*Calculateur!BN137*VLOOKUP('Données projet'!$B$11,Paramètres!$A$1:$I$89,3,0)*0.475*44/12</f>
        <v>21.102444445186215</v>
      </c>
      <c r="BR137" s="21">
        <f>EXP(-LN(2)/2)*BR136+(1-EXP(-LN(2)/2))/(LN(2)/2)*BL137*BO137*VLOOKUP('Données projet'!$B$11,Paramètres!$A$1:$I$89,3,0)*0.475*44/12</f>
        <v>3.6400345622971059E-4</v>
      </c>
      <c r="BS137" s="22">
        <f t="shared" si="117"/>
        <v>142.42766735925122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-2.2737367544323206E-13</v>
      </c>
      <c r="BZ137" s="13">
        <f>BY137*VLOOKUP('Données projet'!$B$12,Paramètres!$A$1:$I$89,3,0)*VLOOKUP('Données projet'!$B$12,Paramètres!$A$1:$I$89,5,0)</f>
        <v>-1.3596945791505279E-13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279.86432710889352</v>
      </c>
      <c r="CE137" s="59">
        <f t="shared" si="148"/>
        <v>297.01680128882509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29.30720822760874</v>
      </c>
      <c r="CL137" s="21">
        <f>EXP(-LN(2)/25)*CL136+(1-EXP(-LN(2)/25))/(LN(2)/25)*Calculateur!CG137*Calculateur!CI137*VLOOKUP('Données projet'!$B$12,Paramètres!$A$1:$I$89,3,0)*0.475*44/12</f>
        <v>14.069527451596477</v>
      </c>
      <c r="CM137" s="21">
        <f>EXP(-LN(2)/2)*CM136+(1-EXP(-LN(2)/2))/(LN(2)/2)*CG137*CJ137*VLOOKUP('Données projet'!$B$12,Paramètres!$A$1:$I$89,3,0)*0.475*44/12</f>
        <v>3.1402951802113972E-9</v>
      </c>
      <c r="CN137" s="22">
        <f t="shared" si="120"/>
        <v>43.376735682345512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-12.000000000000284</v>
      </c>
      <c r="CU137" s="17">
        <f>CT137*VLOOKUP('Données projet'!$B$13,Paramètres!$A$1:$I$89,3,0)*VLOOKUP('Données projet'!$B$13,Paramètres!$A$1:$I$89,5,0)</f>
        <v>-9.5472000000002257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314.6300257056194</v>
      </c>
      <c r="CZ137" s="59">
        <f t="shared" si="150"/>
        <v>298.00555477466668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48.767194339326807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48.767194339326807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-12.000000000000284</v>
      </c>
      <c r="DP137" s="17">
        <f>DO137*VLOOKUP('Données projet'!$B$14,Paramètres!$A$1:$I$89,3,0)*VLOOKUP('Données projet'!$B$14,Paramètres!$A$1:$I$89,5,0)</f>
        <v>-9.5472000000002257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314.6300257056194</v>
      </c>
      <c r="DU137" s="59">
        <f t="shared" si="152"/>
        <v>298.00555477466668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48.767194339326807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48.767194339326807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441.23846153846227</v>
      </c>
      <c r="EK137" s="17">
        <f>EJ137*VLOOKUP('Données projet'!$B$15,Paramètres!$A$1:$I$89,3,0)*VLOOKUP('Données projet'!$B$15,Paramètres!$A$1:$I$89,5,0)</f>
        <v>212.23570000000035</v>
      </c>
      <c r="EL137" s="13">
        <f t="shared" si="153"/>
        <v>52.423840876495639</v>
      </c>
      <c r="EM137" s="20">
        <f t="shared" si="127"/>
        <v>460.9487003598972</v>
      </c>
      <c r="EN137" s="59">
        <f t="shared" si="128"/>
        <v>754.28203369323046</v>
      </c>
      <c r="EO137" s="59">
        <f ca="1">AVERAGE(OFFSET($EN$3,0,0,'Données projet'!$E$15+1,1))-AVERAGE(OFFSET($H$3,0,0,'Données projet'!$E$15+1,1))</f>
        <v>238.83604534181978</v>
      </c>
      <c r="EP137" s="59">
        <f t="shared" si="154"/>
        <v>114.85152559837792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5.6843418860808015E-14</v>
      </c>
      <c r="FF137" s="17">
        <f>FE137*VLOOKUP('Données projet'!$B$16,Paramètres!$A$1:$I$89,3,0)*VLOOKUP('Données projet'!$B$16,Paramètres!$A$1:$I$89,5,0)</f>
        <v>4.6111381379887463E-14</v>
      </c>
      <c r="FG137" s="13">
        <f t="shared" si="155"/>
        <v>7.5804141040779151E-13</v>
      </c>
      <c r="FH137" s="20">
        <f t="shared" si="130"/>
        <v>1.4005661123635408E-12</v>
      </c>
      <c r="FI137" s="59">
        <f t="shared" si="131"/>
        <v>293.33333333333474</v>
      </c>
      <c r="FJ137" s="59">
        <f ca="1">AVERAGE(OFFSET($FI$3,0,0,'Données projet'!$E$16+1,1))-AVERAGE(OFFSET($H$3,0,0,'Données projet'!$E$16+1,1))</f>
        <v>196.95467273423861</v>
      </c>
      <c r="FK137" s="59">
        <f t="shared" si="156"/>
        <v>173.8709326829258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29.400880829374593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3.0699699320337407E-7</v>
      </c>
      <c r="FT137" s="22">
        <f t="shared" si="132"/>
        <v>29.400881136371588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5.6843418860808015E-14</v>
      </c>
      <c r="GA137" s="17">
        <f>FZ137*VLOOKUP('Données projet'!$B$17,Paramètres!$A$1:$I$89,3,0)*VLOOKUP('Données projet'!$B$17,Paramètres!$A$1:$I$89,5,0)</f>
        <v>6.1186256061773749E-14</v>
      </c>
      <c r="GB137" s="13">
        <f t="shared" si="157"/>
        <v>9.7328366192051127E-13</v>
      </c>
      <c r="GC137" s="20">
        <f t="shared" si="133"/>
        <v>1.8017017738191463E-12</v>
      </c>
      <c r="GD137" s="59">
        <f t="shared" si="134"/>
        <v>293.33333333333513</v>
      </c>
      <c r="GE137" s="59">
        <f ca="1">AVERAGE(OFFSET($GD$3,0,0,'Données projet'!$E$17+1,1))-AVERAGE(OFFSET($H$3,0,0,'Données projet'!$E$17+1,1))</f>
        <v>275.5229427552884</v>
      </c>
      <c r="GF137" s="59">
        <f t="shared" si="158"/>
        <v>241.20234081716143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39.012707254362454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4.0736139482755377E-7</v>
      </c>
      <c r="GO137" s="21">
        <f t="shared" si="135"/>
        <v>39.012707661723852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274.57619581652199</v>
      </c>
      <c r="T138" s="59">
        <f t="shared" si="142"/>
        <v>366.15117322598775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 t="e">
        <f>EXP(-LN(2)/35)*Z137+(1-EXP(-LN(2)/35))/(LN(2)/35)*V138*W138*VLOOKUP('Données projet'!$B$9,Paramètres!$A$1:$I$89,3,0)*0.475*44/12</f>
        <v>#VALUE!</v>
      </c>
      <c r="AA138" s="21" t="e">
        <f>EXP(-LN(2)/25)*AA137+(1-EXP(-LN(2)/25))/(LN(2)/25)*Calculateur!V138*Calculateur!X138*VLOOKUP('Données projet'!$B$9,Paramètres!$A$1:$I$89,3,0)*0.475*44/12</f>
        <v>#VALUE!</v>
      </c>
      <c r="AB138" s="21" t="e">
        <f>EXP(-LN(2)/2)*AB137+(1-EXP(-LN(2)/2))/(LN(2)/2)*V138*Y138*VLOOKUP('Données projet'!$B$9,Paramètres!$A$1:$I$89,3,0)*0.475*44/12</f>
        <v>#VALUE!</v>
      </c>
      <c r="AC138" s="22" t="e">
        <f t="shared" si="111"/>
        <v>#VALUE!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175.05987582828078</v>
      </c>
      <c r="AO138" s="59">
        <f t="shared" si="144"/>
        <v>268.54782308462387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38.115759084445173</v>
      </c>
      <c r="AV138" s="21">
        <f>EXP(-LN(2)/25)*AV137+(1-EXP(-LN(2)/25))/(LN(2)/25)*Calculateur!AQ138*Calculateur!AS138*VLOOKUP('Données projet'!$B$10,Paramètres!$A$1:$I$89,3,0)*0.475*44/12</f>
        <v>5.2682933635267499</v>
      </c>
      <c r="AW138" s="21">
        <f>EXP(-LN(2)/2)*AW137+(1-EXP(-LN(2)/2))/(LN(2)/2)*AQ138*AT138*VLOOKUP('Données projet'!$B$10,Paramètres!$A$1:$I$89,3,0)*0.475*44/12</f>
        <v>1.4642047347808137E-10</v>
      </c>
      <c r="AX138" s="21">
        <f t="shared" si="114"/>
        <v>43.384052448118346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252.70779718608964</v>
      </c>
      <c r="BJ138" s="59">
        <f t="shared" si="146"/>
        <v>187.86969111712705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118.94575242822867</v>
      </c>
      <c r="BQ138" s="21">
        <f>EXP(-LN(2)/25)*BQ137+(1-EXP(-LN(2)/25))/(LN(2)/25)*Calculateur!BL138*Calculateur!BN138*VLOOKUP('Données projet'!$B$11,Paramètres!$A$1:$I$89,3,0)*0.475*44/12</f>
        <v>20.525396992103275</v>
      </c>
      <c r="BR138" s="21">
        <f>EXP(-LN(2)/2)*BR137+(1-EXP(-LN(2)/2))/(LN(2)/2)*BL138*BO138*VLOOKUP('Données projet'!$B$11,Paramètres!$A$1:$I$89,3,0)*0.475*44/12</f>
        <v>2.5738931227536899E-4</v>
      </c>
      <c r="BS138" s="22">
        <f t="shared" si="117"/>
        <v>139.47140680964424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-2.2737367544323206E-13</v>
      </c>
      <c r="BZ138" s="13">
        <f>BY138*VLOOKUP('Données projet'!$B$12,Paramètres!$A$1:$I$89,3,0)*VLOOKUP('Données projet'!$B$12,Paramètres!$A$1:$I$89,5,0)</f>
        <v>-1.3596945791505279E-13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279.86432710889352</v>
      </c>
      <c r="CE138" s="59">
        <f t="shared" si="148"/>
        <v>297.01680128882509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28.732511749897281</v>
      </c>
      <c r="CL138" s="21">
        <f>EXP(-LN(2)/25)*CL137+(1-EXP(-LN(2)/25))/(LN(2)/25)*Calculateur!CG138*Calculateur!CI138*VLOOKUP('Données projet'!$B$12,Paramètres!$A$1:$I$89,3,0)*0.475*44/12</f>
        <v>13.684795483548278</v>
      </c>
      <c r="CM138" s="21">
        <f>EXP(-LN(2)/2)*CM137+(1-EXP(-LN(2)/2))/(LN(2)/2)*CG138*CJ138*VLOOKUP('Données projet'!$B$12,Paramètres!$A$1:$I$89,3,0)*0.475*44/12</f>
        <v>2.2205240168549102E-9</v>
      </c>
      <c r="CN138" s="22">
        <f t="shared" si="120"/>
        <v>42.41730723566608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-12.000000000000284</v>
      </c>
      <c r="CU138" s="17">
        <f>CT138*VLOOKUP('Données projet'!$B$13,Paramètres!$A$1:$I$89,3,0)*VLOOKUP('Données projet'!$B$13,Paramètres!$A$1:$I$89,5,0)</f>
        <v>-9.5472000000002257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314.6300257056194</v>
      </c>
      <c r="CZ138" s="59">
        <f t="shared" si="150"/>
        <v>298.00555477466668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47.810899403384077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47.810899403384077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-12.000000000000284</v>
      </c>
      <c r="DP138" s="17">
        <f>DO138*VLOOKUP('Données projet'!$B$14,Paramètres!$A$1:$I$89,3,0)*VLOOKUP('Données projet'!$B$14,Paramètres!$A$1:$I$89,5,0)</f>
        <v>-9.5472000000002257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314.6300257056194</v>
      </c>
      <c r="DU138" s="59">
        <f t="shared" si="152"/>
        <v>298.00555477466668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47.810899403384077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47.810899403384077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441.23846153846227</v>
      </c>
      <c r="EK138" s="17">
        <f>EJ138*VLOOKUP('Données projet'!$B$15,Paramètres!$A$1:$I$89,3,0)*VLOOKUP('Données projet'!$B$15,Paramètres!$A$1:$I$89,5,0)</f>
        <v>212.23570000000035</v>
      </c>
      <c r="EL138" s="13">
        <f t="shared" si="153"/>
        <v>52.423840876495639</v>
      </c>
      <c r="EM138" s="20">
        <f t="shared" si="127"/>
        <v>460.9487003598972</v>
      </c>
      <c r="EN138" s="59">
        <f t="shared" si="128"/>
        <v>754.28203369323046</v>
      </c>
      <c r="EO138" s="59">
        <f ca="1">AVERAGE(OFFSET($EN$3,0,0,'Données projet'!$E$15+1,1))-AVERAGE(OFFSET($H$3,0,0,'Données projet'!$E$15+1,1))</f>
        <v>238.83604534181978</v>
      </c>
      <c r="EP138" s="59">
        <f t="shared" si="154"/>
        <v>114.85152559837792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5.6843418860808015E-14</v>
      </c>
      <c r="FF138" s="17">
        <f>FE138*VLOOKUP('Données projet'!$B$16,Paramètres!$A$1:$I$89,3,0)*VLOOKUP('Données projet'!$B$16,Paramètres!$A$1:$I$89,5,0)</f>
        <v>4.6111381379887463E-14</v>
      </c>
      <c r="FG138" s="13">
        <f t="shared" si="155"/>
        <v>7.5804141040779151E-13</v>
      </c>
      <c r="FH138" s="20">
        <f t="shared" si="130"/>
        <v>1.4005661123635408E-12</v>
      </c>
      <c r="FI138" s="59">
        <f t="shared" si="131"/>
        <v>293.33333333333474</v>
      </c>
      <c r="FJ138" s="59">
        <f ca="1">AVERAGE(OFFSET($FI$3,0,0,'Données projet'!$E$16+1,1))-AVERAGE(OFFSET($H$3,0,0,'Données projet'!$E$16+1,1))</f>
        <v>196.95467273423861</v>
      </c>
      <c r="FK138" s="59">
        <f t="shared" si="156"/>
        <v>173.8709326829258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28.824347489077148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2.1707965569798625E-7</v>
      </c>
      <c r="FT138" s="22">
        <f t="shared" si="132"/>
        <v>28.824347706156804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5.6843418860808015E-14</v>
      </c>
      <c r="GA138" s="17">
        <f>FZ138*VLOOKUP('Données projet'!$B$17,Paramètres!$A$1:$I$89,3,0)*VLOOKUP('Données projet'!$B$17,Paramètres!$A$1:$I$89,5,0)</f>
        <v>6.1186256061773749E-14</v>
      </c>
      <c r="GB138" s="13">
        <f t="shared" si="157"/>
        <v>9.7328366192051127E-13</v>
      </c>
      <c r="GC138" s="20">
        <f t="shared" si="133"/>
        <v>1.8017017738191463E-12</v>
      </c>
      <c r="GD138" s="59">
        <f t="shared" si="134"/>
        <v>293.33333333333513</v>
      </c>
      <c r="GE138" s="59">
        <f ca="1">AVERAGE(OFFSET($GD$3,0,0,'Données projet'!$E$17+1,1))-AVERAGE(OFFSET($H$3,0,0,'Données projet'!$E$17+1,1))</f>
        <v>275.5229427552884</v>
      </c>
      <c r="GF138" s="59">
        <f t="shared" si="158"/>
        <v>241.20234081716143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38.247691860506229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2.8804800467617386E-7</v>
      </c>
      <c r="GO138" s="21">
        <f t="shared" si="135"/>
        <v>38.247692148554236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274.57619581652199</v>
      </c>
      <c r="T139" s="59">
        <f t="shared" si="142"/>
        <v>366.15117322598775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 t="e">
        <f>EXP(-LN(2)/35)*Z138+(1-EXP(-LN(2)/35))/(LN(2)/35)*V139*W139*VLOOKUP('Données projet'!$B$9,Paramètres!$A$1:$I$89,3,0)*0.475*44/12</f>
        <v>#VALUE!</v>
      </c>
      <c r="AA139" s="21" t="e">
        <f>EXP(-LN(2)/25)*AA138+(1-EXP(-LN(2)/25))/(LN(2)/25)*Calculateur!V139*Calculateur!X139*VLOOKUP('Données projet'!$B$9,Paramètres!$A$1:$I$89,3,0)*0.475*44/12</f>
        <v>#VALUE!</v>
      </c>
      <c r="AB139" s="21" t="e">
        <f>EXP(-LN(2)/2)*AB138+(1-EXP(-LN(2)/2))/(LN(2)/2)*V139*Y139*VLOOKUP('Données projet'!$B$9,Paramètres!$A$1:$I$89,3,0)*0.475*44/12</f>
        <v>#VALUE!</v>
      </c>
      <c r="AC139" s="22" t="e">
        <f t="shared" si="111"/>
        <v>#VALUE!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175.05987582828078</v>
      </c>
      <c r="AO139" s="59">
        <f t="shared" si="144"/>
        <v>268.54782308462387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37.368332297116666</v>
      </c>
      <c r="AV139" s="21">
        <f>EXP(-LN(2)/25)*AV138+(1-EXP(-LN(2)/25))/(LN(2)/25)*Calculateur!AQ139*Calculateur!AS139*VLOOKUP('Données projet'!$B$10,Paramètres!$A$1:$I$89,3,0)*0.475*44/12</f>
        <v>5.1242316044536036</v>
      </c>
      <c r="AW139" s="21">
        <f>EXP(-LN(2)/2)*AW138+(1-EXP(-LN(2)/2))/(LN(2)/2)*AQ139*AT139*VLOOKUP('Données projet'!$B$10,Paramètres!$A$1:$I$89,3,0)*0.475*44/12</f>
        <v>1.0353490970089637E-10</v>
      </c>
      <c r="AX139" s="21">
        <f t="shared" si="114"/>
        <v>42.492563901673805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252.70779718608964</v>
      </c>
      <c r="BJ139" s="59">
        <f t="shared" si="146"/>
        <v>187.86969111712705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116.6132987728564</v>
      </c>
      <c r="BQ139" s="21">
        <f>EXP(-LN(2)/25)*BQ138+(1-EXP(-LN(2)/25))/(LN(2)/25)*Calculateur!BL139*Calculateur!BN139*VLOOKUP('Données projet'!$B$11,Paramètres!$A$1:$I$89,3,0)*0.475*44/12</f>
        <v>19.964128931970496</v>
      </c>
      <c r="BR139" s="21">
        <f>EXP(-LN(2)/2)*BR138+(1-EXP(-LN(2)/2))/(LN(2)/2)*BL139*BO139*VLOOKUP('Données projet'!$B$11,Paramètres!$A$1:$I$89,3,0)*0.475*44/12</f>
        <v>1.820017281148553E-4</v>
      </c>
      <c r="BS139" s="22">
        <f t="shared" si="117"/>
        <v>136.57760970655502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-2.2737367544323206E-13</v>
      </c>
      <c r="BZ139" s="13">
        <f>BY139*VLOOKUP('Données projet'!$B$12,Paramètres!$A$1:$I$89,3,0)*VLOOKUP('Données projet'!$B$12,Paramètres!$A$1:$I$89,5,0)</f>
        <v>-1.3596945791505279E-13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279.86432710889352</v>
      </c>
      <c r="CE139" s="59">
        <f t="shared" si="148"/>
        <v>297.01680128882509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28.169084719583502</v>
      </c>
      <c r="CL139" s="21">
        <f>EXP(-LN(2)/25)*CL138+(1-EXP(-LN(2)/25))/(LN(2)/25)*Calculateur!CG139*Calculateur!CI139*VLOOKUP('Données projet'!$B$12,Paramètres!$A$1:$I$89,3,0)*0.475*44/12</f>
        <v>13.310584031398532</v>
      </c>
      <c r="CM139" s="21">
        <f>EXP(-LN(2)/2)*CM138+(1-EXP(-LN(2)/2))/(LN(2)/2)*CG139*CJ139*VLOOKUP('Données projet'!$B$12,Paramètres!$A$1:$I$89,3,0)*0.475*44/12</f>
        <v>1.5701475901056986E-9</v>
      </c>
      <c r="CN139" s="22">
        <f t="shared" si="120"/>
        <v>41.479668752552186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-12.000000000000284</v>
      </c>
      <c r="CU139" s="17">
        <f>CT139*VLOOKUP('Données projet'!$B$13,Paramètres!$A$1:$I$89,3,0)*VLOOKUP('Données projet'!$B$13,Paramètres!$A$1:$I$89,5,0)</f>
        <v>-9.5472000000002257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314.6300257056194</v>
      </c>
      <c r="CZ139" s="59">
        <f t="shared" si="150"/>
        <v>298.00555477466668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46.873356827852867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46.873356827852867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-12.000000000000284</v>
      </c>
      <c r="DP139" s="17">
        <f>DO139*VLOOKUP('Données projet'!$B$14,Paramètres!$A$1:$I$89,3,0)*VLOOKUP('Données projet'!$B$14,Paramètres!$A$1:$I$89,5,0)</f>
        <v>-9.5472000000002257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314.6300257056194</v>
      </c>
      <c r="DU139" s="59">
        <f t="shared" si="152"/>
        <v>298.00555477466668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46.873356827852867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46.873356827852867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441.23846153846227</v>
      </c>
      <c r="EK139" s="17">
        <f>EJ139*VLOOKUP('Données projet'!$B$15,Paramètres!$A$1:$I$89,3,0)*VLOOKUP('Données projet'!$B$15,Paramètres!$A$1:$I$89,5,0)</f>
        <v>212.23570000000035</v>
      </c>
      <c r="EL139" s="13">
        <f t="shared" si="153"/>
        <v>52.423840876495639</v>
      </c>
      <c r="EM139" s="20">
        <f t="shared" si="127"/>
        <v>460.9487003598972</v>
      </c>
      <c r="EN139" s="59">
        <f t="shared" si="128"/>
        <v>754.28203369323046</v>
      </c>
      <c r="EO139" s="59">
        <f ca="1">AVERAGE(OFFSET($EN$3,0,0,'Données projet'!$E$15+1,1))-AVERAGE(OFFSET($H$3,0,0,'Données projet'!$E$15+1,1))</f>
        <v>238.83604534181978</v>
      </c>
      <c r="EP139" s="59">
        <f t="shared" si="154"/>
        <v>114.85152559837792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5.6843418860808015E-14</v>
      </c>
      <c r="FF139" s="17">
        <f>FE139*VLOOKUP('Données projet'!$B$16,Paramètres!$A$1:$I$89,3,0)*VLOOKUP('Données projet'!$B$16,Paramètres!$A$1:$I$89,5,0)</f>
        <v>4.6111381379887463E-14</v>
      </c>
      <c r="FG139" s="13">
        <f t="shared" si="155"/>
        <v>7.5804141040779151E-13</v>
      </c>
      <c r="FH139" s="20">
        <f t="shared" si="130"/>
        <v>1.4005661123635408E-12</v>
      </c>
      <c r="FI139" s="59">
        <f t="shared" si="131"/>
        <v>293.33333333333474</v>
      </c>
      <c r="FJ139" s="59">
        <f ca="1">AVERAGE(OFFSET($FI$3,0,0,'Données projet'!$E$16+1,1))-AVERAGE(OFFSET($H$3,0,0,'Données projet'!$E$16+1,1))</f>
        <v>196.95467273423861</v>
      </c>
      <c r="FK139" s="59">
        <f t="shared" si="156"/>
        <v>173.8709326829258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28.259119615932324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1.5349849660168704E-7</v>
      </c>
      <c r="FT139" s="22">
        <f t="shared" si="132"/>
        <v>28.259119769430821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5.6843418860808015E-14</v>
      </c>
      <c r="GA139" s="17">
        <f>FZ139*VLOOKUP('Données projet'!$B$17,Paramètres!$A$1:$I$89,3,0)*VLOOKUP('Données projet'!$B$17,Paramètres!$A$1:$I$89,5,0)</f>
        <v>6.1186256061773749E-14</v>
      </c>
      <c r="GB139" s="13">
        <f t="shared" si="157"/>
        <v>9.7328366192051127E-13</v>
      </c>
      <c r="GC139" s="20">
        <f t="shared" si="133"/>
        <v>1.8017017738191463E-12</v>
      </c>
      <c r="GD139" s="59">
        <f t="shared" si="134"/>
        <v>293.33333333333513</v>
      </c>
      <c r="GE139" s="59">
        <f ca="1">AVERAGE(OFFSET($GD$3,0,0,'Données projet'!$E$17+1,1))-AVERAGE(OFFSET($H$3,0,0,'Données projet'!$E$17+1,1))</f>
        <v>275.5229427552884</v>
      </c>
      <c r="GF139" s="59">
        <f t="shared" si="158"/>
        <v>241.20234081716143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37.497677951910212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2.0368069741377689E-7</v>
      </c>
      <c r="GO139" s="21">
        <f t="shared" si="135"/>
        <v>37.497678155590911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274.57619581652199</v>
      </c>
      <c r="T140" s="59">
        <f t="shared" si="142"/>
        <v>366.15117322598775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 t="e">
        <f>EXP(-LN(2)/35)*Z139+(1-EXP(-LN(2)/35))/(LN(2)/35)*V140*W140*VLOOKUP('Données projet'!$B$9,Paramètres!$A$1:$I$89,3,0)*0.475*44/12</f>
        <v>#VALUE!</v>
      </c>
      <c r="AA140" s="21" t="e">
        <f>EXP(-LN(2)/25)*AA139+(1-EXP(-LN(2)/25))/(LN(2)/25)*Calculateur!V140*Calculateur!X140*VLOOKUP('Données projet'!$B$9,Paramètres!$A$1:$I$89,3,0)*0.475*44/12</f>
        <v>#VALUE!</v>
      </c>
      <c r="AB140" s="21" t="e">
        <f>EXP(-LN(2)/2)*AB139+(1-EXP(-LN(2)/2))/(LN(2)/2)*V140*Y140*VLOOKUP('Données projet'!$B$9,Paramètres!$A$1:$I$89,3,0)*0.475*44/12</f>
        <v>#VALUE!</v>
      </c>
      <c r="AC140" s="22" t="e">
        <f t="shared" si="111"/>
        <v>#VALUE!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175.05987582828078</v>
      </c>
      <c r="AO140" s="59">
        <f t="shared" si="144"/>
        <v>268.54782308462387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36.635562093202346</v>
      </c>
      <c r="AV140" s="21">
        <f>EXP(-LN(2)/25)*AV139+(1-EXP(-LN(2)/25))/(LN(2)/25)*Calculateur!AQ140*Calculateur!AS140*VLOOKUP('Données projet'!$B$10,Paramètres!$A$1:$I$89,3,0)*0.475*44/12</f>
        <v>4.9841092217581915</v>
      </c>
      <c r="AW140" s="21">
        <f>EXP(-LN(2)/2)*AW139+(1-EXP(-LN(2)/2))/(LN(2)/2)*AQ140*AT140*VLOOKUP('Données projet'!$B$10,Paramètres!$A$1:$I$89,3,0)*0.475*44/12</f>
        <v>7.3210236739040685E-11</v>
      </c>
      <c r="AX140" s="21">
        <f t="shared" si="114"/>
        <v>41.619671315033742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252.70779718608964</v>
      </c>
      <c r="BJ140" s="59">
        <f t="shared" si="146"/>
        <v>187.86969111712705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114.32658311100971</v>
      </c>
      <c r="BQ140" s="21">
        <f>EXP(-LN(2)/25)*BQ139+(1-EXP(-LN(2)/25))/(LN(2)/25)*Calculateur!BL140*Calculateur!BN140*VLOOKUP('Données projet'!$B$11,Paramètres!$A$1:$I$89,3,0)*0.475*44/12</f>
        <v>19.418208776457853</v>
      </c>
      <c r="BR140" s="21">
        <f>EXP(-LN(2)/2)*BR139+(1-EXP(-LN(2)/2))/(LN(2)/2)*BL140*BO140*VLOOKUP('Données projet'!$B$11,Paramètres!$A$1:$I$89,3,0)*0.475*44/12</f>
        <v>1.2869465613768449E-4</v>
      </c>
      <c r="BS140" s="22">
        <f t="shared" si="117"/>
        <v>133.74492058212368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-2.2737367544323206E-13</v>
      </c>
      <c r="BZ140" s="13">
        <f>BY140*VLOOKUP('Données projet'!$B$12,Paramètres!$A$1:$I$89,3,0)*VLOOKUP('Données projet'!$B$12,Paramètres!$A$1:$I$89,5,0)</f>
        <v>-1.3596945791505279E-13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279.86432710889352</v>
      </c>
      <c r="CE140" s="59">
        <f t="shared" si="148"/>
        <v>297.01680128882509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27.616706149677622</v>
      </c>
      <c r="CL140" s="21">
        <f>EXP(-LN(2)/25)*CL139+(1-EXP(-LN(2)/25))/(LN(2)/25)*Calculateur!CG140*Calculateur!CI140*VLOOKUP('Données projet'!$B$12,Paramètres!$A$1:$I$89,3,0)*0.475*44/12</f>
        <v>12.946605411086747</v>
      </c>
      <c r="CM140" s="21">
        <f>EXP(-LN(2)/2)*CM139+(1-EXP(-LN(2)/2))/(LN(2)/2)*CG140*CJ140*VLOOKUP('Données projet'!$B$12,Paramètres!$A$1:$I$89,3,0)*0.475*44/12</f>
        <v>1.1102620084274551E-9</v>
      </c>
      <c r="CN140" s="22">
        <f t="shared" si="120"/>
        <v>40.563311561874627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-12.000000000000284</v>
      </c>
      <c r="CU140" s="17">
        <f>CT140*VLOOKUP('Données projet'!$B$13,Paramètres!$A$1:$I$89,3,0)*VLOOKUP('Données projet'!$B$13,Paramètres!$A$1:$I$89,5,0)</f>
        <v>-9.5472000000002257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314.6300257056194</v>
      </c>
      <c r="CZ140" s="59">
        <f t="shared" si="150"/>
        <v>298.00555477466668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45.954198890383317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45.954198890383317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-12.000000000000284</v>
      </c>
      <c r="DP140" s="17">
        <f>DO140*VLOOKUP('Données projet'!$B$14,Paramètres!$A$1:$I$89,3,0)*VLOOKUP('Données projet'!$B$14,Paramètres!$A$1:$I$89,5,0)</f>
        <v>-9.5472000000002257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314.6300257056194</v>
      </c>
      <c r="DU140" s="59">
        <f t="shared" si="152"/>
        <v>298.00555477466668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45.954198890383317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45.954198890383317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441.23846153846227</v>
      </c>
      <c r="EK140" s="17">
        <f>EJ140*VLOOKUP('Données projet'!$B$15,Paramètres!$A$1:$I$89,3,0)*VLOOKUP('Données projet'!$B$15,Paramètres!$A$1:$I$89,5,0)</f>
        <v>212.23570000000035</v>
      </c>
      <c r="EL140" s="13">
        <f t="shared" si="153"/>
        <v>52.423840876495639</v>
      </c>
      <c r="EM140" s="20">
        <f t="shared" si="127"/>
        <v>460.9487003598972</v>
      </c>
      <c r="EN140" s="59">
        <f t="shared" si="128"/>
        <v>754.28203369323046</v>
      </c>
      <c r="EO140" s="59">
        <f ca="1">AVERAGE(OFFSET($EN$3,0,0,'Données projet'!$E$15+1,1))-AVERAGE(OFFSET($H$3,0,0,'Données projet'!$E$15+1,1))</f>
        <v>238.83604534181978</v>
      </c>
      <c r="EP140" s="59">
        <f t="shared" si="154"/>
        <v>114.85152559837792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5.6843418860808015E-14</v>
      </c>
      <c r="FF140" s="17">
        <f>FE140*VLOOKUP('Données projet'!$B$16,Paramètres!$A$1:$I$89,3,0)*VLOOKUP('Données projet'!$B$16,Paramètres!$A$1:$I$89,5,0)</f>
        <v>4.6111381379887463E-14</v>
      </c>
      <c r="FG140" s="13">
        <f t="shared" si="155"/>
        <v>7.5804141040779151E-13</v>
      </c>
      <c r="FH140" s="20">
        <f t="shared" si="130"/>
        <v>1.4005661123635408E-12</v>
      </c>
      <c r="FI140" s="59">
        <f t="shared" si="131"/>
        <v>293.33333333333474</v>
      </c>
      <c r="FJ140" s="59">
        <f ca="1">AVERAGE(OFFSET($FI$3,0,0,'Données projet'!$E$16+1,1))-AVERAGE(OFFSET($H$3,0,0,'Données projet'!$E$16+1,1))</f>
        <v>196.95467273423861</v>
      </c>
      <c r="FK140" s="59">
        <f t="shared" si="156"/>
        <v>173.8709326829258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27.704975516624909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1.0853982784899313E-7</v>
      </c>
      <c r="FT140" s="22">
        <f t="shared" si="132"/>
        <v>27.704975625164739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5.6843418860808015E-14</v>
      </c>
      <c r="GA140" s="17">
        <f>FZ140*VLOOKUP('Données projet'!$B$17,Paramètres!$A$1:$I$89,3,0)*VLOOKUP('Données projet'!$B$17,Paramètres!$A$1:$I$89,5,0)</f>
        <v>6.1186256061773749E-14</v>
      </c>
      <c r="GB140" s="13">
        <f t="shared" si="157"/>
        <v>9.7328366192051127E-13</v>
      </c>
      <c r="GC140" s="20">
        <f t="shared" si="133"/>
        <v>1.8017017738191463E-12</v>
      </c>
      <c r="GD140" s="59">
        <f t="shared" si="134"/>
        <v>293.33333333333513</v>
      </c>
      <c r="GE140" s="59">
        <f ca="1">AVERAGE(OFFSET($GD$3,0,0,'Données projet'!$E$17+1,1))-AVERAGE(OFFSET($H$3,0,0,'Données projet'!$E$17+1,1))</f>
        <v>275.5229427552884</v>
      </c>
      <c r="GF140" s="59">
        <f t="shared" si="158"/>
        <v>241.20234081716143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36.76237135859845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1.4402400233808693E-7</v>
      </c>
      <c r="GO140" s="21">
        <f t="shared" si="135"/>
        <v>36.76237150262245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274.57619581652199</v>
      </c>
      <c r="T141" s="59">
        <f t="shared" si="142"/>
        <v>366.15117322598775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 t="e">
        <f>EXP(-LN(2)/35)*Z140+(1-EXP(-LN(2)/35))/(LN(2)/35)*V141*W141*VLOOKUP('Données projet'!$B$9,Paramètres!$A$1:$I$89,3,0)*0.475*44/12</f>
        <v>#VALUE!</v>
      </c>
      <c r="AA141" s="21" t="e">
        <f>EXP(-LN(2)/25)*AA140+(1-EXP(-LN(2)/25))/(LN(2)/25)*Calculateur!V141*Calculateur!X141*VLOOKUP('Données projet'!$B$9,Paramètres!$A$1:$I$89,3,0)*0.475*44/12</f>
        <v>#VALUE!</v>
      </c>
      <c r="AB141" s="21" t="e">
        <f>EXP(-LN(2)/2)*AB140+(1-EXP(-LN(2)/2))/(LN(2)/2)*V141*Y141*VLOOKUP('Données projet'!$B$9,Paramètres!$A$1:$I$89,3,0)*0.475*44/12</f>
        <v>#VALUE!</v>
      </c>
      <c r="AC141" s="22" t="e">
        <f t="shared" si="111"/>
        <v>#VALUE!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175.05987582828078</v>
      </c>
      <c r="AO141" s="59">
        <f t="shared" si="144"/>
        <v>268.54782308462387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35.917161066041089</v>
      </c>
      <c r="AV141" s="21">
        <f>EXP(-LN(2)/25)*AV140+(1-EXP(-LN(2)/25))/(LN(2)/25)*Calculateur!AQ141*Calculateur!AS141*VLOOKUP('Données projet'!$B$10,Paramètres!$A$1:$I$89,3,0)*0.475*44/12</f>
        <v>4.8478184929863009</v>
      </c>
      <c r="AW141" s="21">
        <f>EXP(-LN(2)/2)*AW140+(1-EXP(-LN(2)/2))/(LN(2)/2)*AQ141*AT141*VLOOKUP('Données projet'!$B$10,Paramètres!$A$1:$I$89,3,0)*0.475*44/12</f>
        <v>5.1767454850448185E-11</v>
      </c>
      <c r="AX141" s="21">
        <f t="shared" si="114"/>
        <v>40.764979559079158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252.70779718608964</v>
      </c>
      <c r="BJ141" s="59">
        <f t="shared" si="146"/>
        <v>187.86969111712705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112.08470854853302</v>
      </c>
      <c r="BQ141" s="21">
        <f>EXP(-LN(2)/25)*BQ140+(1-EXP(-LN(2)/25))/(LN(2)/25)*Calculateur!BL141*Calculateur!BN141*VLOOKUP('Données projet'!$B$11,Paramètres!$A$1:$I$89,3,0)*0.475*44/12</f>
        <v>18.887216836306393</v>
      </c>
      <c r="BR141" s="21">
        <f>EXP(-LN(2)/2)*BR140+(1-EXP(-LN(2)/2))/(LN(2)/2)*BL141*BO141*VLOOKUP('Données projet'!$B$11,Paramètres!$A$1:$I$89,3,0)*0.475*44/12</f>
        <v>9.1000864057427648E-5</v>
      </c>
      <c r="BS141" s="22">
        <f t="shared" si="117"/>
        <v>130.97201638570345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-2.2737367544323206E-13</v>
      </c>
      <c r="BZ141" s="13">
        <f>BY141*VLOOKUP('Données projet'!$B$12,Paramètres!$A$1:$I$89,3,0)*VLOOKUP('Données projet'!$B$12,Paramètres!$A$1:$I$89,5,0)</f>
        <v>-1.3596945791505279E-13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279.86432710889352</v>
      </c>
      <c r="CE141" s="59">
        <f t="shared" si="148"/>
        <v>297.01680128882509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27.075159386609936</v>
      </c>
      <c r="CL141" s="21">
        <f>EXP(-LN(2)/25)*CL140+(1-EXP(-LN(2)/25))/(LN(2)/25)*Calculateur!CG141*Calculateur!CI141*VLOOKUP('Données projet'!$B$12,Paramètres!$A$1:$I$89,3,0)*0.475*44/12</f>
        <v>12.592579805288191</v>
      </c>
      <c r="CM141" s="21">
        <f>EXP(-LN(2)/2)*CM140+(1-EXP(-LN(2)/2))/(LN(2)/2)*CG141*CJ141*VLOOKUP('Données projet'!$B$12,Paramètres!$A$1:$I$89,3,0)*0.475*44/12</f>
        <v>7.850737950528493E-10</v>
      </c>
      <c r="CN141" s="22">
        <f t="shared" si="120"/>
        <v>39.6677391926832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-12.000000000000284</v>
      </c>
      <c r="CU141" s="17">
        <f>CT141*VLOOKUP('Données projet'!$B$13,Paramètres!$A$1:$I$89,3,0)*VLOOKUP('Données projet'!$B$13,Paramètres!$A$1:$I$89,5,0)</f>
        <v>-9.5472000000002257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314.6300257056194</v>
      </c>
      <c r="CZ141" s="59">
        <f t="shared" si="150"/>
        <v>298.00555477466668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45.053065079436564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45.053065079436564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-12.000000000000284</v>
      </c>
      <c r="DP141" s="17">
        <f>DO141*VLOOKUP('Données projet'!$B$14,Paramètres!$A$1:$I$89,3,0)*VLOOKUP('Données projet'!$B$14,Paramètres!$A$1:$I$89,5,0)</f>
        <v>-9.5472000000002257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314.6300257056194</v>
      </c>
      <c r="DU141" s="59">
        <f t="shared" si="152"/>
        <v>298.00555477466668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45.053065079436564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45.053065079436564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441.23846153846227</v>
      </c>
      <c r="EK141" s="17">
        <f>EJ141*VLOOKUP('Données projet'!$B$15,Paramètres!$A$1:$I$89,3,0)*VLOOKUP('Données projet'!$B$15,Paramètres!$A$1:$I$89,5,0)</f>
        <v>212.23570000000035</v>
      </c>
      <c r="EL141" s="13">
        <f t="shared" si="153"/>
        <v>52.423840876495639</v>
      </c>
      <c r="EM141" s="20">
        <f t="shared" si="127"/>
        <v>460.9487003598972</v>
      </c>
      <c r="EN141" s="59">
        <f t="shared" si="128"/>
        <v>754.28203369323046</v>
      </c>
      <c r="EO141" s="59">
        <f ca="1">AVERAGE(OFFSET($EN$3,0,0,'Données projet'!$E$15+1,1))-AVERAGE(OFFSET($H$3,0,0,'Données projet'!$E$15+1,1))</f>
        <v>238.83604534181978</v>
      </c>
      <c r="EP141" s="59">
        <f t="shared" si="154"/>
        <v>114.85152559837792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5.6843418860808015E-14</v>
      </c>
      <c r="FF141" s="17">
        <f>FE141*VLOOKUP('Données projet'!$B$16,Paramètres!$A$1:$I$89,3,0)*VLOOKUP('Données projet'!$B$16,Paramètres!$A$1:$I$89,5,0)</f>
        <v>4.6111381379887463E-14</v>
      </c>
      <c r="FG141" s="13">
        <f t="shared" si="155"/>
        <v>7.5804141040779151E-13</v>
      </c>
      <c r="FH141" s="20">
        <f t="shared" si="130"/>
        <v>1.4005661123635408E-12</v>
      </c>
      <c r="FI141" s="59">
        <f t="shared" si="131"/>
        <v>293.33333333333474</v>
      </c>
      <c r="FJ141" s="59">
        <f ca="1">AVERAGE(OFFSET($FI$3,0,0,'Données projet'!$E$16+1,1))-AVERAGE(OFFSET($H$3,0,0,'Données projet'!$E$16+1,1))</f>
        <v>196.95467273423861</v>
      </c>
      <c r="FK141" s="59">
        <f t="shared" si="156"/>
        <v>173.8709326829258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27.161697845110385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7.6749248300843518E-8</v>
      </c>
      <c r="FT141" s="22">
        <f t="shared" si="132"/>
        <v>27.161697921859634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5.6843418860808015E-14</v>
      </c>
      <c r="GA141" s="17">
        <f>FZ141*VLOOKUP('Données projet'!$B$17,Paramètres!$A$1:$I$89,3,0)*VLOOKUP('Données projet'!$B$17,Paramètres!$A$1:$I$89,5,0)</f>
        <v>6.1186256061773749E-14</v>
      </c>
      <c r="GB141" s="13">
        <f t="shared" si="157"/>
        <v>9.7328366192051127E-13</v>
      </c>
      <c r="GC141" s="20">
        <f t="shared" si="133"/>
        <v>1.8017017738191463E-12</v>
      </c>
      <c r="GD141" s="59">
        <f t="shared" si="134"/>
        <v>293.33333333333513</v>
      </c>
      <c r="GE141" s="59">
        <f ca="1">AVERAGE(OFFSET($GD$3,0,0,'Données projet'!$E$17+1,1))-AVERAGE(OFFSET($H$3,0,0,'Données projet'!$E$17+1,1))</f>
        <v>275.5229427552884</v>
      </c>
      <c r="GF141" s="59">
        <f t="shared" si="158"/>
        <v>241.20234081716143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36.041483679088792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1.0184034870688844E-7</v>
      </c>
      <c r="GO141" s="21">
        <f t="shared" si="135"/>
        <v>36.041483780929141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274.57619581652199</v>
      </c>
      <c r="T142" s="59">
        <f t="shared" si="142"/>
        <v>366.15117322598775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 t="e">
        <f>EXP(-LN(2)/35)*Z141+(1-EXP(-LN(2)/35))/(LN(2)/35)*V142*W142*VLOOKUP('Données projet'!$B$9,Paramètres!$A$1:$I$89,3,0)*0.475*44/12</f>
        <v>#VALUE!</v>
      </c>
      <c r="AA142" s="21" t="e">
        <f>EXP(-LN(2)/25)*AA141+(1-EXP(-LN(2)/25))/(LN(2)/25)*Calculateur!V142*Calculateur!X142*VLOOKUP('Données projet'!$B$9,Paramètres!$A$1:$I$89,3,0)*0.475*44/12</f>
        <v>#VALUE!</v>
      </c>
      <c r="AB142" s="21" t="e">
        <f>EXP(-LN(2)/2)*AB141+(1-EXP(-LN(2)/2))/(LN(2)/2)*V142*Y142*VLOOKUP('Données projet'!$B$9,Paramètres!$A$1:$I$89,3,0)*0.475*44/12</f>
        <v>#VALUE!</v>
      </c>
      <c r="AC142" s="22" t="e">
        <f t="shared" si="111"/>
        <v>#VALUE!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175.05987582828078</v>
      </c>
      <c r="AO142" s="59">
        <f t="shared" si="144"/>
        <v>268.54782308462387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35.21284744484111</v>
      </c>
      <c r="AV142" s="21">
        <f>EXP(-LN(2)/25)*AV141+(1-EXP(-LN(2)/25))/(LN(2)/25)*Calculateur!AQ142*Calculateur!AS142*VLOOKUP('Données projet'!$B$10,Paramètres!$A$1:$I$89,3,0)*0.475*44/12</f>
        <v>4.7152546413598957</v>
      </c>
      <c r="AW142" s="21">
        <f>EXP(-LN(2)/2)*AW141+(1-EXP(-LN(2)/2))/(LN(2)/2)*AQ142*AT142*VLOOKUP('Données projet'!$B$10,Paramètres!$A$1:$I$89,3,0)*0.475*44/12</f>
        <v>3.6605118369520343E-11</v>
      </c>
      <c r="AX142" s="21">
        <f t="shared" si="114"/>
        <v>39.928102086237615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252.70779718608964</v>
      </c>
      <c r="BJ142" s="59">
        <f t="shared" si="146"/>
        <v>187.86969111712705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109.88679577881803</v>
      </c>
      <c r="BQ142" s="21">
        <f>EXP(-LN(2)/25)*BQ141+(1-EXP(-LN(2)/25))/(LN(2)/25)*Calculateur!BL142*Calculateur!BN142*VLOOKUP('Données projet'!$B$11,Paramètres!$A$1:$I$89,3,0)*0.475*44/12</f>
        <v>18.37074489868203</v>
      </c>
      <c r="BR142" s="21">
        <f>EXP(-LN(2)/2)*BR141+(1-EXP(-LN(2)/2))/(LN(2)/2)*BL142*BO142*VLOOKUP('Données projet'!$B$11,Paramètres!$A$1:$I$89,3,0)*0.475*44/12</f>
        <v>6.4347328068842247E-5</v>
      </c>
      <c r="BS142" s="22">
        <f t="shared" si="117"/>
        <v>128.25760502482814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-2.2737367544323206E-13</v>
      </c>
      <c r="BZ142" s="13">
        <f>BY142*VLOOKUP('Données projet'!$B$12,Paramètres!$A$1:$I$89,3,0)*VLOOKUP('Données projet'!$B$12,Paramètres!$A$1:$I$89,5,0)</f>
        <v>-1.3596945791505279E-13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279.86432710889352</v>
      </c>
      <c r="CE142" s="59">
        <f t="shared" si="148"/>
        <v>297.01680128882509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26.544232025255099</v>
      </c>
      <c r="CL142" s="21">
        <f>EXP(-LN(2)/25)*CL141+(1-EXP(-LN(2)/25))/(LN(2)/25)*Calculateur!CG142*Calculateur!CI142*VLOOKUP('Données projet'!$B$12,Paramètres!$A$1:$I$89,3,0)*0.475*44/12</f>
        <v>12.248235048297595</v>
      </c>
      <c r="CM142" s="21">
        <f>EXP(-LN(2)/2)*CM141+(1-EXP(-LN(2)/2))/(LN(2)/2)*CG142*CJ142*VLOOKUP('Données projet'!$B$12,Paramètres!$A$1:$I$89,3,0)*0.475*44/12</f>
        <v>5.5513100421372756E-10</v>
      </c>
      <c r="CN142" s="22">
        <f t="shared" si="120"/>
        <v>38.792467074107826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-12.000000000000284</v>
      </c>
      <c r="CU142" s="17">
        <f>CT142*VLOOKUP('Données projet'!$B$13,Paramètres!$A$1:$I$89,3,0)*VLOOKUP('Données projet'!$B$13,Paramètres!$A$1:$I$89,5,0)</f>
        <v>-9.5472000000002257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314.6300257056194</v>
      </c>
      <c r="CZ142" s="59">
        <f t="shared" si="150"/>
        <v>298.00555477466668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44.169601952885124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44.169601952885124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-12.000000000000284</v>
      </c>
      <c r="DP142" s="17">
        <f>DO142*VLOOKUP('Données projet'!$B$14,Paramètres!$A$1:$I$89,3,0)*VLOOKUP('Données projet'!$B$14,Paramètres!$A$1:$I$89,5,0)</f>
        <v>-9.5472000000002257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314.6300257056194</v>
      </c>
      <c r="DU142" s="59">
        <f t="shared" si="152"/>
        <v>298.00555477466668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44.169601952885124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44.169601952885124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441.23846153846227</v>
      </c>
      <c r="EK142" s="17">
        <f>EJ142*VLOOKUP('Données projet'!$B$15,Paramètres!$A$1:$I$89,3,0)*VLOOKUP('Données projet'!$B$15,Paramètres!$A$1:$I$89,5,0)</f>
        <v>212.23570000000035</v>
      </c>
      <c r="EL142" s="13">
        <f t="shared" si="153"/>
        <v>52.423840876495639</v>
      </c>
      <c r="EM142" s="20">
        <f t="shared" si="127"/>
        <v>460.9487003598972</v>
      </c>
      <c r="EN142" s="59">
        <f t="shared" si="128"/>
        <v>754.28203369323046</v>
      </c>
      <c r="EO142" s="59">
        <f ca="1">AVERAGE(OFFSET($EN$3,0,0,'Données projet'!$E$15+1,1))-AVERAGE(OFFSET($H$3,0,0,'Données projet'!$E$15+1,1))</f>
        <v>238.83604534181978</v>
      </c>
      <c r="EP142" s="59">
        <f t="shared" si="154"/>
        <v>114.85152559837792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5.6843418860808015E-14</v>
      </c>
      <c r="FF142" s="17">
        <f>FE142*VLOOKUP('Données projet'!$B$16,Paramètres!$A$1:$I$89,3,0)*VLOOKUP('Données projet'!$B$16,Paramètres!$A$1:$I$89,5,0)</f>
        <v>4.6111381379887463E-14</v>
      </c>
      <c r="FG142" s="13">
        <f t="shared" si="155"/>
        <v>7.5804141040779151E-13</v>
      </c>
      <c r="FH142" s="20">
        <f t="shared" si="130"/>
        <v>1.4005661123635408E-12</v>
      </c>
      <c r="FI142" s="59">
        <f t="shared" si="131"/>
        <v>293.33333333333474</v>
      </c>
      <c r="FJ142" s="59">
        <f ca="1">AVERAGE(OFFSET($FI$3,0,0,'Données projet'!$E$16+1,1))-AVERAGE(OFFSET($H$3,0,0,'Données projet'!$E$16+1,1))</f>
        <v>196.95467273423861</v>
      </c>
      <c r="FK142" s="59">
        <f t="shared" si="156"/>
        <v>173.8709326829258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26.629073517367601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5.4269913924496563E-8</v>
      </c>
      <c r="FT142" s="22">
        <f t="shared" si="132"/>
        <v>26.629073571637516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5.6843418860808015E-14</v>
      </c>
      <c r="GA142" s="17">
        <f>FZ142*VLOOKUP('Données projet'!$B$17,Paramètres!$A$1:$I$89,3,0)*VLOOKUP('Données projet'!$B$17,Paramètres!$A$1:$I$89,5,0)</f>
        <v>6.1186256061773749E-14</v>
      </c>
      <c r="GB142" s="13">
        <f t="shared" si="157"/>
        <v>9.7328366192051127E-13</v>
      </c>
      <c r="GC142" s="20">
        <f t="shared" si="133"/>
        <v>1.8017017738191463E-12</v>
      </c>
      <c r="GD142" s="59">
        <f t="shared" si="134"/>
        <v>293.33333333333513</v>
      </c>
      <c r="GE142" s="59">
        <f ca="1">AVERAGE(OFFSET($GD$3,0,0,'Données projet'!$E$17+1,1))-AVERAGE(OFFSET($H$3,0,0,'Données projet'!$E$17+1,1))</f>
        <v>275.5229427552884</v>
      </c>
      <c r="GF142" s="59">
        <f t="shared" si="158"/>
        <v>241.20234081716143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35.33473216727625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7.2012001169043464E-8</v>
      </c>
      <c r="GO142" s="21">
        <f t="shared" si="135"/>
        <v>35.33473223928825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274.57619581652199</v>
      </c>
      <c r="T143" s="59">
        <f t="shared" si="142"/>
        <v>366.15117322598775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 t="e">
        <f>EXP(-LN(2)/35)*Z142+(1-EXP(-LN(2)/35))/(LN(2)/35)*V143*W143*VLOOKUP('Données projet'!$B$9,Paramètres!$A$1:$I$89,3,0)*0.475*44/12</f>
        <v>#VALUE!</v>
      </c>
      <c r="AA143" s="21" t="e">
        <f>EXP(-LN(2)/25)*AA142+(1-EXP(-LN(2)/25))/(LN(2)/25)*Calculateur!V143*Calculateur!X143*VLOOKUP('Données projet'!$B$9,Paramètres!$A$1:$I$89,3,0)*0.475*44/12</f>
        <v>#VALUE!</v>
      </c>
      <c r="AB143" s="21" t="e">
        <f>EXP(-LN(2)/2)*AB142+(1-EXP(-LN(2)/2))/(LN(2)/2)*V143*Y143*VLOOKUP('Données projet'!$B$9,Paramètres!$A$1:$I$89,3,0)*0.475*44/12</f>
        <v>#VALUE!</v>
      </c>
      <c r="AC143" s="22" t="e">
        <f t="shared" si="111"/>
        <v>#VALUE!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175.05987582828078</v>
      </c>
      <c r="AO143" s="59">
        <f t="shared" si="144"/>
        <v>268.54782308462387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34.522344984163972</v>
      </c>
      <c r="AV143" s="21">
        <f>EXP(-LN(2)/25)*AV142+(1-EXP(-LN(2)/25))/(LN(2)/25)*Calculateur!AQ143*Calculateur!AS143*VLOOKUP('Données projet'!$B$10,Paramètres!$A$1:$I$89,3,0)*0.475*44/12</f>
        <v>4.5863157552274449</v>
      </c>
      <c r="AW143" s="21">
        <f>EXP(-LN(2)/2)*AW142+(1-EXP(-LN(2)/2))/(LN(2)/2)*AQ143*AT143*VLOOKUP('Données projet'!$B$10,Paramètres!$A$1:$I$89,3,0)*0.475*44/12</f>
        <v>2.5883727425224093E-11</v>
      </c>
      <c r="AX143" s="21">
        <f t="shared" si="114"/>
        <v>39.108660739417303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252.70779718608964</v>
      </c>
      <c r="BJ143" s="59">
        <f t="shared" si="146"/>
        <v>187.86969111712705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107.73198273792272</v>
      </c>
      <c r="BQ143" s="21">
        <f>EXP(-LN(2)/25)*BQ142+(1-EXP(-LN(2)/25))/(LN(2)/25)*Calculateur!BL143*Calculateur!BN143*VLOOKUP('Données projet'!$B$11,Paramètres!$A$1:$I$89,3,0)*0.475*44/12</f>
        <v>17.868395913352082</v>
      </c>
      <c r="BR143" s="21">
        <f>EXP(-LN(2)/2)*BR142+(1-EXP(-LN(2)/2))/(LN(2)/2)*BL143*BO143*VLOOKUP('Données projet'!$B$11,Paramètres!$A$1:$I$89,3,0)*0.475*44/12</f>
        <v>4.5500432028713824E-5</v>
      </c>
      <c r="BS143" s="22">
        <f t="shared" si="117"/>
        <v>125.60042415170683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-2.2737367544323206E-13</v>
      </c>
      <c r="BZ143" s="13">
        <f>BY143*VLOOKUP('Données projet'!$B$12,Paramètres!$A$1:$I$89,3,0)*VLOOKUP('Données projet'!$B$12,Paramètres!$A$1:$I$89,5,0)</f>
        <v>-1.3596945791505279E-13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279.86432710889352</v>
      </c>
      <c r="CE143" s="59">
        <f t="shared" si="148"/>
        <v>297.01680128882509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26.023715825622713</v>
      </c>
      <c r="CL143" s="21">
        <f>EXP(-LN(2)/25)*CL142+(1-EXP(-LN(2)/25))/(LN(2)/25)*Calculateur!CG143*Calculateur!CI143*VLOOKUP('Données projet'!$B$12,Paramètres!$A$1:$I$89,3,0)*0.475*44/12</f>
        <v>11.913306416795209</v>
      </c>
      <c r="CM143" s="21">
        <f>EXP(-LN(2)/2)*CM142+(1-EXP(-LN(2)/2))/(LN(2)/2)*CG143*CJ143*VLOOKUP('Données projet'!$B$12,Paramètres!$A$1:$I$89,3,0)*0.475*44/12</f>
        <v>3.9253689752642465E-10</v>
      </c>
      <c r="CN143" s="22">
        <f t="shared" si="120"/>
        <v>37.937022242810464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-12.000000000000284</v>
      </c>
      <c r="CU143" s="17">
        <f>CT143*VLOOKUP('Données projet'!$B$13,Paramètres!$A$1:$I$89,3,0)*VLOOKUP('Données projet'!$B$13,Paramètres!$A$1:$I$89,5,0)</f>
        <v>-9.5472000000002257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314.6300257056194</v>
      </c>
      <c r="CZ143" s="59">
        <f t="shared" si="150"/>
        <v>298.00555477466668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43.303462999386056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43.303462999386056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-12.000000000000284</v>
      </c>
      <c r="DP143" s="17">
        <f>DO143*VLOOKUP('Données projet'!$B$14,Paramètres!$A$1:$I$89,3,0)*VLOOKUP('Données projet'!$B$14,Paramètres!$A$1:$I$89,5,0)</f>
        <v>-9.5472000000002257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314.6300257056194</v>
      </c>
      <c r="DU143" s="59">
        <f t="shared" si="152"/>
        <v>298.00555477466668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43.303462999386056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43.303462999386056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441.23846153846227</v>
      </c>
      <c r="EK143" s="17">
        <f>EJ143*VLOOKUP('Données projet'!$B$15,Paramètres!$A$1:$I$89,3,0)*VLOOKUP('Données projet'!$B$15,Paramètres!$A$1:$I$89,5,0)</f>
        <v>212.23570000000035</v>
      </c>
      <c r="EL143" s="13">
        <f t="shared" si="153"/>
        <v>52.423840876495639</v>
      </c>
      <c r="EM143" s="20">
        <f t="shared" si="127"/>
        <v>460.9487003598972</v>
      </c>
      <c r="EN143" s="59">
        <f t="shared" si="128"/>
        <v>754.28203369323046</v>
      </c>
      <c r="EO143" s="59">
        <f ca="1">AVERAGE(OFFSET($EN$3,0,0,'Données projet'!$E$15+1,1))-AVERAGE(OFFSET($H$3,0,0,'Données projet'!$E$15+1,1))</f>
        <v>238.83604534181978</v>
      </c>
      <c r="EP143" s="59">
        <f t="shared" si="154"/>
        <v>114.85152559837792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5.6843418860808015E-14</v>
      </c>
      <c r="FF143" s="17">
        <f>FE143*VLOOKUP('Données projet'!$B$16,Paramètres!$A$1:$I$89,3,0)*VLOOKUP('Données projet'!$B$16,Paramètres!$A$1:$I$89,5,0)</f>
        <v>4.6111381379887463E-14</v>
      </c>
      <c r="FG143" s="13">
        <f t="shared" si="155"/>
        <v>7.5804141040779151E-13</v>
      </c>
      <c r="FH143" s="20">
        <f t="shared" si="130"/>
        <v>1.4005661123635408E-12</v>
      </c>
      <c r="FI143" s="59">
        <f t="shared" si="131"/>
        <v>293.33333333333474</v>
      </c>
      <c r="FJ143" s="59">
        <f ca="1">AVERAGE(OFFSET($FI$3,0,0,'Données projet'!$E$16+1,1))-AVERAGE(OFFSET($H$3,0,0,'Données projet'!$E$16+1,1))</f>
        <v>196.95467273423861</v>
      </c>
      <c r="FK143" s="59">
        <f t="shared" si="156"/>
        <v>173.8709326829258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26.106893627823091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3.8374624150421759E-8</v>
      </c>
      <c r="FT143" s="22">
        <f t="shared" si="132"/>
        <v>26.106893666197713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5.6843418860808015E-14</v>
      </c>
      <c r="GA143" s="17">
        <f>FZ143*VLOOKUP('Données projet'!$B$17,Paramètres!$A$1:$I$89,3,0)*VLOOKUP('Données projet'!$B$17,Paramètres!$A$1:$I$89,5,0)</f>
        <v>6.1186256061773749E-14</v>
      </c>
      <c r="GB143" s="13">
        <f t="shared" si="157"/>
        <v>9.7328366192051127E-13</v>
      </c>
      <c r="GC143" s="20">
        <f t="shared" si="133"/>
        <v>1.8017017738191463E-12</v>
      </c>
      <c r="GD143" s="59">
        <f t="shared" si="134"/>
        <v>293.33333333333513</v>
      </c>
      <c r="GE143" s="59">
        <f ca="1">AVERAGE(OFFSET($GD$3,0,0,'Données projet'!$E$17+1,1))-AVERAGE(OFFSET($H$3,0,0,'Données projet'!$E$17+1,1))</f>
        <v>275.5229427552884</v>
      </c>
      <c r="GF143" s="59">
        <f t="shared" si="158"/>
        <v>241.20234081716143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34.641839621534494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5.0920174353444222E-8</v>
      </c>
      <c r="GO143" s="21">
        <f t="shared" si="135"/>
        <v>34.641839672454665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274.57619581652199</v>
      </c>
      <c r="T144" s="59">
        <f t="shared" si="142"/>
        <v>366.15117322598775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 t="e">
        <f>EXP(-LN(2)/35)*Z143+(1-EXP(-LN(2)/35))/(LN(2)/35)*V144*W144*VLOOKUP('Données projet'!$B$9,Paramètres!$A$1:$I$89,3,0)*0.475*44/12</f>
        <v>#VALUE!</v>
      </c>
      <c r="AA144" s="21" t="e">
        <f>EXP(-LN(2)/25)*AA143+(1-EXP(-LN(2)/25))/(LN(2)/25)*Calculateur!V144*Calculateur!X144*VLOOKUP('Données projet'!$B$9,Paramètres!$A$1:$I$89,3,0)*0.475*44/12</f>
        <v>#VALUE!</v>
      </c>
      <c r="AB144" s="21" t="e">
        <f>EXP(-LN(2)/2)*AB143+(1-EXP(-LN(2)/2))/(LN(2)/2)*V144*Y144*VLOOKUP('Données projet'!$B$9,Paramètres!$A$1:$I$89,3,0)*0.475*44/12</f>
        <v>#VALUE!</v>
      </c>
      <c r="AC144" s="22" t="e">
        <f t="shared" si="111"/>
        <v>#VALUE!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175.05987582828078</v>
      </c>
      <c r="AO144" s="59">
        <f t="shared" si="144"/>
        <v>268.54782308462387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33.845382855575792</v>
      </c>
      <c r="AV144" s="21">
        <f>EXP(-LN(2)/25)*AV143+(1-EXP(-LN(2)/25))/(LN(2)/25)*Calculateur!AQ144*Calculateur!AS144*VLOOKUP('Données projet'!$B$10,Paramètres!$A$1:$I$89,3,0)*0.475*44/12</f>
        <v>4.460902709716887</v>
      </c>
      <c r="AW144" s="21">
        <f>EXP(-LN(2)/2)*AW143+(1-EXP(-LN(2)/2))/(LN(2)/2)*AQ144*AT144*VLOOKUP('Données projet'!$B$10,Paramètres!$A$1:$I$89,3,0)*0.475*44/12</f>
        <v>1.8302559184760171E-11</v>
      </c>
      <c r="AX144" s="21">
        <f t="shared" si="114"/>
        <v>38.306285565310986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252.70779718608964</v>
      </c>
      <c r="BJ144" s="59">
        <f t="shared" si="146"/>
        <v>187.86969111712705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105.61942426645319</v>
      </c>
      <c r="BQ144" s="21">
        <f>EXP(-LN(2)/25)*BQ143+(1-EXP(-LN(2)/25))/(LN(2)/25)*Calculateur!BL144*Calculateur!BN144*VLOOKUP('Données projet'!$B$11,Paramètres!$A$1:$I$89,3,0)*0.475*44/12</f>
        <v>17.379783687443368</v>
      </c>
      <c r="BR144" s="21">
        <f>EXP(-LN(2)/2)*BR143+(1-EXP(-LN(2)/2))/(LN(2)/2)*BL144*BO144*VLOOKUP('Données projet'!$B$11,Paramètres!$A$1:$I$89,3,0)*0.475*44/12</f>
        <v>3.2173664034421123E-5</v>
      </c>
      <c r="BS144" s="22">
        <f t="shared" si="117"/>
        <v>122.9992401275606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-2.2737367544323206E-13</v>
      </c>
      <c r="BZ144" s="13">
        <f>BY144*VLOOKUP('Données projet'!$B$12,Paramètres!$A$1:$I$89,3,0)*VLOOKUP('Données projet'!$B$12,Paramètres!$A$1:$I$89,5,0)</f>
        <v>-1.3596945791505279E-13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279.86432710889352</v>
      </c>
      <c r="CE144" s="59">
        <f t="shared" si="148"/>
        <v>297.01680128882509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25.513406631181585</v>
      </c>
      <c r="CL144" s="21">
        <f>EXP(-LN(2)/25)*CL143+(1-EXP(-LN(2)/25))/(LN(2)/25)*Calculateur!CG144*Calculateur!CI144*VLOOKUP('Données projet'!$B$12,Paramètres!$A$1:$I$89,3,0)*0.475*44/12</f>
        <v>11.587536426334387</v>
      </c>
      <c r="CM144" s="21">
        <f>EXP(-LN(2)/2)*CM143+(1-EXP(-LN(2)/2))/(LN(2)/2)*CG144*CJ144*VLOOKUP('Données projet'!$B$12,Paramètres!$A$1:$I$89,3,0)*0.475*44/12</f>
        <v>2.7756550210686378E-10</v>
      </c>
      <c r="CN144" s="22">
        <f t="shared" si="120"/>
        <v>37.100943057793536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-12.000000000000284</v>
      </c>
      <c r="CU144" s="17">
        <f>CT144*VLOOKUP('Données projet'!$B$13,Paramètres!$A$1:$I$89,3,0)*VLOOKUP('Données projet'!$B$13,Paramètres!$A$1:$I$89,5,0)</f>
        <v>-9.5472000000002257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314.6300257056194</v>
      </c>
      <c r="CZ144" s="59">
        <f t="shared" si="150"/>
        <v>298.00555477466668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42.454308502472507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42.454308502472507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-12.000000000000284</v>
      </c>
      <c r="DP144" s="17">
        <f>DO144*VLOOKUP('Données projet'!$B$14,Paramètres!$A$1:$I$89,3,0)*VLOOKUP('Données projet'!$B$14,Paramètres!$A$1:$I$89,5,0)</f>
        <v>-9.5472000000002257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314.6300257056194</v>
      </c>
      <c r="DU144" s="59">
        <f t="shared" si="152"/>
        <v>298.00555477466668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42.454308502472507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42.454308502472507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441.23846153846227</v>
      </c>
      <c r="EK144" s="17">
        <f>EJ144*VLOOKUP('Données projet'!$B$15,Paramètres!$A$1:$I$89,3,0)*VLOOKUP('Données projet'!$B$15,Paramètres!$A$1:$I$89,5,0)</f>
        <v>212.23570000000035</v>
      </c>
      <c r="EL144" s="13">
        <f t="shared" si="153"/>
        <v>52.423840876495639</v>
      </c>
      <c r="EM144" s="20">
        <f t="shared" si="127"/>
        <v>460.9487003598972</v>
      </c>
      <c r="EN144" s="59">
        <f t="shared" si="128"/>
        <v>754.28203369323046</v>
      </c>
      <c r="EO144" s="59">
        <f ca="1">AVERAGE(OFFSET($EN$3,0,0,'Données projet'!$E$15+1,1))-AVERAGE(OFFSET($H$3,0,0,'Données projet'!$E$15+1,1))</f>
        <v>238.83604534181978</v>
      </c>
      <c r="EP144" s="59">
        <f t="shared" si="154"/>
        <v>114.85152559837792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5.6843418860808015E-14</v>
      </c>
      <c r="FF144" s="17">
        <f>FE144*VLOOKUP('Données projet'!$B$16,Paramètres!$A$1:$I$89,3,0)*VLOOKUP('Données projet'!$B$16,Paramètres!$A$1:$I$89,5,0)</f>
        <v>4.6111381379887463E-14</v>
      </c>
      <c r="FG144" s="13">
        <f t="shared" si="155"/>
        <v>7.5804141040779151E-13</v>
      </c>
      <c r="FH144" s="20">
        <f t="shared" si="130"/>
        <v>1.4005661123635408E-12</v>
      </c>
      <c r="FI144" s="59">
        <f t="shared" si="131"/>
        <v>293.33333333333474</v>
      </c>
      <c r="FJ144" s="59">
        <f ca="1">AVERAGE(OFFSET($FI$3,0,0,'Données projet'!$E$16+1,1))-AVERAGE(OFFSET($H$3,0,0,'Données projet'!$E$16+1,1))</f>
        <v>196.95467273423861</v>
      </c>
      <c r="FK144" s="59">
        <f t="shared" si="156"/>
        <v>173.8709326829258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25.594953367414266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2.7134956962248282E-8</v>
      </c>
      <c r="FT144" s="22">
        <f t="shared" si="132"/>
        <v>25.594953394549222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5.6843418860808015E-14</v>
      </c>
      <c r="GA144" s="17">
        <f>FZ144*VLOOKUP('Données projet'!$B$17,Paramètres!$A$1:$I$89,3,0)*VLOOKUP('Données projet'!$B$17,Paramètres!$A$1:$I$89,5,0)</f>
        <v>6.1186256061773749E-14</v>
      </c>
      <c r="GB144" s="13">
        <f t="shared" si="157"/>
        <v>9.7328366192051127E-13</v>
      </c>
      <c r="GC144" s="20">
        <f t="shared" si="133"/>
        <v>1.8017017738191463E-12</v>
      </c>
      <c r="GD144" s="59">
        <f t="shared" si="134"/>
        <v>293.33333333333513</v>
      </c>
      <c r="GE144" s="59">
        <f ca="1">AVERAGE(OFFSET($GD$3,0,0,'Données projet'!$E$17+1,1))-AVERAGE(OFFSET($H$3,0,0,'Données projet'!$E$17+1,1))</f>
        <v>275.5229427552884</v>
      </c>
      <c r="GF144" s="59">
        <f t="shared" si="158"/>
        <v>241.20234081716143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33.962534275992013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3.6006000584521732E-8</v>
      </c>
      <c r="GO144" s="21">
        <f t="shared" si="135"/>
        <v>33.962534311998013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274.57619581652199</v>
      </c>
      <c r="T145" s="59">
        <f t="shared" si="142"/>
        <v>366.15117322598775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 t="e">
        <f>EXP(-LN(2)/35)*Z144+(1-EXP(-LN(2)/35))/(LN(2)/35)*V145*W145*VLOOKUP('Données projet'!$B$9,Paramètres!$A$1:$I$89,3,0)*0.475*44/12</f>
        <v>#VALUE!</v>
      </c>
      <c r="AA145" s="21" t="e">
        <f>EXP(-LN(2)/25)*AA144+(1-EXP(-LN(2)/25))/(LN(2)/25)*Calculateur!V145*Calculateur!X145*VLOOKUP('Données projet'!$B$9,Paramètres!$A$1:$I$89,3,0)*0.475*44/12</f>
        <v>#VALUE!</v>
      </c>
      <c r="AB145" s="21" t="e">
        <f>EXP(-LN(2)/2)*AB144+(1-EXP(-LN(2)/2))/(LN(2)/2)*V145*Y145*VLOOKUP('Données projet'!$B$9,Paramètres!$A$1:$I$89,3,0)*0.475*44/12</f>
        <v>#VALUE!</v>
      </c>
      <c r="AC145" s="22" t="e">
        <f t="shared" si="111"/>
        <v>#VALUE!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175.05987582828078</v>
      </c>
      <c r="AO145" s="59">
        <f t="shared" si="144"/>
        <v>268.54782308462387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33.181695541423103</v>
      </c>
      <c r="AV145" s="21">
        <f>EXP(-LN(2)/25)*AV144+(1-EXP(-LN(2)/25))/(LN(2)/25)*Calculateur!AQ145*Calculateur!AS145*VLOOKUP('Données projet'!$B$10,Paramètres!$A$1:$I$89,3,0)*0.475*44/12</f>
        <v>4.3389190905310011</v>
      </c>
      <c r="AW145" s="21">
        <f>EXP(-LN(2)/2)*AW144+(1-EXP(-LN(2)/2))/(LN(2)/2)*AQ145*AT145*VLOOKUP('Données projet'!$B$10,Paramètres!$A$1:$I$89,3,0)*0.475*44/12</f>
        <v>1.2941863712612046E-11</v>
      </c>
      <c r="AX145" s="21">
        <f t="shared" si="114"/>
        <v>37.520614631967042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252.70779718608964</v>
      </c>
      <c r="BJ145" s="59">
        <f t="shared" si="146"/>
        <v>187.86969111712705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103.54829177807575</v>
      </c>
      <c r="BQ145" s="21">
        <f>EXP(-LN(2)/25)*BQ144+(1-EXP(-LN(2)/25))/(LN(2)/25)*Calculateur!BL145*Calculateur!BN145*VLOOKUP('Données projet'!$B$11,Paramètres!$A$1:$I$89,3,0)*0.475*44/12</f>
        <v>16.904532588547127</v>
      </c>
      <c r="BR145" s="21">
        <f>EXP(-LN(2)/2)*BR144+(1-EXP(-LN(2)/2))/(LN(2)/2)*BL145*BO145*VLOOKUP('Données projet'!$B$11,Paramètres!$A$1:$I$89,3,0)*0.475*44/12</f>
        <v>2.2750216014356912E-5</v>
      </c>
      <c r="BS145" s="22">
        <f t="shared" si="117"/>
        <v>120.4528471168389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-2.2737367544323206E-13</v>
      </c>
      <c r="BZ145" s="13">
        <f>BY145*VLOOKUP('Données projet'!$B$12,Paramètres!$A$1:$I$89,3,0)*VLOOKUP('Données projet'!$B$12,Paramètres!$A$1:$I$89,5,0)</f>
        <v>-1.3596945791505279E-13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279.86432710889352</v>
      </c>
      <c r="CE145" s="59">
        <f t="shared" si="148"/>
        <v>297.01680128882509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25.013104288785573</v>
      </c>
      <c r="CL145" s="21">
        <f>EXP(-LN(2)/25)*CL144+(1-EXP(-LN(2)/25))/(LN(2)/25)*Calculateur!CG145*Calculateur!CI145*VLOOKUP('Données projet'!$B$12,Paramètres!$A$1:$I$89,3,0)*0.475*44/12</f>
        <v>11.270674633394215</v>
      </c>
      <c r="CM145" s="21">
        <f>EXP(-LN(2)/2)*CM144+(1-EXP(-LN(2)/2))/(LN(2)/2)*CG145*CJ145*VLOOKUP('Données projet'!$B$12,Paramètres!$A$1:$I$89,3,0)*0.475*44/12</f>
        <v>1.9626844876321233E-10</v>
      </c>
      <c r="CN145" s="22">
        <f t="shared" si="120"/>
        <v>36.283778922376058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-12.000000000000284</v>
      </c>
      <c r="CU145" s="17">
        <f>CT145*VLOOKUP('Données projet'!$B$13,Paramètres!$A$1:$I$89,3,0)*VLOOKUP('Données projet'!$B$13,Paramètres!$A$1:$I$89,5,0)</f>
        <v>-9.5472000000002257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314.6300257056194</v>
      </c>
      <c r="CZ145" s="59">
        <f t="shared" si="150"/>
        <v>298.00555477466668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41.621805407310333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41.621805407310333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-12.000000000000284</v>
      </c>
      <c r="DP145" s="17">
        <f>DO145*VLOOKUP('Données projet'!$B$14,Paramètres!$A$1:$I$89,3,0)*VLOOKUP('Données projet'!$B$14,Paramètres!$A$1:$I$89,5,0)</f>
        <v>-9.5472000000002257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314.6300257056194</v>
      </c>
      <c r="DU145" s="59">
        <f t="shared" si="152"/>
        <v>298.00555477466668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41.621805407310333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41.621805407310333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441.23846153846227</v>
      </c>
      <c r="EK145" s="17">
        <f>EJ145*VLOOKUP('Données projet'!$B$15,Paramètres!$A$1:$I$89,3,0)*VLOOKUP('Données projet'!$B$15,Paramètres!$A$1:$I$89,5,0)</f>
        <v>212.23570000000035</v>
      </c>
      <c r="EL145" s="13">
        <f t="shared" si="153"/>
        <v>52.423840876495639</v>
      </c>
      <c r="EM145" s="20">
        <f t="shared" si="127"/>
        <v>460.9487003598972</v>
      </c>
      <c r="EN145" s="59">
        <f t="shared" si="128"/>
        <v>754.28203369323046</v>
      </c>
      <c r="EO145" s="59">
        <f ca="1">AVERAGE(OFFSET($EN$3,0,0,'Données projet'!$E$15+1,1))-AVERAGE(OFFSET($H$3,0,0,'Données projet'!$E$15+1,1))</f>
        <v>238.83604534181978</v>
      </c>
      <c r="EP145" s="59">
        <f t="shared" si="154"/>
        <v>114.85152559837792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5.6843418860808015E-14</v>
      </c>
      <c r="FF145" s="17">
        <f>FE145*VLOOKUP('Données projet'!$B$16,Paramètres!$A$1:$I$89,3,0)*VLOOKUP('Données projet'!$B$16,Paramètres!$A$1:$I$89,5,0)</f>
        <v>4.6111381379887463E-14</v>
      </c>
      <c r="FG145" s="13">
        <f t="shared" si="155"/>
        <v>7.5804141040779151E-13</v>
      </c>
      <c r="FH145" s="20">
        <f t="shared" si="130"/>
        <v>1.4005661123635408E-12</v>
      </c>
      <c r="FI145" s="59">
        <f t="shared" si="131"/>
        <v>293.33333333333474</v>
      </c>
      <c r="FJ145" s="59">
        <f ca="1">AVERAGE(OFFSET($FI$3,0,0,'Données projet'!$E$16+1,1))-AVERAGE(OFFSET($H$3,0,0,'Données projet'!$E$16+1,1))</f>
        <v>196.95467273423861</v>
      </c>
      <c r="FK145" s="59">
        <f t="shared" si="156"/>
        <v>173.8709326829258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25.093051943259329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1.918731207521088E-8</v>
      </c>
      <c r="FT145" s="22">
        <f t="shared" si="132"/>
        <v>25.093051962446641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5.6843418860808015E-14</v>
      </c>
      <c r="GA145" s="17">
        <f>FZ145*VLOOKUP('Données projet'!$B$17,Paramètres!$A$1:$I$89,3,0)*VLOOKUP('Données projet'!$B$17,Paramètres!$A$1:$I$89,5,0)</f>
        <v>6.1186256061773749E-14</v>
      </c>
      <c r="GB145" s="13">
        <f t="shared" si="157"/>
        <v>9.7328366192051127E-13</v>
      </c>
      <c r="GC145" s="20">
        <f t="shared" si="133"/>
        <v>1.8017017738191463E-12</v>
      </c>
      <c r="GD145" s="59">
        <f t="shared" si="134"/>
        <v>293.33333333333513</v>
      </c>
      <c r="GE145" s="59">
        <f ca="1">AVERAGE(OFFSET($GD$3,0,0,'Données projet'!$E$17+1,1))-AVERAGE(OFFSET($H$3,0,0,'Données projet'!$E$17+1,1))</f>
        <v>275.5229427552884</v>
      </c>
      <c r="GF145" s="59">
        <f t="shared" si="158"/>
        <v>241.20234081716143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33.296549693940271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2.5460087176722111E-8</v>
      </c>
      <c r="GO145" s="21">
        <f t="shared" si="135"/>
        <v>33.29654971940036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274.57619581652199</v>
      </c>
      <c r="T146" s="59">
        <f t="shared" si="142"/>
        <v>366.15117322598775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 t="e">
        <f>EXP(-LN(2)/35)*Z145+(1-EXP(-LN(2)/35))/(LN(2)/35)*V146*W146*VLOOKUP('Données projet'!$B$9,Paramètres!$A$1:$I$89,3,0)*0.475*44/12</f>
        <v>#VALUE!</v>
      </c>
      <c r="AA146" s="21" t="e">
        <f>EXP(-LN(2)/25)*AA145+(1-EXP(-LN(2)/25))/(LN(2)/25)*Calculateur!V146*Calculateur!X146*VLOOKUP('Données projet'!$B$9,Paramètres!$A$1:$I$89,3,0)*0.475*44/12</f>
        <v>#VALUE!</v>
      </c>
      <c r="AB146" s="21" t="e">
        <f>EXP(-LN(2)/2)*AB145+(1-EXP(-LN(2)/2))/(LN(2)/2)*V146*Y146*VLOOKUP('Données projet'!$B$9,Paramètres!$A$1:$I$89,3,0)*0.475*44/12</f>
        <v>#VALUE!</v>
      </c>
      <c r="AC146" s="22" t="e">
        <f t="shared" si="111"/>
        <v>#VALUE!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175.05987582828078</v>
      </c>
      <c r="AO146" s="59">
        <f t="shared" si="144"/>
        <v>268.54782308462387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32.53102273069166</v>
      </c>
      <c r="AV146" s="21">
        <f>EXP(-LN(2)/25)*AV145+(1-EXP(-LN(2)/25))/(LN(2)/25)*Calculateur!AQ146*Calculateur!AS146*VLOOKUP('Données projet'!$B$10,Paramètres!$A$1:$I$89,3,0)*0.475*44/12</f>
        <v>4.2202711198265925</v>
      </c>
      <c r="AW146" s="21">
        <f>EXP(-LN(2)/2)*AW145+(1-EXP(-LN(2)/2))/(LN(2)/2)*AQ146*AT146*VLOOKUP('Données projet'!$B$10,Paramètres!$A$1:$I$89,3,0)*0.475*44/12</f>
        <v>9.1512795923800856E-12</v>
      </c>
      <c r="AX146" s="21">
        <f t="shared" si="114"/>
        <v>36.751293850527404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252.70779718608964</v>
      </c>
      <c r="BJ146" s="59">
        <f t="shared" si="146"/>
        <v>187.86969111712705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101.51777293452932</v>
      </c>
      <c r="BQ146" s="21">
        <f>EXP(-LN(2)/25)*BQ145+(1-EXP(-LN(2)/25))/(LN(2)/25)*Calculateur!BL146*Calculateur!BN146*VLOOKUP('Données projet'!$B$11,Paramètres!$A$1:$I$89,3,0)*0.475*44/12</f>
        <v>16.442277255942574</v>
      </c>
      <c r="BR146" s="21">
        <f>EXP(-LN(2)/2)*BR145+(1-EXP(-LN(2)/2))/(LN(2)/2)*BL146*BO146*VLOOKUP('Données projet'!$B$11,Paramètres!$A$1:$I$89,3,0)*0.475*44/12</f>
        <v>1.6086832017210562E-5</v>
      </c>
      <c r="BS146" s="22">
        <f t="shared" si="117"/>
        <v>117.96006627730391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-2.2737367544323206E-13</v>
      </c>
      <c r="BZ146" s="13">
        <f>BY146*VLOOKUP('Données projet'!$B$12,Paramètres!$A$1:$I$89,3,0)*VLOOKUP('Données projet'!$B$12,Paramètres!$A$1:$I$89,5,0)</f>
        <v>-1.3596945791505279E-13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279.86432710889352</v>
      </c>
      <c r="CE146" s="59">
        <f t="shared" si="148"/>
        <v>297.01680128882509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24.522612570169652</v>
      </c>
      <c r="CL146" s="21">
        <f>EXP(-LN(2)/25)*CL145+(1-EXP(-LN(2)/25))/(LN(2)/25)*Calculateur!CG146*Calculateur!CI146*VLOOKUP('Données projet'!$B$12,Paramètres!$A$1:$I$89,3,0)*0.475*44/12</f>
        <v>10.96247744284503</v>
      </c>
      <c r="CM146" s="21">
        <f>EXP(-LN(2)/2)*CM145+(1-EXP(-LN(2)/2))/(LN(2)/2)*CG146*CJ146*VLOOKUP('Données projet'!$B$12,Paramètres!$A$1:$I$89,3,0)*0.475*44/12</f>
        <v>1.3878275105343189E-10</v>
      </c>
      <c r="CN146" s="22">
        <f t="shared" si="120"/>
        <v>35.485090013153467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-12.000000000000284</v>
      </c>
      <c r="CU146" s="17">
        <f>CT146*VLOOKUP('Données projet'!$B$13,Paramètres!$A$1:$I$89,3,0)*VLOOKUP('Données projet'!$B$13,Paramètres!$A$1:$I$89,5,0)</f>
        <v>-9.5472000000002257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314.6300257056194</v>
      </c>
      <c r="CZ146" s="59">
        <f t="shared" si="150"/>
        <v>298.00555477466668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40.80562719006754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40.80562719006754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-12.000000000000284</v>
      </c>
      <c r="DP146" s="17">
        <f>DO146*VLOOKUP('Données projet'!$B$14,Paramètres!$A$1:$I$89,3,0)*VLOOKUP('Données projet'!$B$14,Paramètres!$A$1:$I$89,5,0)</f>
        <v>-9.5472000000002257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314.6300257056194</v>
      </c>
      <c r="DU146" s="59">
        <f t="shared" si="152"/>
        <v>298.00555477466668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40.80562719006754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40.80562719006754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441.23846153846227</v>
      </c>
      <c r="EK146" s="17">
        <f>EJ146*VLOOKUP('Données projet'!$B$15,Paramètres!$A$1:$I$89,3,0)*VLOOKUP('Données projet'!$B$15,Paramètres!$A$1:$I$89,5,0)</f>
        <v>212.23570000000035</v>
      </c>
      <c r="EL146" s="13">
        <f t="shared" si="153"/>
        <v>52.423840876495639</v>
      </c>
      <c r="EM146" s="20">
        <f t="shared" si="127"/>
        <v>460.9487003598972</v>
      </c>
      <c r="EN146" s="59">
        <f t="shared" si="128"/>
        <v>754.28203369323046</v>
      </c>
      <c r="EO146" s="59">
        <f ca="1">AVERAGE(OFFSET($EN$3,0,0,'Données projet'!$E$15+1,1))-AVERAGE(OFFSET($H$3,0,0,'Données projet'!$E$15+1,1))</f>
        <v>238.83604534181978</v>
      </c>
      <c r="EP146" s="59">
        <f t="shared" si="154"/>
        <v>114.85152559837792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5.6843418860808015E-14</v>
      </c>
      <c r="FF146" s="17">
        <f>FE146*VLOOKUP('Données projet'!$B$16,Paramètres!$A$1:$I$89,3,0)*VLOOKUP('Données projet'!$B$16,Paramètres!$A$1:$I$89,5,0)</f>
        <v>4.6111381379887463E-14</v>
      </c>
      <c r="FG146" s="13">
        <f t="shared" si="155"/>
        <v>7.5804141040779151E-13</v>
      </c>
      <c r="FH146" s="20">
        <f t="shared" si="130"/>
        <v>1.4005661123635408E-12</v>
      </c>
      <c r="FI146" s="59">
        <f t="shared" si="131"/>
        <v>293.33333333333474</v>
      </c>
      <c r="FJ146" s="59">
        <f ca="1">AVERAGE(OFFSET($FI$3,0,0,'Données projet'!$E$16+1,1))-AVERAGE(OFFSET($H$3,0,0,'Données projet'!$E$16+1,1))</f>
        <v>196.95467273423861</v>
      </c>
      <c r="FK146" s="59">
        <f t="shared" si="156"/>
        <v>173.8709326829258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24.600992499902432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1.3567478481124141E-8</v>
      </c>
      <c r="FT146" s="22">
        <f t="shared" si="132"/>
        <v>24.600992513469912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5.6843418860808015E-14</v>
      </c>
      <c r="GA146" s="17">
        <f>FZ146*VLOOKUP('Données projet'!$B$17,Paramètres!$A$1:$I$89,3,0)*VLOOKUP('Données projet'!$B$17,Paramètres!$A$1:$I$89,5,0)</f>
        <v>6.1186256061773749E-14</v>
      </c>
      <c r="GB146" s="13">
        <f t="shared" si="157"/>
        <v>9.7328366192051127E-13</v>
      </c>
      <c r="GC146" s="20">
        <f t="shared" si="133"/>
        <v>1.8017017738191463E-12</v>
      </c>
      <c r="GD146" s="59">
        <f t="shared" si="134"/>
        <v>293.33333333333513</v>
      </c>
      <c r="GE146" s="59">
        <f ca="1">AVERAGE(OFFSET($GD$3,0,0,'Données projet'!$E$17+1,1))-AVERAGE(OFFSET($H$3,0,0,'Données projet'!$E$17+1,1))</f>
        <v>275.5229427552884</v>
      </c>
      <c r="GF146" s="59">
        <f t="shared" si="158"/>
        <v>241.20234081716143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32.643624663332076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1.8003000292260866E-8</v>
      </c>
      <c r="GO146" s="21">
        <f t="shared" si="135"/>
        <v>32.643624681335076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274.57619581652199</v>
      </c>
      <c r="T147" s="59">
        <f t="shared" si="142"/>
        <v>366.15117322598775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 t="e">
        <f>EXP(-LN(2)/35)*Z146+(1-EXP(-LN(2)/35))/(LN(2)/35)*V147*W147*VLOOKUP('Données projet'!$B$9,Paramètres!$A$1:$I$89,3,0)*0.475*44/12</f>
        <v>#VALUE!</v>
      </c>
      <c r="AA147" s="21" t="e">
        <f>EXP(-LN(2)/25)*AA146+(1-EXP(-LN(2)/25))/(LN(2)/25)*Calculateur!V147*Calculateur!X147*VLOOKUP('Données projet'!$B$9,Paramètres!$A$1:$I$89,3,0)*0.475*44/12</f>
        <v>#VALUE!</v>
      </c>
      <c r="AB147" s="21" t="e">
        <f>EXP(-LN(2)/2)*AB146+(1-EXP(-LN(2)/2))/(LN(2)/2)*V147*Y147*VLOOKUP('Données projet'!$B$9,Paramètres!$A$1:$I$89,3,0)*0.475*44/12</f>
        <v>#VALUE!</v>
      </c>
      <c r="AC147" s="22" t="e">
        <f t="shared" si="111"/>
        <v>#VALUE!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175.05987582828078</v>
      </c>
      <c r="AO147" s="59">
        <f t="shared" si="144"/>
        <v>268.54782308462387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31.89310921690743</v>
      </c>
      <c r="AV147" s="21">
        <f>EXP(-LN(2)/25)*AV146+(1-EXP(-LN(2)/25))/(LN(2)/25)*Calculateur!AQ147*Calculateur!AS147*VLOOKUP('Données projet'!$B$10,Paramètres!$A$1:$I$89,3,0)*0.475*44/12</f>
        <v>4.1048675841205213</v>
      </c>
      <c r="AW147" s="21">
        <f>EXP(-LN(2)/2)*AW146+(1-EXP(-LN(2)/2))/(LN(2)/2)*AQ147*AT147*VLOOKUP('Données projet'!$B$10,Paramètres!$A$1:$I$89,3,0)*0.475*44/12</f>
        <v>6.4709318563060231E-12</v>
      </c>
      <c r="AX147" s="21">
        <f t="shared" si="114"/>
        <v>35.997976801034426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252.70779718608964</v>
      </c>
      <c r="BJ147" s="59">
        <f t="shared" si="146"/>
        <v>187.86969111712705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99.527071327010617</v>
      </c>
      <c r="BQ147" s="21">
        <f>EXP(-LN(2)/25)*BQ146+(1-EXP(-LN(2)/25))/(LN(2)/25)*Calculateur!BL147*Calculateur!BN147*VLOOKUP('Données projet'!$B$11,Paramètres!$A$1:$I$89,3,0)*0.475*44/12</f>
        <v>15.992662319717043</v>
      </c>
      <c r="BR147" s="21">
        <f>EXP(-LN(2)/2)*BR146+(1-EXP(-LN(2)/2))/(LN(2)/2)*BL147*BO147*VLOOKUP('Données projet'!$B$11,Paramètres!$A$1:$I$89,3,0)*0.475*44/12</f>
        <v>1.1375108007178456E-5</v>
      </c>
      <c r="BS147" s="22">
        <f t="shared" si="117"/>
        <v>115.51974502183566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-2.2737367544323206E-13</v>
      </c>
      <c r="BZ147" s="13">
        <f>BY147*VLOOKUP('Données projet'!$B$12,Paramètres!$A$1:$I$89,3,0)*VLOOKUP('Données projet'!$B$12,Paramètres!$A$1:$I$89,5,0)</f>
        <v>-1.3596945791505279E-13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279.86432710889352</v>
      </c>
      <c r="CE147" s="59">
        <f t="shared" si="148"/>
        <v>297.01680128882509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24.041739094985381</v>
      </c>
      <c r="CL147" s="21">
        <f>EXP(-LN(2)/25)*CL146+(1-EXP(-LN(2)/25))/(LN(2)/25)*Calculateur!CG147*Calculateur!CI147*VLOOKUP('Données projet'!$B$12,Paramètres!$A$1:$I$89,3,0)*0.475*44/12</f>
        <v>10.662707920678798</v>
      </c>
      <c r="CM147" s="21">
        <f>EXP(-LN(2)/2)*CM146+(1-EXP(-LN(2)/2))/(LN(2)/2)*CG147*CJ147*VLOOKUP('Données projet'!$B$12,Paramètres!$A$1:$I$89,3,0)*0.475*44/12</f>
        <v>9.8134224381606163E-11</v>
      </c>
      <c r="CN147" s="22">
        <f t="shared" si="120"/>
        <v>34.704447015762312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-12.000000000000284</v>
      </c>
      <c r="CU147" s="17">
        <f>CT147*VLOOKUP('Données projet'!$B$13,Paramètres!$A$1:$I$89,3,0)*VLOOKUP('Données projet'!$B$13,Paramètres!$A$1:$I$89,5,0)</f>
        <v>-9.5472000000002257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314.6300257056194</v>
      </c>
      <c r="CZ147" s="59">
        <f t="shared" si="150"/>
        <v>298.00555477466668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40.005453729845321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40.005453729845321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-12.000000000000284</v>
      </c>
      <c r="DP147" s="17">
        <f>DO147*VLOOKUP('Données projet'!$B$14,Paramètres!$A$1:$I$89,3,0)*VLOOKUP('Données projet'!$B$14,Paramètres!$A$1:$I$89,5,0)</f>
        <v>-9.5472000000002257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314.6300257056194</v>
      </c>
      <c r="DU147" s="59">
        <f t="shared" si="152"/>
        <v>298.00555477466668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40.005453729845321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40.005453729845321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441.23846153846227</v>
      </c>
      <c r="EK147" s="17">
        <f>EJ147*VLOOKUP('Données projet'!$B$15,Paramètres!$A$1:$I$89,3,0)*VLOOKUP('Données projet'!$B$15,Paramètres!$A$1:$I$89,5,0)</f>
        <v>212.23570000000035</v>
      </c>
      <c r="EL147" s="13">
        <f t="shared" si="153"/>
        <v>52.423840876495639</v>
      </c>
      <c r="EM147" s="20">
        <f t="shared" si="127"/>
        <v>460.9487003598972</v>
      </c>
      <c r="EN147" s="59">
        <f t="shared" si="128"/>
        <v>754.28203369323046</v>
      </c>
      <c r="EO147" s="59">
        <f ca="1">AVERAGE(OFFSET($EN$3,0,0,'Données projet'!$E$15+1,1))-AVERAGE(OFFSET($H$3,0,0,'Données projet'!$E$15+1,1))</f>
        <v>238.83604534181978</v>
      </c>
      <c r="EP147" s="59">
        <f t="shared" si="154"/>
        <v>114.85152559837792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5.6843418860808015E-14</v>
      </c>
      <c r="FF147" s="17">
        <f>FE147*VLOOKUP('Données projet'!$B$16,Paramètres!$A$1:$I$89,3,0)*VLOOKUP('Données projet'!$B$16,Paramètres!$A$1:$I$89,5,0)</f>
        <v>4.6111381379887463E-14</v>
      </c>
      <c r="FG147" s="13">
        <f t="shared" si="155"/>
        <v>7.5804141040779151E-13</v>
      </c>
      <c r="FH147" s="20">
        <f t="shared" si="130"/>
        <v>1.4005661123635408E-12</v>
      </c>
      <c r="FI147" s="59">
        <f t="shared" si="131"/>
        <v>293.33333333333474</v>
      </c>
      <c r="FJ147" s="59">
        <f ca="1">AVERAGE(OFFSET($FI$3,0,0,'Données projet'!$E$16+1,1))-AVERAGE(OFFSET($H$3,0,0,'Données projet'!$E$16+1,1))</f>
        <v>196.95467273423861</v>
      </c>
      <c r="FK147" s="59">
        <f t="shared" si="156"/>
        <v>173.8709326829258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24.118582042103139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9.5936560376054398E-9</v>
      </c>
      <c r="FT147" s="22">
        <f t="shared" si="132"/>
        <v>24.118582051696794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5.6843418860808015E-14</v>
      </c>
      <c r="GA147" s="17">
        <f>FZ147*VLOOKUP('Données projet'!$B$17,Paramètres!$A$1:$I$89,3,0)*VLOOKUP('Données projet'!$B$17,Paramètres!$A$1:$I$89,5,0)</f>
        <v>6.1186256061773749E-14</v>
      </c>
      <c r="GB147" s="13">
        <f t="shared" si="157"/>
        <v>9.7328366192051127E-13</v>
      </c>
      <c r="GC147" s="20">
        <f t="shared" si="133"/>
        <v>1.8017017738191463E-12</v>
      </c>
      <c r="GD147" s="59">
        <f t="shared" si="134"/>
        <v>293.33333333333513</v>
      </c>
      <c r="GE147" s="59">
        <f ca="1">AVERAGE(OFFSET($GD$3,0,0,'Données projet'!$E$17+1,1))-AVERAGE(OFFSET($H$3,0,0,'Données projet'!$E$17+1,1))</f>
        <v>275.5229427552884</v>
      </c>
      <c r="GF147" s="59">
        <f t="shared" si="158"/>
        <v>241.20234081716143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32.003503094329169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1.2730043588361055E-8</v>
      </c>
      <c r="GO147" s="21">
        <f t="shared" si="135"/>
        <v>32.00350310705921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274.57619581652199</v>
      </c>
      <c r="T148" s="59">
        <f t="shared" si="142"/>
        <v>366.15117322598775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 t="e">
        <f>EXP(-LN(2)/35)*Z147+(1-EXP(-LN(2)/35))/(LN(2)/35)*V148*W148*VLOOKUP('Données projet'!$B$9,Paramètres!$A$1:$I$89,3,0)*0.475*44/12</f>
        <v>#VALUE!</v>
      </c>
      <c r="AA148" s="21" t="e">
        <f>EXP(-LN(2)/25)*AA147+(1-EXP(-LN(2)/25))/(LN(2)/25)*Calculateur!V148*Calculateur!X148*VLOOKUP('Données projet'!$B$9,Paramètres!$A$1:$I$89,3,0)*0.475*44/12</f>
        <v>#VALUE!</v>
      </c>
      <c r="AB148" s="21" t="e">
        <f>EXP(-LN(2)/2)*AB147+(1-EXP(-LN(2)/2))/(LN(2)/2)*V148*Y148*VLOOKUP('Données projet'!$B$9,Paramètres!$A$1:$I$89,3,0)*0.475*44/12</f>
        <v>#VALUE!</v>
      </c>
      <c r="AC148" s="22" t="e">
        <f t="shared" si="111"/>
        <v>#VALUE!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175.05987582828078</v>
      </c>
      <c r="AO148" s="59">
        <f t="shared" si="144"/>
        <v>268.54782308462387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31.267704798039684</v>
      </c>
      <c r="AV148" s="21">
        <f>EXP(-LN(2)/25)*AV147+(1-EXP(-LN(2)/25))/(LN(2)/25)*Calculateur!AQ148*Calculateur!AS148*VLOOKUP('Données projet'!$B$10,Paramètres!$A$1:$I$89,3,0)*0.475*44/12</f>
        <v>3.992619764167141</v>
      </c>
      <c r="AW148" s="21">
        <f>EXP(-LN(2)/2)*AW147+(1-EXP(-LN(2)/2))/(LN(2)/2)*AQ148*AT148*VLOOKUP('Données projet'!$B$10,Paramètres!$A$1:$I$89,3,0)*0.475*44/12</f>
        <v>4.5756397961900428E-12</v>
      </c>
      <c r="AX148" s="21">
        <f t="shared" si="114"/>
        <v>35.260324562211402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252.70779718608964</v>
      </c>
      <c r="BJ148" s="59">
        <f t="shared" si="146"/>
        <v>187.86969111712705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97.575406163807273</v>
      </c>
      <c r="BQ148" s="21">
        <f>EXP(-LN(2)/25)*BQ147+(1-EXP(-LN(2)/25))/(LN(2)/25)*Calculateur!BL148*Calculateur!BN148*VLOOKUP('Données projet'!$B$11,Paramètres!$A$1:$I$89,3,0)*0.475*44/12</f>
        <v>15.555342127566821</v>
      </c>
      <c r="BR148" s="21">
        <f>EXP(-LN(2)/2)*BR147+(1-EXP(-LN(2)/2))/(LN(2)/2)*BL148*BO148*VLOOKUP('Données projet'!$B$11,Paramètres!$A$1:$I$89,3,0)*0.475*44/12</f>
        <v>8.0434160086052808E-6</v>
      </c>
      <c r="BS148" s="22">
        <f t="shared" si="117"/>
        <v>113.13075633479009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-2.2737367544323206E-13</v>
      </c>
      <c r="BZ148" s="13">
        <f>BY148*VLOOKUP('Données projet'!$B$12,Paramètres!$A$1:$I$89,3,0)*VLOOKUP('Données projet'!$B$12,Paramètres!$A$1:$I$89,5,0)</f>
        <v>-1.3596945791505279E-13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279.86432710889352</v>
      </c>
      <c r="CE148" s="59">
        <f t="shared" si="148"/>
        <v>297.01680128882509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23.570295255345616</v>
      </c>
      <c r="CL148" s="21">
        <f>EXP(-LN(2)/25)*CL147+(1-EXP(-LN(2)/25))/(LN(2)/25)*Calculateur!CG148*Calculateur!CI148*VLOOKUP('Données projet'!$B$12,Paramètres!$A$1:$I$89,3,0)*0.475*44/12</f>
        <v>10.371135611860398</v>
      </c>
      <c r="CM148" s="21">
        <f>EXP(-LN(2)/2)*CM147+(1-EXP(-LN(2)/2))/(LN(2)/2)*CG148*CJ148*VLOOKUP('Données projet'!$B$12,Paramètres!$A$1:$I$89,3,0)*0.475*44/12</f>
        <v>6.9391375526715945E-11</v>
      </c>
      <c r="CN148" s="22">
        <f t="shared" si="120"/>
        <v>33.941430867275407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-12.000000000000284</v>
      </c>
      <c r="CU148" s="17">
        <f>CT148*VLOOKUP('Données projet'!$B$13,Paramètres!$A$1:$I$89,3,0)*VLOOKUP('Données projet'!$B$13,Paramètres!$A$1:$I$89,5,0)</f>
        <v>-9.5472000000002257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314.6300257056194</v>
      </c>
      <c r="CZ148" s="59">
        <f t="shared" si="150"/>
        <v>298.00555477466668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39.22097118312044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39.22097118312044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-12.000000000000284</v>
      </c>
      <c r="DP148" s="17">
        <f>DO148*VLOOKUP('Données projet'!$B$14,Paramètres!$A$1:$I$89,3,0)*VLOOKUP('Données projet'!$B$14,Paramètres!$A$1:$I$89,5,0)</f>
        <v>-9.5472000000002257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314.6300257056194</v>
      </c>
      <c r="DU148" s="59">
        <f t="shared" si="152"/>
        <v>298.00555477466668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39.22097118312044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39.22097118312044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441.23846153846227</v>
      </c>
      <c r="EK148" s="17">
        <f>EJ148*VLOOKUP('Données projet'!$B$15,Paramètres!$A$1:$I$89,3,0)*VLOOKUP('Données projet'!$B$15,Paramètres!$A$1:$I$89,5,0)</f>
        <v>212.23570000000035</v>
      </c>
      <c r="EL148" s="13">
        <f t="shared" si="153"/>
        <v>52.423840876495639</v>
      </c>
      <c r="EM148" s="20">
        <f t="shared" si="127"/>
        <v>460.9487003598972</v>
      </c>
      <c r="EN148" s="59">
        <f t="shared" si="128"/>
        <v>754.28203369323046</v>
      </c>
      <c r="EO148" s="59">
        <f ca="1">AVERAGE(OFFSET($EN$3,0,0,'Données projet'!$E$15+1,1))-AVERAGE(OFFSET($H$3,0,0,'Données projet'!$E$15+1,1))</f>
        <v>238.83604534181978</v>
      </c>
      <c r="EP148" s="59">
        <f t="shared" si="154"/>
        <v>114.85152559837792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5.6843418860808015E-14</v>
      </c>
      <c r="FF148" s="17">
        <f>FE148*VLOOKUP('Données projet'!$B$16,Paramètres!$A$1:$I$89,3,0)*VLOOKUP('Données projet'!$B$16,Paramètres!$A$1:$I$89,5,0)</f>
        <v>4.6111381379887463E-14</v>
      </c>
      <c r="FG148" s="13">
        <f t="shared" si="155"/>
        <v>7.5804141040779151E-13</v>
      </c>
      <c r="FH148" s="20">
        <f t="shared" si="130"/>
        <v>1.4005661123635408E-12</v>
      </c>
      <c r="FI148" s="59">
        <f t="shared" si="131"/>
        <v>293.33333333333474</v>
      </c>
      <c r="FJ148" s="59">
        <f ca="1">AVERAGE(OFFSET($FI$3,0,0,'Données projet'!$E$16+1,1))-AVERAGE(OFFSET($H$3,0,0,'Données projet'!$E$16+1,1))</f>
        <v>196.95467273423861</v>
      </c>
      <c r="FK148" s="59">
        <f t="shared" si="156"/>
        <v>173.8709326829258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23.645631359139962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6.7837392405620704E-9</v>
      </c>
      <c r="FT148" s="22">
        <f t="shared" si="132"/>
        <v>23.645631365923702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5.6843418860808015E-14</v>
      </c>
      <c r="GA148" s="17">
        <f>FZ148*VLOOKUP('Données projet'!$B$17,Paramètres!$A$1:$I$89,3,0)*VLOOKUP('Données projet'!$B$17,Paramètres!$A$1:$I$89,5,0)</f>
        <v>6.1186256061773749E-14</v>
      </c>
      <c r="GB148" s="13">
        <f t="shared" si="157"/>
        <v>9.7328366192051127E-13</v>
      </c>
      <c r="GC148" s="20">
        <f t="shared" si="133"/>
        <v>1.8017017738191463E-12</v>
      </c>
      <c r="GD148" s="59">
        <f t="shared" si="134"/>
        <v>293.33333333333513</v>
      </c>
      <c r="GE148" s="59">
        <f ca="1">AVERAGE(OFFSET($GD$3,0,0,'Données projet'!$E$17+1,1))-AVERAGE(OFFSET($H$3,0,0,'Données projet'!$E$17+1,1))</f>
        <v>275.5229427552884</v>
      </c>
      <c r="GF148" s="59">
        <f t="shared" si="158"/>
        <v>241.20234081716143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31.375933918858802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9.001500146130433E-9</v>
      </c>
      <c r="GO148" s="21">
        <f t="shared" si="135"/>
        <v>31.375933927860302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274.57619581652199</v>
      </c>
      <c r="T149" s="59">
        <f t="shared" si="142"/>
        <v>366.15117322598775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 t="e">
        <f>EXP(-LN(2)/35)*Z148+(1-EXP(-LN(2)/35))/(LN(2)/35)*V149*W149*VLOOKUP('Données projet'!$B$9,Paramètres!$A$1:$I$89,3,0)*0.475*44/12</f>
        <v>#VALUE!</v>
      </c>
      <c r="AA149" s="21" t="e">
        <f>EXP(-LN(2)/25)*AA148+(1-EXP(-LN(2)/25))/(LN(2)/25)*Calculateur!V149*Calculateur!X149*VLOOKUP('Données projet'!$B$9,Paramètres!$A$1:$I$89,3,0)*0.475*44/12</f>
        <v>#VALUE!</v>
      </c>
      <c r="AB149" s="21" t="e">
        <f>EXP(-LN(2)/2)*AB148+(1-EXP(-LN(2)/2))/(LN(2)/2)*V149*Y149*VLOOKUP('Données projet'!$B$9,Paramètres!$A$1:$I$89,3,0)*0.475*44/12</f>
        <v>#VALUE!</v>
      </c>
      <c r="AC149" s="22" t="e">
        <f t="shared" si="111"/>
        <v>#VALUE!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175.05987582828078</v>
      </c>
      <c r="AO149" s="59">
        <f t="shared" si="144"/>
        <v>268.54782308462387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30.654564178366908</v>
      </c>
      <c r="AV149" s="21">
        <f>EXP(-LN(2)/25)*AV148+(1-EXP(-LN(2)/25))/(LN(2)/25)*Calculateur!AQ149*Calculateur!AS149*VLOOKUP('Données projet'!$B$10,Paramètres!$A$1:$I$89,3,0)*0.475*44/12</f>
        <v>3.8834413667532424</v>
      </c>
      <c r="AW149" s="21">
        <f>EXP(-LN(2)/2)*AW148+(1-EXP(-LN(2)/2))/(LN(2)/2)*AQ149*AT149*VLOOKUP('Données projet'!$B$10,Paramètres!$A$1:$I$89,3,0)*0.475*44/12</f>
        <v>3.2354659281530116E-12</v>
      </c>
      <c r="AX149" s="21">
        <f t="shared" si="114"/>
        <v>34.538005545123383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252.70779718608964</v>
      </c>
      <c r="BJ149" s="59">
        <f t="shared" si="146"/>
        <v>187.86969111712705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95.662011964056148</v>
      </c>
      <c r="BQ149" s="21">
        <f>EXP(-LN(2)/25)*BQ148+(1-EXP(-LN(2)/25))/(LN(2)/25)*Calculateur!BL149*Calculateur!BN149*VLOOKUP('Données projet'!$B$11,Paramètres!$A$1:$I$89,3,0)*0.475*44/12</f>
        <v>15.129980479068616</v>
      </c>
      <c r="BR149" s="21">
        <f>EXP(-LN(2)/2)*BR148+(1-EXP(-LN(2)/2))/(LN(2)/2)*BL149*BO149*VLOOKUP('Données projet'!$B$11,Paramètres!$A$1:$I$89,3,0)*0.475*44/12</f>
        <v>5.687554003589228E-6</v>
      </c>
      <c r="BS149" s="22">
        <f t="shared" si="117"/>
        <v>110.79199813067878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-2.2737367544323206E-13</v>
      </c>
      <c r="BZ149" s="13">
        <f>BY149*VLOOKUP('Données projet'!$B$12,Paramètres!$A$1:$I$89,3,0)*VLOOKUP('Données projet'!$B$12,Paramètres!$A$1:$I$89,5,0)</f>
        <v>-1.3596945791505279E-13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279.86432710889352</v>
      </c>
      <c r="CE149" s="59">
        <f t="shared" si="148"/>
        <v>297.01680128882509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23.108096141848836</v>
      </c>
      <c r="CL149" s="21">
        <f>EXP(-LN(2)/25)*CL148+(1-EXP(-LN(2)/25))/(LN(2)/25)*Calculateur!CG149*Calculateur!CI149*VLOOKUP('Données projet'!$B$12,Paramètres!$A$1:$I$89,3,0)*0.475*44/12</f>
        <v>10.087536363159757</v>
      </c>
      <c r="CM149" s="21">
        <f>EXP(-LN(2)/2)*CM148+(1-EXP(-LN(2)/2))/(LN(2)/2)*CG149*CJ149*VLOOKUP('Données projet'!$B$12,Paramètres!$A$1:$I$89,3,0)*0.475*44/12</f>
        <v>4.9067112190803081E-11</v>
      </c>
      <c r="CN149" s="22">
        <f t="shared" si="120"/>
        <v>33.19563250505766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-12.000000000000284</v>
      </c>
      <c r="CU149" s="17">
        <f>CT149*VLOOKUP('Données projet'!$B$13,Paramètres!$A$1:$I$89,3,0)*VLOOKUP('Données projet'!$B$13,Paramètres!$A$1:$I$89,5,0)</f>
        <v>-9.5472000000002257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314.6300257056194</v>
      </c>
      <c r="CZ149" s="59">
        <f t="shared" si="150"/>
        <v>298.00555477466668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38.451871860649725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38.451871860649725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-12.000000000000284</v>
      </c>
      <c r="DP149" s="17">
        <f>DO149*VLOOKUP('Données projet'!$B$14,Paramètres!$A$1:$I$89,3,0)*VLOOKUP('Données projet'!$B$14,Paramètres!$A$1:$I$89,5,0)</f>
        <v>-9.5472000000002257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314.6300257056194</v>
      </c>
      <c r="DU149" s="59">
        <f t="shared" si="152"/>
        <v>298.00555477466668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38.451871860649725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38.451871860649725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441.23846153846227</v>
      </c>
      <c r="EK149" s="17">
        <f>EJ149*VLOOKUP('Données projet'!$B$15,Paramètres!$A$1:$I$89,3,0)*VLOOKUP('Données projet'!$B$15,Paramètres!$A$1:$I$89,5,0)</f>
        <v>212.23570000000035</v>
      </c>
      <c r="EL149" s="13">
        <f t="shared" si="153"/>
        <v>52.423840876495639</v>
      </c>
      <c r="EM149" s="20">
        <f t="shared" si="127"/>
        <v>460.9487003598972</v>
      </c>
      <c r="EN149" s="59">
        <f t="shared" si="128"/>
        <v>754.28203369323046</v>
      </c>
      <c r="EO149" s="59">
        <f ca="1">AVERAGE(OFFSET($EN$3,0,0,'Données projet'!$E$15+1,1))-AVERAGE(OFFSET($H$3,0,0,'Données projet'!$E$15+1,1))</f>
        <v>238.83604534181978</v>
      </c>
      <c r="EP149" s="59">
        <f t="shared" si="154"/>
        <v>114.85152559837792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5.6843418860808015E-14</v>
      </c>
      <c r="FF149" s="17">
        <f>FE149*VLOOKUP('Données projet'!$B$16,Paramètres!$A$1:$I$89,3,0)*VLOOKUP('Données projet'!$B$16,Paramètres!$A$1:$I$89,5,0)</f>
        <v>4.6111381379887463E-14</v>
      </c>
      <c r="FG149" s="13">
        <f t="shared" si="155"/>
        <v>7.5804141040779151E-13</v>
      </c>
      <c r="FH149" s="20">
        <f t="shared" si="130"/>
        <v>1.4005661123635408E-12</v>
      </c>
      <c r="FI149" s="59">
        <f t="shared" si="131"/>
        <v>293.33333333333474</v>
      </c>
      <c r="FJ149" s="59">
        <f ca="1">AVERAGE(OFFSET($FI$3,0,0,'Données projet'!$E$16+1,1))-AVERAGE(OFFSET($H$3,0,0,'Données projet'!$E$16+1,1))</f>
        <v>196.95467273423861</v>
      </c>
      <c r="FK149" s="59">
        <f t="shared" si="156"/>
        <v>173.8709326829258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23.181954950598261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4.7968280188027199E-9</v>
      </c>
      <c r="FT149" s="22">
        <f t="shared" si="132"/>
        <v>23.181954955395089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5.6843418860808015E-14</v>
      </c>
      <c r="GA149" s="17">
        <f>FZ149*VLOOKUP('Données projet'!$B$17,Paramètres!$A$1:$I$89,3,0)*VLOOKUP('Données projet'!$B$17,Paramètres!$A$1:$I$89,5,0)</f>
        <v>6.1186256061773749E-14</v>
      </c>
      <c r="GB149" s="13">
        <f t="shared" si="157"/>
        <v>9.7328366192051127E-13</v>
      </c>
      <c r="GC149" s="20">
        <f t="shared" si="133"/>
        <v>1.8017017738191463E-12</v>
      </c>
      <c r="GD149" s="59">
        <f t="shared" si="134"/>
        <v>293.33333333333513</v>
      </c>
      <c r="GE149" s="59">
        <f ca="1">AVERAGE(OFFSET($GD$3,0,0,'Données projet'!$E$17+1,1))-AVERAGE(OFFSET($H$3,0,0,'Données projet'!$E$17+1,1))</f>
        <v>275.5229427552884</v>
      </c>
      <c r="GF149" s="59">
        <f t="shared" si="158"/>
        <v>241.20234081716143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30.760670992140007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6.3650217941805277E-9</v>
      </c>
      <c r="GO149" s="21">
        <f t="shared" si="135"/>
        <v>30.760670998505027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274.57619581652199</v>
      </c>
      <c r="T150" s="59">
        <f t="shared" si="142"/>
        <v>366.15117322598775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 t="e">
        <f>EXP(-LN(2)/35)*Z149+(1-EXP(-LN(2)/35))/(LN(2)/35)*V150*W150*VLOOKUP('Données projet'!$B$9,Paramètres!$A$1:$I$89,3,0)*0.475*44/12</f>
        <v>#VALUE!</v>
      </c>
      <c r="AA150" s="21" t="e">
        <f>EXP(-LN(2)/25)*AA149+(1-EXP(-LN(2)/25))/(LN(2)/25)*Calculateur!V150*Calculateur!X150*VLOOKUP('Données projet'!$B$9,Paramètres!$A$1:$I$89,3,0)*0.475*44/12</f>
        <v>#VALUE!</v>
      </c>
      <c r="AB150" s="21" t="e">
        <f>EXP(-LN(2)/2)*AB149+(1-EXP(-LN(2)/2))/(LN(2)/2)*V150*Y150*VLOOKUP('Données projet'!$B$9,Paramètres!$A$1:$I$89,3,0)*0.475*44/12</f>
        <v>#VALUE!</v>
      </c>
      <c r="AC150" s="22" t="e">
        <f t="shared" si="111"/>
        <v>#VALUE!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175.05987582828078</v>
      </c>
      <c r="AO150" s="59">
        <f t="shared" si="144"/>
        <v>268.54782308462387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30.053446872267063</v>
      </c>
      <c r="AV150" s="21">
        <f>EXP(-LN(2)/25)*AV149+(1-EXP(-LN(2)/25))/(LN(2)/25)*Calculateur!AQ150*Calculateur!AS150*VLOOKUP('Données projet'!$B$10,Paramètres!$A$1:$I$89,3,0)*0.475*44/12</f>
        <v>3.777248458358069</v>
      </c>
      <c r="AW150" s="21">
        <f>EXP(-LN(2)/2)*AW149+(1-EXP(-LN(2)/2))/(LN(2)/2)*AQ150*AT150*VLOOKUP('Données projet'!$B$10,Paramètres!$A$1:$I$89,3,0)*0.475*44/12</f>
        <v>2.2878198980950214E-12</v>
      </c>
      <c r="AX150" s="21">
        <f t="shared" si="114"/>
        <v>33.830695330627421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252.70779718608964</v>
      </c>
      <c r="BJ150" s="59">
        <f t="shared" si="146"/>
        <v>187.86969111712705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93.786138257506906</v>
      </c>
      <c r="BQ150" s="21">
        <f>EXP(-LN(2)/25)*BQ149+(1-EXP(-LN(2)/25))/(LN(2)/25)*Calculateur!BL150*Calculateur!BN150*VLOOKUP('Données projet'!$B$11,Paramètres!$A$1:$I$89,3,0)*0.475*44/12</f>
        <v>14.716250367217391</v>
      </c>
      <c r="BR150" s="21">
        <f>EXP(-LN(2)/2)*BR149+(1-EXP(-LN(2)/2))/(LN(2)/2)*BL150*BO150*VLOOKUP('Données projet'!$B$11,Paramètres!$A$1:$I$89,3,0)*0.475*44/12</f>
        <v>4.0217080043026404E-6</v>
      </c>
      <c r="BS150" s="22">
        <f t="shared" si="117"/>
        <v>108.5023926464323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-2.2737367544323206E-13</v>
      </c>
      <c r="BZ150" s="13">
        <f>BY150*VLOOKUP('Données projet'!$B$12,Paramètres!$A$1:$I$89,3,0)*VLOOKUP('Données projet'!$B$12,Paramètres!$A$1:$I$89,5,0)</f>
        <v>-1.3596945791505279E-13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279.86432710889352</v>
      </c>
      <c r="CE150" s="59">
        <f t="shared" si="148"/>
        <v>297.01680128882509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22.654960471054107</v>
      </c>
      <c r="CL150" s="21">
        <f>EXP(-LN(2)/25)*CL149+(1-EXP(-LN(2)/25))/(LN(2)/25)*Calculateur!CG150*Calculateur!CI150*VLOOKUP('Données projet'!$B$12,Paramètres!$A$1:$I$89,3,0)*0.475*44/12</f>
        <v>9.8116921508286712</v>
      </c>
      <c r="CM150" s="21">
        <f>EXP(-LN(2)/2)*CM149+(1-EXP(-LN(2)/2))/(LN(2)/2)*CG150*CJ150*VLOOKUP('Données projet'!$B$12,Paramètres!$A$1:$I$89,3,0)*0.475*44/12</f>
        <v>3.4695687763357972E-11</v>
      </c>
      <c r="CN150" s="22">
        <f t="shared" si="120"/>
        <v>32.466652621917476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-12.000000000000284</v>
      </c>
      <c r="CU150" s="17">
        <f>CT150*VLOOKUP('Données projet'!$B$13,Paramètres!$A$1:$I$89,3,0)*VLOOKUP('Données projet'!$B$13,Paramètres!$A$1:$I$89,5,0)</f>
        <v>-9.5472000000002257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314.6300257056194</v>
      </c>
      <c r="CZ150" s="59">
        <f t="shared" si="150"/>
        <v>298.00555477466668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37.697854106788398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37.697854106788398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-12.000000000000284</v>
      </c>
      <c r="DP150" s="17">
        <f>DO150*VLOOKUP('Données projet'!$B$14,Paramètres!$A$1:$I$89,3,0)*VLOOKUP('Données projet'!$B$14,Paramètres!$A$1:$I$89,5,0)</f>
        <v>-9.5472000000002257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314.6300257056194</v>
      </c>
      <c r="DU150" s="59">
        <f t="shared" si="152"/>
        <v>298.00555477466668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37.697854106788398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37.697854106788398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441.23846153846227</v>
      </c>
      <c r="EK150" s="17">
        <f>EJ150*VLOOKUP('Données projet'!$B$15,Paramètres!$A$1:$I$89,3,0)*VLOOKUP('Données projet'!$B$15,Paramètres!$A$1:$I$89,5,0)</f>
        <v>212.23570000000035</v>
      </c>
      <c r="EL150" s="13">
        <f t="shared" si="153"/>
        <v>52.423840876495639</v>
      </c>
      <c r="EM150" s="20">
        <f t="shared" si="127"/>
        <v>460.9487003598972</v>
      </c>
      <c r="EN150" s="59">
        <f t="shared" si="128"/>
        <v>754.28203369323046</v>
      </c>
      <c r="EO150" s="59">
        <f ca="1">AVERAGE(OFFSET($EN$3,0,0,'Données projet'!$E$15+1,1))-AVERAGE(OFFSET($H$3,0,0,'Données projet'!$E$15+1,1))</f>
        <v>238.83604534181978</v>
      </c>
      <c r="EP150" s="59">
        <f t="shared" si="154"/>
        <v>114.85152559837792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5.6843418860808015E-14</v>
      </c>
      <c r="FF150" s="17">
        <f>FE150*VLOOKUP('Données projet'!$B$16,Paramètres!$A$1:$I$89,3,0)*VLOOKUP('Données projet'!$B$16,Paramètres!$A$1:$I$89,5,0)</f>
        <v>4.6111381379887463E-14</v>
      </c>
      <c r="FG150" s="13">
        <f t="shared" si="155"/>
        <v>7.5804141040779151E-13</v>
      </c>
      <c r="FH150" s="20">
        <f t="shared" si="130"/>
        <v>1.4005661123635408E-12</v>
      </c>
      <c r="FI150" s="59">
        <f t="shared" si="131"/>
        <v>293.33333333333474</v>
      </c>
      <c r="FJ150" s="59">
        <f ca="1">AVERAGE(OFFSET($FI$3,0,0,'Données projet'!$E$16+1,1))-AVERAGE(OFFSET($H$3,0,0,'Données projet'!$E$16+1,1))</f>
        <v>196.95467273423861</v>
      </c>
      <c r="FK150" s="59">
        <f t="shared" si="156"/>
        <v>173.8709326829258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22.727370953613381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3.3918696202810352E-9</v>
      </c>
      <c r="FT150" s="22">
        <f t="shared" si="132"/>
        <v>22.727370957005249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5.6843418860808015E-14</v>
      </c>
      <c r="GA150" s="17">
        <f>FZ150*VLOOKUP('Données projet'!$B$17,Paramètres!$A$1:$I$89,3,0)*VLOOKUP('Données projet'!$B$17,Paramètres!$A$1:$I$89,5,0)</f>
        <v>6.1186256061773749E-14</v>
      </c>
      <c r="GB150" s="13">
        <f t="shared" si="157"/>
        <v>9.7328366192051127E-13</v>
      </c>
      <c r="GC150" s="20">
        <f t="shared" si="133"/>
        <v>1.8017017738191463E-12</v>
      </c>
      <c r="GD150" s="59">
        <f t="shared" si="134"/>
        <v>293.33333333333513</v>
      </c>
      <c r="GE150" s="59">
        <f ca="1">AVERAGE(OFFSET($GD$3,0,0,'Données projet'!$E$17+1,1))-AVERAGE(OFFSET($H$3,0,0,'Données projet'!$E$17+1,1))</f>
        <v>275.5229427552884</v>
      </c>
      <c r="GF150" s="59">
        <f t="shared" si="158"/>
        <v>241.20234081716143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30.157472996140836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4.5007500730652165E-9</v>
      </c>
      <c r="GO150" s="21">
        <f t="shared" si="135"/>
        <v>30.157473000641588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274.57619581652199</v>
      </c>
      <c r="T151" s="59">
        <f t="shared" si="142"/>
        <v>366.15117322598775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 t="e">
        <f>EXP(-LN(2)/35)*Z150+(1-EXP(-LN(2)/35))/(LN(2)/35)*V151*W151*VLOOKUP('Données projet'!$B$9,Paramètres!$A$1:$I$89,3,0)*0.475*44/12</f>
        <v>#VALUE!</v>
      </c>
      <c r="AA151" s="21" t="e">
        <f>EXP(-LN(2)/25)*AA150+(1-EXP(-LN(2)/25))/(LN(2)/25)*Calculateur!V151*Calculateur!X151*VLOOKUP('Données projet'!$B$9,Paramètres!$A$1:$I$89,3,0)*0.475*44/12</f>
        <v>#VALUE!</v>
      </c>
      <c r="AB151" s="21" t="e">
        <f>EXP(-LN(2)/2)*AB150+(1-EXP(-LN(2)/2))/(LN(2)/2)*V151*Y151*VLOOKUP('Données projet'!$B$9,Paramètres!$A$1:$I$89,3,0)*0.475*44/12</f>
        <v>#VALUE!</v>
      </c>
      <c r="AC151" s="22" t="e">
        <f t="shared" si="111"/>
        <v>#VALUE!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175.05987582828078</v>
      </c>
      <c r="AO151" s="59">
        <f t="shared" si="144"/>
        <v>268.54782308462387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29.464117109894481</v>
      </c>
      <c r="AV151" s="21">
        <f>EXP(-LN(2)/25)*AV150+(1-EXP(-LN(2)/25))/(LN(2)/25)*Calculateur!AQ151*Calculateur!AS151*VLOOKUP('Données projet'!$B$10,Paramètres!$A$1:$I$89,3,0)*0.475*44/12</f>
        <v>3.6739594006274041</v>
      </c>
      <c r="AW151" s="21">
        <f>EXP(-LN(2)/2)*AW150+(1-EXP(-LN(2)/2))/(LN(2)/2)*AQ151*AT151*VLOOKUP('Données projet'!$B$10,Paramètres!$A$1:$I$89,3,0)*0.475*44/12</f>
        <v>1.6177329640765058E-12</v>
      </c>
      <c r="AX151" s="21">
        <f t="shared" si="114"/>
        <v>33.138076510523504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252.70779718608964</v>
      </c>
      <c r="BJ151" s="59">
        <f t="shared" si="146"/>
        <v>187.86969111712705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91.947049290173112</v>
      </c>
      <c r="BQ151" s="21">
        <f>EXP(-LN(2)/25)*BQ150+(1-EXP(-LN(2)/25))/(LN(2)/25)*Calculateur!BL151*Calculateur!BN151*VLOOKUP('Données projet'!$B$11,Paramètres!$A$1:$I$89,3,0)*0.475*44/12</f>
        <v>14.313833727031859</v>
      </c>
      <c r="BR151" s="21">
        <f>EXP(-LN(2)/2)*BR150+(1-EXP(-LN(2)/2))/(LN(2)/2)*BL151*BO151*VLOOKUP('Données projet'!$B$11,Paramètres!$A$1:$I$89,3,0)*0.475*44/12</f>
        <v>2.843777001794614E-6</v>
      </c>
      <c r="BS151" s="22">
        <f t="shared" si="117"/>
        <v>106.26088586098197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-2.2737367544323206E-13</v>
      </c>
      <c r="BZ151" s="13">
        <f>BY151*VLOOKUP('Données projet'!$B$12,Paramètres!$A$1:$I$89,3,0)*VLOOKUP('Données projet'!$B$12,Paramètres!$A$1:$I$89,5,0)</f>
        <v>-1.3596945791505279E-13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279.86432710889352</v>
      </c>
      <c r="CE151" s="59">
        <f t="shared" si="148"/>
        <v>297.01680128882509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22.210710514378192</v>
      </c>
      <c r="CL151" s="21">
        <f>EXP(-LN(2)/25)*CL150+(1-EXP(-LN(2)/25))/(LN(2)/25)*Calculateur!CG151*Calculateur!CI151*VLOOKUP('Données projet'!$B$12,Paramètres!$A$1:$I$89,3,0)*0.475*44/12</f>
        <v>9.5433909129897962</v>
      </c>
      <c r="CM151" s="21">
        <f>EXP(-LN(2)/2)*CM150+(1-EXP(-LN(2)/2))/(LN(2)/2)*CG151*CJ151*VLOOKUP('Données projet'!$B$12,Paramètres!$A$1:$I$89,3,0)*0.475*44/12</f>
        <v>2.4533556095401541E-11</v>
      </c>
      <c r="CN151" s="22">
        <f t="shared" si="120"/>
        <v>31.754101427392524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-12.000000000000284</v>
      </c>
      <c r="CU151" s="17">
        <f>CT151*VLOOKUP('Données projet'!$B$13,Paramètres!$A$1:$I$89,3,0)*VLOOKUP('Données projet'!$B$13,Paramètres!$A$1:$I$89,5,0)</f>
        <v>-9.5472000000002257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314.6300257056194</v>
      </c>
      <c r="CZ151" s="59">
        <f t="shared" si="150"/>
        <v>298.00555477466668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36.958622181174874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36.958622181174874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-12.000000000000284</v>
      </c>
      <c r="DP151" s="17">
        <f>DO151*VLOOKUP('Données projet'!$B$14,Paramètres!$A$1:$I$89,3,0)*VLOOKUP('Données projet'!$B$14,Paramètres!$A$1:$I$89,5,0)</f>
        <v>-9.5472000000002257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314.6300257056194</v>
      </c>
      <c r="DU151" s="59">
        <f t="shared" si="152"/>
        <v>298.00555477466668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36.958622181174874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36.958622181174874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441.23846153846227</v>
      </c>
      <c r="EK151" s="17">
        <f>EJ151*VLOOKUP('Données projet'!$B$15,Paramètres!$A$1:$I$89,3,0)*VLOOKUP('Données projet'!$B$15,Paramètres!$A$1:$I$89,5,0)</f>
        <v>212.23570000000035</v>
      </c>
      <c r="EL151" s="13">
        <f t="shared" si="153"/>
        <v>52.423840876495639</v>
      </c>
      <c r="EM151" s="20">
        <f t="shared" si="127"/>
        <v>460.9487003598972</v>
      </c>
      <c r="EN151" s="59">
        <f t="shared" si="128"/>
        <v>754.28203369323046</v>
      </c>
      <c r="EO151" s="59">
        <f ca="1">AVERAGE(OFFSET($EN$3,0,0,'Données projet'!$E$15+1,1))-AVERAGE(OFFSET($H$3,0,0,'Données projet'!$E$15+1,1))</f>
        <v>238.83604534181978</v>
      </c>
      <c r="EP151" s="59">
        <f t="shared" si="154"/>
        <v>114.85152559837792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5.6843418860808015E-14</v>
      </c>
      <c r="FF151" s="17">
        <f>FE151*VLOOKUP('Données projet'!$B$16,Paramètres!$A$1:$I$89,3,0)*VLOOKUP('Données projet'!$B$16,Paramètres!$A$1:$I$89,5,0)</f>
        <v>4.6111381379887463E-14</v>
      </c>
      <c r="FG151" s="13">
        <f t="shared" si="155"/>
        <v>7.5804141040779151E-13</v>
      </c>
      <c r="FH151" s="20">
        <f t="shared" si="130"/>
        <v>1.4005661123635408E-12</v>
      </c>
      <c r="FI151" s="59">
        <f t="shared" si="131"/>
        <v>293.33333333333474</v>
      </c>
      <c r="FJ151" s="59">
        <f ca="1">AVERAGE(OFFSET($FI$3,0,0,'Données projet'!$E$16+1,1))-AVERAGE(OFFSET($H$3,0,0,'Données projet'!$E$16+1,1))</f>
        <v>196.95467273423861</v>
      </c>
      <c r="FK151" s="59">
        <f t="shared" si="156"/>
        <v>173.8709326829258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22.281701071540514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2.3984140094013599E-9</v>
      </c>
      <c r="FT151" s="22">
        <f t="shared" si="132"/>
        <v>22.28170107393893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5.6843418860808015E-14</v>
      </c>
      <c r="GA151" s="17">
        <f>FZ151*VLOOKUP('Données projet'!$B$17,Paramètres!$A$1:$I$89,3,0)*VLOOKUP('Données projet'!$B$17,Paramètres!$A$1:$I$89,5,0)</f>
        <v>6.1186256061773749E-14</v>
      </c>
      <c r="GB151" s="13">
        <f t="shared" si="157"/>
        <v>9.7328366192051127E-13</v>
      </c>
      <c r="GC151" s="20">
        <f t="shared" si="133"/>
        <v>1.8017017738191463E-12</v>
      </c>
      <c r="GD151" s="59">
        <f t="shared" si="134"/>
        <v>293.33333333333513</v>
      </c>
      <c r="GE151" s="59">
        <f ca="1">AVERAGE(OFFSET($GD$3,0,0,'Données projet'!$E$17+1,1))-AVERAGE(OFFSET($H$3,0,0,'Données projet'!$E$17+1,1))</f>
        <v>275.5229427552884</v>
      </c>
      <c r="GF151" s="59">
        <f t="shared" si="158"/>
        <v>241.20234081716143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29.566103344928763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3.1825108970902639E-9</v>
      </c>
      <c r="GO151" s="21">
        <f t="shared" si="135"/>
        <v>29.566103348111273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274.57619581652199</v>
      </c>
      <c r="T152" s="59">
        <f t="shared" si="142"/>
        <v>366.15117322598775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 t="e">
        <f>EXP(-LN(2)/35)*Z151+(1-EXP(-LN(2)/35))/(LN(2)/35)*V152*W152*VLOOKUP('Données projet'!$B$9,Paramètres!$A$1:$I$89,3,0)*0.475*44/12</f>
        <v>#VALUE!</v>
      </c>
      <c r="AA152" s="21" t="e">
        <f>EXP(-LN(2)/25)*AA151+(1-EXP(-LN(2)/25))/(LN(2)/25)*Calculateur!V152*Calculateur!X152*VLOOKUP('Données projet'!$B$9,Paramètres!$A$1:$I$89,3,0)*0.475*44/12</f>
        <v>#VALUE!</v>
      </c>
      <c r="AB152" s="21" t="e">
        <f>EXP(-LN(2)/2)*AB151+(1-EXP(-LN(2)/2))/(LN(2)/2)*V152*Y152*VLOOKUP('Données projet'!$B$9,Paramètres!$A$1:$I$89,3,0)*0.475*44/12</f>
        <v>#VALUE!</v>
      </c>
      <c r="AC152" s="22" t="e">
        <f t="shared" si="111"/>
        <v>#VALUE!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175.05987582828078</v>
      </c>
      <c r="AO152" s="59">
        <f t="shared" si="144"/>
        <v>268.54782308462387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28.886343744706366</v>
      </c>
      <c r="AV152" s="21">
        <f>EXP(-LN(2)/25)*AV151+(1-EXP(-LN(2)/25))/(LN(2)/25)*Calculateur!AQ152*Calculateur!AS152*VLOOKUP('Données projet'!$B$10,Paramètres!$A$1:$I$89,3,0)*0.475*44/12</f>
        <v>3.5734947876121197</v>
      </c>
      <c r="AW152" s="21">
        <f>EXP(-LN(2)/2)*AW151+(1-EXP(-LN(2)/2))/(LN(2)/2)*AQ152*AT152*VLOOKUP('Données projet'!$B$10,Paramètres!$A$1:$I$89,3,0)*0.475*44/12</f>
        <v>1.1439099490475107E-12</v>
      </c>
      <c r="AX152" s="21">
        <f t="shared" si="114"/>
        <v>32.45983853231963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252.70779718608964</v>
      </c>
      <c r="BJ152" s="59">
        <f t="shared" si="146"/>
        <v>187.86969111712705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90.144023735755226</v>
      </c>
      <c r="BQ152" s="21">
        <f>EXP(-LN(2)/25)*BQ151+(1-EXP(-LN(2)/25))/(LN(2)/25)*Calculateur!BL152*Calculateur!BN152*VLOOKUP('Données projet'!$B$11,Paramètres!$A$1:$I$89,3,0)*0.475*44/12</f>
        <v>13.922421191034372</v>
      </c>
      <c r="BR152" s="21">
        <f>EXP(-LN(2)/2)*BR151+(1-EXP(-LN(2)/2))/(LN(2)/2)*BL152*BO152*VLOOKUP('Données projet'!$B$11,Paramètres!$A$1:$I$89,3,0)*0.475*44/12</f>
        <v>2.0108540021513202E-6</v>
      </c>
      <c r="BS152" s="22">
        <f t="shared" si="117"/>
        <v>104.0664469376436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-2.2737367544323206E-13</v>
      </c>
      <c r="BZ152" s="13">
        <f>BY152*VLOOKUP('Données projet'!$B$12,Paramètres!$A$1:$I$89,3,0)*VLOOKUP('Données projet'!$B$12,Paramètres!$A$1:$I$89,5,0)</f>
        <v>-1.3596945791505279E-13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279.86432710889352</v>
      </c>
      <c r="CE152" s="59">
        <f t="shared" si="148"/>
        <v>297.01680128882509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21.775172028386976</v>
      </c>
      <c r="CL152" s="21">
        <f>EXP(-LN(2)/25)*CL151+(1-EXP(-LN(2)/25))/(LN(2)/25)*Calculateur!CG152*Calculateur!CI152*VLOOKUP('Données projet'!$B$12,Paramètres!$A$1:$I$89,3,0)*0.475*44/12</f>
        <v>9.2824263866089733</v>
      </c>
      <c r="CM152" s="21">
        <f>EXP(-LN(2)/2)*CM151+(1-EXP(-LN(2)/2))/(LN(2)/2)*CG152*CJ152*VLOOKUP('Données projet'!$B$12,Paramètres!$A$1:$I$89,3,0)*0.475*44/12</f>
        <v>1.7347843881678986E-11</v>
      </c>
      <c r="CN152" s="22">
        <f t="shared" si="120"/>
        <v>31.057598415013299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-12.000000000000284</v>
      </c>
      <c r="CU152" s="17">
        <f>CT152*VLOOKUP('Données projet'!$B$13,Paramètres!$A$1:$I$89,3,0)*VLOOKUP('Données projet'!$B$13,Paramètres!$A$1:$I$89,5,0)</f>
        <v>-9.5472000000002257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314.6300257056194</v>
      </c>
      <c r="CZ152" s="59">
        <f t="shared" si="150"/>
        <v>298.00555477466668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36.233886142735678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36.233886142735678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-12.000000000000284</v>
      </c>
      <c r="DP152" s="17">
        <f>DO152*VLOOKUP('Données projet'!$B$14,Paramètres!$A$1:$I$89,3,0)*VLOOKUP('Données projet'!$B$14,Paramètres!$A$1:$I$89,5,0)</f>
        <v>-9.5472000000002257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314.6300257056194</v>
      </c>
      <c r="DU152" s="59">
        <f t="shared" si="152"/>
        <v>298.00555477466668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36.233886142735678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36.233886142735678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441.23846153846227</v>
      </c>
      <c r="EK152" s="17">
        <f>EJ152*VLOOKUP('Données projet'!$B$15,Paramètres!$A$1:$I$89,3,0)*VLOOKUP('Données projet'!$B$15,Paramètres!$A$1:$I$89,5,0)</f>
        <v>212.23570000000035</v>
      </c>
      <c r="EL152" s="13">
        <f t="shared" si="153"/>
        <v>52.423840876495639</v>
      </c>
      <c r="EM152" s="20">
        <f t="shared" si="127"/>
        <v>460.9487003598972</v>
      </c>
      <c r="EN152" s="59">
        <f t="shared" si="128"/>
        <v>754.28203369323046</v>
      </c>
      <c r="EO152" s="59">
        <f ca="1">AVERAGE(OFFSET($EN$3,0,0,'Données projet'!$E$15+1,1))-AVERAGE(OFFSET($H$3,0,0,'Données projet'!$E$15+1,1))</f>
        <v>238.83604534181978</v>
      </c>
      <c r="EP152" s="59">
        <f t="shared" si="154"/>
        <v>114.85152559837792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5.6843418860808015E-14</v>
      </c>
      <c r="FF152" s="17">
        <f>FE152*VLOOKUP('Données projet'!$B$16,Paramètres!$A$1:$I$89,3,0)*VLOOKUP('Données projet'!$B$16,Paramètres!$A$1:$I$89,5,0)</f>
        <v>4.6111381379887463E-14</v>
      </c>
      <c r="FG152" s="13">
        <f t="shared" si="155"/>
        <v>7.5804141040779151E-13</v>
      </c>
      <c r="FH152" s="20">
        <f t="shared" si="130"/>
        <v>1.4005661123635408E-12</v>
      </c>
      <c r="FI152" s="59">
        <f t="shared" si="131"/>
        <v>293.33333333333474</v>
      </c>
      <c r="FJ152" s="59">
        <f ca="1">AVERAGE(OFFSET($FI$3,0,0,'Données projet'!$E$16+1,1))-AVERAGE(OFFSET($H$3,0,0,'Données projet'!$E$16+1,1))</f>
        <v>196.95467273423861</v>
      </c>
      <c r="FK152" s="59">
        <f t="shared" si="156"/>
        <v>173.8709326829258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21.844770504023309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1.6959348101405176E-9</v>
      </c>
      <c r="FT152" s="22">
        <f t="shared" si="132"/>
        <v>21.844770505719243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5.6843418860808015E-14</v>
      </c>
      <c r="GA152" s="17">
        <f>FZ152*VLOOKUP('Données projet'!$B$17,Paramètres!$A$1:$I$89,3,0)*VLOOKUP('Données projet'!$B$17,Paramètres!$A$1:$I$89,5,0)</f>
        <v>6.1186256061773749E-14</v>
      </c>
      <c r="GB152" s="13">
        <f t="shared" si="157"/>
        <v>9.7328366192051127E-13</v>
      </c>
      <c r="GC152" s="20">
        <f t="shared" si="133"/>
        <v>1.8017017738191463E-12</v>
      </c>
      <c r="GD152" s="59">
        <f t="shared" si="134"/>
        <v>293.33333333333513</v>
      </c>
      <c r="GE152" s="59">
        <f ca="1">AVERAGE(OFFSET($GD$3,0,0,'Données projet'!$E$17+1,1))-AVERAGE(OFFSET($H$3,0,0,'Données projet'!$E$17+1,1))</f>
        <v>275.5229427552884</v>
      </c>
      <c r="GF152" s="59">
        <f t="shared" si="158"/>
        <v>241.20234081716143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28.986330091877086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2.2503750365326082E-9</v>
      </c>
      <c r="GO152" s="21">
        <f t="shared" si="135"/>
        <v>28.98633009412746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274.57619581652199</v>
      </c>
      <c r="T153" s="59">
        <f t="shared" si="142"/>
        <v>366.15117322598775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 t="e">
        <f>EXP(-LN(2)/35)*Z152+(1-EXP(-LN(2)/35))/(LN(2)/35)*V153*W153*VLOOKUP('Données projet'!$B$9,Paramètres!$A$1:$I$89,3,0)*0.475*44/12</f>
        <v>#VALUE!</v>
      </c>
      <c r="AA153" s="21" t="e">
        <f>EXP(-LN(2)/25)*AA152+(1-EXP(-LN(2)/25))/(LN(2)/25)*Calculateur!V153*Calculateur!X153*VLOOKUP('Données projet'!$B$9,Paramètres!$A$1:$I$89,3,0)*0.475*44/12</f>
        <v>#VALUE!</v>
      </c>
      <c r="AB153" s="21" t="e">
        <f>EXP(-LN(2)/2)*AB152+(1-EXP(-LN(2)/2))/(LN(2)/2)*V153*Y153*VLOOKUP('Données projet'!$B$9,Paramètres!$A$1:$I$89,3,0)*0.475*44/12</f>
        <v>#VALUE!</v>
      </c>
      <c r="AC153" s="22" t="e">
        <f t="shared" si="111"/>
        <v>#VALUE!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175.05987582828078</v>
      </c>
      <c r="AO153" s="59">
        <f t="shared" si="144"/>
        <v>268.54782308462387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28.319900162802632</v>
      </c>
      <c r="AV153" s="21">
        <f>EXP(-LN(2)/25)*AV152+(1-EXP(-LN(2)/25))/(LN(2)/25)*Calculateur!AQ153*Calculateur!AS153*VLOOKUP('Données projet'!$B$10,Paramètres!$A$1:$I$89,3,0)*0.475*44/12</f>
        <v>3.4757773847229427</v>
      </c>
      <c r="AW153" s="21">
        <f>EXP(-LN(2)/2)*AW152+(1-EXP(-LN(2)/2))/(LN(2)/2)*AQ153*AT153*VLOOKUP('Données projet'!$B$10,Paramètres!$A$1:$I$89,3,0)*0.475*44/12</f>
        <v>8.0886648203825289E-13</v>
      </c>
      <c r="AX153" s="21">
        <f t="shared" si="114"/>
        <v>31.795677547526385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252.70779718608964</v>
      </c>
      <c r="BJ153" s="59">
        <f t="shared" si="146"/>
        <v>187.86969111712705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88.376354412722478</v>
      </c>
      <c r="BQ153" s="21">
        <f>EXP(-LN(2)/25)*BQ152+(1-EXP(-LN(2)/25))/(LN(2)/25)*Calculateur!BL153*Calculateur!BN153*VLOOKUP('Données projet'!$B$11,Paramètres!$A$1:$I$89,3,0)*0.475*44/12</f>
        <v>13.541711851417228</v>
      </c>
      <c r="BR153" s="21">
        <f>EXP(-LN(2)/2)*BR152+(1-EXP(-LN(2)/2))/(LN(2)/2)*BL153*BO153*VLOOKUP('Données projet'!$B$11,Paramètres!$A$1:$I$89,3,0)*0.475*44/12</f>
        <v>1.421888500897307E-6</v>
      </c>
      <c r="BS153" s="22">
        <f t="shared" si="117"/>
        <v>101.91806768602821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-2.2737367544323206E-13</v>
      </c>
      <c r="BZ153" s="13">
        <f>BY153*VLOOKUP('Données projet'!$B$12,Paramètres!$A$1:$I$89,3,0)*VLOOKUP('Données projet'!$B$12,Paramètres!$A$1:$I$89,5,0)</f>
        <v>-1.3596945791505279E-13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279.86432710889352</v>
      </c>
      <c r="CE153" s="59">
        <f t="shared" si="148"/>
        <v>297.01680128882509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21.3481741864538</v>
      </c>
      <c r="CL153" s="21">
        <f>EXP(-LN(2)/25)*CL152+(1-EXP(-LN(2)/25))/(LN(2)/25)*Calculateur!CG153*Calculateur!CI153*VLOOKUP('Données projet'!$B$12,Paramètres!$A$1:$I$89,3,0)*0.475*44/12</f>
        <v>9.0285979489255634</v>
      </c>
      <c r="CM153" s="21">
        <f>EXP(-LN(2)/2)*CM152+(1-EXP(-LN(2)/2))/(LN(2)/2)*CG153*CJ153*VLOOKUP('Données projet'!$B$12,Paramètres!$A$1:$I$89,3,0)*0.475*44/12</f>
        <v>1.226677804770077E-11</v>
      </c>
      <c r="CN153" s="22">
        <f t="shared" si="120"/>
        <v>30.376772135391629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-12.000000000000284</v>
      </c>
      <c r="CU153" s="17">
        <f>CT153*VLOOKUP('Données projet'!$B$13,Paramètres!$A$1:$I$89,3,0)*VLOOKUP('Données projet'!$B$13,Paramètres!$A$1:$I$89,5,0)</f>
        <v>-9.5472000000002257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314.6300257056194</v>
      </c>
      <c r="CZ153" s="59">
        <f t="shared" si="150"/>
        <v>298.00555477466668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35.523361735964933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35.523361735964933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-12.000000000000284</v>
      </c>
      <c r="DP153" s="17">
        <f>DO153*VLOOKUP('Données projet'!$B$14,Paramètres!$A$1:$I$89,3,0)*VLOOKUP('Données projet'!$B$14,Paramètres!$A$1:$I$89,5,0)</f>
        <v>-9.5472000000002257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314.6300257056194</v>
      </c>
      <c r="DU153" s="59">
        <f t="shared" si="152"/>
        <v>298.00555477466668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35.523361735964933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35.523361735964933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441.23846153846227</v>
      </c>
      <c r="EK153" s="17">
        <f>EJ153*VLOOKUP('Données projet'!$B$15,Paramètres!$A$1:$I$89,3,0)*VLOOKUP('Données projet'!$B$15,Paramètres!$A$1:$I$89,5,0)</f>
        <v>212.23570000000035</v>
      </c>
      <c r="EL153" s="13">
        <f t="shared" si="153"/>
        <v>52.423840876495639</v>
      </c>
      <c r="EM153" s="20">
        <f t="shared" si="127"/>
        <v>460.9487003598972</v>
      </c>
      <c r="EN153" s="59">
        <f t="shared" si="128"/>
        <v>754.28203369323046</v>
      </c>
      <c r="EO153" s="59">
        <f ca="1">AVERAGE(OFFSET($EN$3,0,0,'Données projet'!$E$15+1,1))-AVERAGE(OFFSET($H$3,0,0,'Données projet'!$E$15+1,1))</f>
        <v>238.83604534181978</v>
      </c>
      <c r="EP153" s="59">
        <f t="shared" si="154"/>
        <v>114.85152559837792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5.6843418860808015E-14</v>
      </c>
      <c r="FF153" s="17">
        <f>FE153*VLOOKUP('Données projet'!$B$16,Paramètres!$A$1:$I$89,3,0)*VLOOKUP('Données projet'!$B$16,Paramètres!$A$1:$I$89,5,0)</f>
        <v>4.6111381379887463E-14</v>
      </c>
      <c r="FG153" s="13">
        <f t="shared" si="155"/>
        <v>7.5804141040779151E-13</v>
      </c>
      <c r="FH153" s="20">
        <f t="shared" si="130"/>
        <v>1.4005661123635408E-12</v>
      </c>
      <c r="FI153" s="59">
        <f t="shared" si="131"/>
        <v>293.33333333333474</v>
      </c>
      <c r="FJ153" s="59">
        <f ca="1">AVERAGE(OFFSET($FI$3,0,0,'Données projet'!$E$16+1,1))-AVERAGE(OFFSET($H$3,0,0,'Données projet'!$E$16+1,1))</f>
        <v>196.95467273423861</v>
      </c>
      <c r="FK153" s="59">
        <f t="shared" si="156"/>
        <v>173.8709326829258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21.416407878433784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1.19920700470068E-9</v>
      </c>
      <c r="FT153" s="22">
        <f t="shared" si="132"/>
        <v>21.416407879632992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5.6843418860808015E-14</v>
      </c>
      <c r="GA153" s="17">
        <f>FZ153*VLOOKUP('Données projet'!$B$17,Paramètres!$A$1:$I$89,3,0)*VLOOKUP('Données projet'!$B$17,Paramètres!$A$1:$I$89,5,0)</f>
        <v>6.1186256061773749E-14</v>
      </c>
      <c r="GB153" s="13">
        <f t="shared" si="157"/>
        <v>9.7328366192051127E-13</v>
      </c>
      <c r="GC153" s="20">
        <f t="shared" si="133"/>
        <v>1.8017017738191463E-12</v>
      </c>
      <c r="GD153" s="59">
        <f t="shared" si="134"/>
        <v>293.33333333333513</v>
      </c>
      <c r="GE153" s="59">
        <f ca="1">AVERAGE(OFFSET($GD$3,0,0,'Données projet'!$E$17+1,1))-AVERAGE(OFFSET($H$3,0,0,'Données projet'!$E$17+1,1))</f>
        <v>275.5229427552884</v>
      </c>
      <c r="GF153" s="59">
        <f t="shared" si="158"/>
        <v>241.20234081716143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28.417925838690987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1.5912554485451319E-9</v>
      </c>
      <c r="GO153" s="21">
        <f t="shared" si="135"/>
        <v>28.417925840282244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274.57619581652199</v>
      </c>
      <c r="T154" s="59">
        <f t="shared" si="142"/>
        <v>366.15117322598775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 t="e">
        <f>EXP(-LN(2)/35)*Z153+(1-EXP(-LN(2)/35))/(LN(2)/35)*V154*W154*VLOOKUP('Données projet'!$B$9,Paramètres!$A$1:$I$89,3,0)*0.475*44/12</f>
        <v>#VALUE!</v>
      </c>
      <c r="AA154" s="21" t="e">
        <f>EXP(-LN(2)/25)*AA153+(1-EXP(-LN(2)/25))/(LN(2)/25)*Calculateur!V154*Calculateur!X154*VLOOKUP('Données projet'!$B$9,Paramètres!$A$1:$I$89,3,0)*0.475*44/12</f>
        <v>#VALUE!</v>
      </c>
      <c r="AB154" s="21" t="e">
        <f>EXP(-LN(2)/2)*AB153+(1-EXP(-LN(2)/2))/(LN(2)/2)*V154*Y154*VLOOKUP('Données projet'!$B$9,Paramètres!$A$1:$I$89,3,0)*0.475*44/12</f>
        <v>#VALUE!</v>
      </c>
      <c r="AC154" s="22" t="e">
        <f t="shared" ref="AC154:AC203" si="163">SUM(Z154:AB154)</f>
        <v>#VALUE!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175.05987582828078</v>
      </c>
      <c r="AO154" s="59">
        <f t="shared" si="144"/>
        <v>268.54782308462387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27.764564194043562</v>
      </c>
      <c r="AV154" s="21">
        <f>EXP(-LN(2)/25)*AV153+(1-EXP(-LN(2)/25))/(LN(2)/25)*Calculateur!AQ154*Calculateur!AS154*VLOOKUP('Données projet'!$B$10,Paramètres!$A$1:$I$89,3,0)*0.475*44/12</f>
        <v>3.3807320693545053</v>
      </c>
      <c r="AW154" s="21">
        <f>EXP(-LN(2)/2)*AW153+(1-EXP(-LN(2)/2))/(LN(2)/2)*AQ154*AT154*VLOOKUP('Données projet'!$B$10,Paramètres!$A$1:$I$89,3,0)*0.475*44/12</f>
        <v>5.7195497452375535E-13</v>
      </c>
      <c r="AX154" s="21">
        <f t="shared" ref="AX154:AX203" si="166">SUM(AU154:AW154)</f>
        <v>31.145296263398638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252.70779718608964</v>
      </c>
      <c r="BJ154" s="59">
        <f t="shared" si="146"/>
        <v>187.86969111712705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86.643348006942574</v>
      </c>
      <c r="BQ154" s="21">
        <f>EXP(-LN(2)/25)*BQ153+(1-EXP(-LN(2)/25))/(LN(2)/25)*Calculateur!BL154*Calculateur!BN154*VLOOKUP('Données projet'!$B$11,Paramètres!$A$1:$I$89,3,0)*0.475*44/12</f>
        <v>13.171413028712548</v>
      </c>
      <c r="BR154" s="21">
        <f>EXP(-LN(2)/2)*BR153+(1-EXP(-LN(2)/2))/(LN(2)/2)*BL154*BO154*VLOOKUP('Données projet'!$B$11,Paramètres!$A$1:$I$89,3,0)*0.475*44/12</f>
        <v>1.0054270010756601E-6</v>
      </c>
      <c r="BS154" s="22">
        <f t="shared" ref="BS154:BS203" si="169">SUM(BP154:BR154)</f>
        <v>99.814762041082119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-1.3596945791505279E-13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279.86432710889352</v>
      </c>
      <c r="CE154" s="59">
        <f t="shared" si="148"/>
        <v>297.01680128882509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20.929549511757969</v>
      </c>
      <c r="CL154" s="21">
        <f>EXP(-LN(2)/25)*CL153+(1-EXP(-LN(2)/25))/(LN(2)/25)*Calculateur!CG154*Calculateur!CI154*VLOOKUP('Données projet'!$B$12,Paramètres!$A$1:$I$89,3,0)*0.475*44/12</f>
        <v>8.7817104632188627</v>
      </c>
      <c r="CM154" s="21">
        <f>EXP(-LN(2)/2)*CM153+(1-EXP(-LN(2)/2))/(LN(2)/2)*CG154*CJ154*VLOOKUP('Données projet'!$B$12,Paramètres!$A$1:$I$89,3,0)*0.475*44/12</f>
        <v>8.6739219408394931E-12</v>
      </c>
      <c r="CN154" s="22">
        <f t="shared" ref="CN154:CN203" si="172">SUM(CK154:CM154)</f>
        <v>29.711259974985506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-12.000000000000284</v>
      </c>
      <c r="CU154" s="17">
        <f>CT154*VLOOKUP('Données projet'!$B$13,Paramètres!$A$1:$I$89,3,0)*VLOOKUP('Données projet'!$B$13,Paramètres!$A$1:$I$89,5,0)</f>
        <v>-9.5472000000002257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314.6300257056194</v>
      </c>
      <c r="CZ154" s="59">
        <f t="shared" si="150"/>
        <v>298.00555477466668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34.826770279433873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34.826770279433873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-12.000000000000284</v>
      </c>
      <c r="DP154" s="17">
        <f>DO154*VLOOKUP('Données projet'!$B$14,Paramètres!$A$1:$I$89,3,0)*VLOOKUP('Données projet'!$B$14,Paramètres!$A$1:$I$89,5,0)</f>
        <v>-9.5472000000002257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314.6300257056194</v>
      </c>
      <c r="DU154" s="59">
        <f t="shared" si="152"/>
        <v>298.00555477466668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34.826770279433873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34.826770279433873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441.23846153846227</v>
      </c>
      <c r="EK154" s="17">
        <f>EJ154*VLOOKUP('Données projet'!$B$15,Paramètres!$A$1:$I$89,3,0)*VLOOKUP('Données projet'!$B$15,Paramètres!$A$1:$I$89,5,0)</f>
        <v>212.23570000000035</v>
      </c>
      <c r="EL154" s="13">
        <f t="shared" ref="EL154:EL203" si="179">EXP(-1.0587+0.8836*LN(EK154)+0.284)</f>
        <v>52.423840876495639</v>
      </c>
      <c r="EM154" s="20">
        <f t="shared" ref="EM154:EM203" si="180">(EK154+EL154)*0.475*44/12</f>
        <v>460.9487003598972</v>
      </c>
      <c r="EN154" s="59">
        <f t="shared" si="128"/>
        <v>754.28203369323046</v>
      </c>
      <c r="EO154" s="59">
        <f ca="1">AVERAGE(OFFSET($EN$3,0,0,'Données projet'!$E$15+1,1))-AVERAGE(OFFSET($H$3,0,0,'Données projet'!$E$15+1,1))</f>
        <v>238.83604534181978</v>
      </c>
      <c r="EP154" s="59">
        <f t="shared" si="154"/>
        <v>114.85152559837792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5.6843418860808015E-14</v>
      </c>
      <c r="FF154" s="17">
        <f>FE154*VLOOKUP('Données projet'!$B$16,Paramètres!$A$1:$I$89,3,0)*VLOOKUP('Données projet'!$B$16,Paramètres!$A$1:$I$89,5,0)</f>
        <v>4.6111381379887463E-14</v>
      </c>
      <c r="FG154" s="13">
        <f t="shared" ref="FG154:FG203" si="182">EXP(-1.0587+0.8836*LN(FF154)+0.284)</f>
        <v>7.5804141040779151E-13</v>
      </c>
      <c r="FH154" s="20">
        <f t="shared" ref="FH154:FH203" si="183">(FF154+FG154)*0.475*44/12</f>
        <v>1.4005661123635408E-12</v>
      </c>
      <c r="FI154" s="59">
        <f t="shared" si="131"/>
        <v>293.33333333333474</v>
      </c>
      <c r="FJ154" s="59">
        <f ca="1">AVERAGE(OFFSET($FI$3,0,0,'Données projet'!$E$16+1,1))-AVERAGE(OFFSET($H$3,0,0,'Données projet'!$E$16+1,1))</f>
        <v>196.95467273423861</v>
      </c>
      <c r="FK154" s="59">
        <f t="shared" si="156"/>
        <v>173.8709326829258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20.996445182656668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8.479674050702588E-10</v>
      </c>
      <c r="FT154" s="22">
        <f t="shared" ref="FT154:FT203" si="184">SUM(FQ154:FS154)</f>
        <v>20.996445183504637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5.6843418860808015E-14</v>
      </c>
      <c r="GA154" s="17">
        <f>FZ154*VLOOKUP('Données projet'!$B$17,Paramètres!$A$1:$I$89,3,0)*VLOOKUP('Données projet'!$B$17,Paramètres!$A$1:$I$89,5,0)</f>
        <v>6.1186256061773749E-14</v>
      </c>
      <c r="GB154" s="13">
        <f t="shared" ref="GB154:GB203" si="185">EXP(-1.0587+0.8836*LN(GA154)+0.284)</f>
        <v>9.7328366192051127E-13</v>
      </c>
      <c r="GC154" s="20">
        <f t="shared" ref="GC154:GC203" si="186">(GA154+GB154)*0.475*44/12</f>
        <v>1.8017017738191463E-12</v>
      </c>
      <c r="GD154" s="59">
        <f t="shared" si="134"/>
        <v>293.33333333333513</v>
      </c>
      <c r="GE154" s="59">
        <f ca="1">AVERAGE(OFFSET($GD$3,0,0,'Données projet'!$E$17+1,1))-AVERAGE(OFFSET($H$3,0,0,'Données projet'!$E$17+1,1))</f>
        <v>275.5229427552884</v>
      </c>
      <c r="GF154" s="59">
        <f t="shared" si="158"/>
        <v>241.20234081716143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27.860667646217504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1.1251875182663041E-9</v>
      </c>
      <c r="GO154" s="21">
        <f t="shared" ref="GO154:GO203" si="187">SUM(GL154:GN154)</f>
        <v>27.860667647342691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274.57619581652199</v>
      </c>
      <c r="T155" s="59">
        <f t="shared" si="142"/>
        <v>366.15117322598775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 t="e">
        <f>EXP(-LN(2)/35)*Z154+(1-EXP(-LN(2)/35))/(LN(2)/35)*V155*W155*VLOOKUP('Données projet'!$B$9,Paramètres!$A$1:$I$89,3,0)*0.475*44/12</f>
        <v>#VALUE!</v>
      </c>
      <c r="AA155" s="21" t="e">
        <f>EXP(-LN(2)/25)*AA154+(1-EXP(-LN(2)/25))/(LN(2)/25)*Calculateur!V155*Calculateur!X155*VLOOKUP('Données projet'!$B$9,Paramètres!$A$1:$I$89,3,0)*0.475*44/12</f>
        <v>#VALUE!</v>
      </c>
      <c r="AB155" s="21" t="e">
        <f>EXP(-LN(2)/2)*AB154+(1-EXP(-LN(2)/2))/(LN(2)/2)*V155*Y155*VLOOKUP('Données projet'!$B$9,Paramètres!$A$1:$I$89,3,0)*0.475*44/12</f>
        <v>#VALUE!</v>
      </c>
      <c r="AC155" s="22" t="e">
        <f t="shared" si="163"/>
        <v>#VALUE!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175.05987582828078</v>
      </c>
      <c r="AO155" s="59">
        <f t="shared" si="144"/>
        <v>268.54782308462387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27.220118024910363</v>
      </c>
      <c r="AV155" s="21">
        <f>EXP(-LN(2)/25)*AV154+(1-EXP(-LN(2)/25))/(LN(2)/25)*Calculateur!AQ155*Calculateur!AS155*VLOOKUP('Données projet'!$B$10,Paramètres!$A$1:$I$89,3,0)*0.475*44/12</f>
        <v>3.2882857731330337</v>
      </c>
      <c r="AW155" s="21">
        <f>EXP(-LN(2)/2)*AW154+(1-EXP(-LN(2)/2))/(LN(2)/2)*AQ155*AT155*VLOOKUP('Données projet'!$B$10,Paramètres!$A$1:$I$89,3,0)*0.475*44/12</f>
        <v>4.0443324101912645E-13</v>
      </c>
      <c r="AX155" s="21">
        <f t="shared" si="166"/>
        <v>30.508403798043801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252.70779718608964</v>
      </c>
      <c r="BJ155" s="59">
        <f t="shared" si="146"/>
        <v>187.86969111712705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84.94432479975049</v>
      </c>
      <c r="BQ155" s="21">
        <f>EXP(-LN(2)/25)*BQ154+(1-EXP(-LN(2)/25))/(LN(2)/25)*Calculateur!BL155*Calculateur!BN155*VLOOKUP('Données projet'!$B$11,Paramètres!$A$1:$I$89,3,0)*0.475*44/12</f>
        <v>12.811240046787896</v>
      </c>
      <c r="BR155" s="21">
        <f>EXP(-LN(2)/2)*BR154+(1-EXP(-LN(2)/2))/(LN(2)/2)*BL155*BO155*VLOOKUP('Données projet'!$B$11,Paramètres!$A$1:$I$89,3,0)*0.475*44/12</f>
        <v>7.109442504486535E-7</v>
      </c>
      <c r="BS155" s="22">
        <f t="shared" si="169"/>
        <v>97.75556555748264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-1.3596945791505279E-13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279.86432710889352</v>
      </c>
      <c r="CE155" s="59">
        <f t="shared" si="148"/>
        <v>297.01680128882509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20.519133811597083</v>
      </c>
      <c r="CL155" s="21">
        <f>EXP(-LN(2)/25)*CL154+(1-EXP(-LN(2)/25))/(LN(2)/25)*Calculateur!CG155*Calculateur!CI155*VLOOKUP('Données projet'!$B$12,Paramètres!$A$1:$I$89,3,0)*0.475*44/12</f>
        <v>8.5415741287920603</v>
      </c>
      <c r="CM155" s="21">
        <f>EXP(-LN(2)/2)*CM154+(1-EXP(-LN(2)/2))/(LN(2)/2)*CG155*CJ155*VLOOKUP('Données projet'!$B$12,Paramètres!$A$1:$I$89,3,0)*0.475*44/12</f>
        <v>6.1333890238503852E-12</v>
      </c>
      <c r="CN155" s="22">
        <f t="shared" si="172"/>
        <v>29.060707940395275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-12.000000000000284</v>
      </c>
      <c r="CU155" s="17">
        <f>CT155*VLOOKUP('Données projet'!$B$13,Paramètres!$A$1:$I$89,3,0)*VLOOKUP('Données projet'!$B$13,Paramètres!$A$1:$I$89,5,0)</f>
        <v>-9.5472000000002257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314.6300257056194</v>
      </c>
      <c r="CZ155" s="59">
        <f t="shared" si="150"/>
        <v>298.00555477466668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34.14383855648655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34.14383855648655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-12.000000000000284</v>
      </c>
      <c r="DP155" s="17">
        <f>DO155*VLOOKUP('Données projet'!$B$14,Paramètres!$A$1:$I$89,3,0)*VLOOKUP('Données projet'!$B$14,Paramètres!$A$1:$I$89,5,0)</f>
        <v>-9.5472000000002257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314.6300257056194</v>
      </c>
      <c r="DU155" s="59">
        <f t="shared" si="152"/>
        <v>298.00555477466668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34.14383855648655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34.14383855648655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441.23846153846227</v>
      </c>
      <c r="EK155" s="17">
        <f>EJ155*VLOOKUP('Données projet'!$B$15,Paramètres!$A$1:$I$89,3,0)*VLOOKUP('Données projet'!$B$15,Paramètres!$A$1:$I$89,5,0)</f>
        <v>212.23570000000035</v>
      </c>
      <c r="EL155" s="13">
        <f t="shared" si="179"/>
        <v>52.423840876495639</v>
      </c>
      <c r="EM155" s="20">
        <f t="shared" si="180"/>
        <v>460.9487003598972</v>
      </c>
      <c r="EN155" s="59">
        <f t="shared" si="128"/>
        <v>754.28203369323046</v>
      </c>
      <c r="EO155" s="59">
        <f ca="1">AVERAGE(OFFSET($EN$3,0,0,'Données projet'!$E$15+1,1))-AVERAGE(OFFSET($H$3,0,0,'Données projet'!$E$15+1,1))</f>
        <v>238.83604534181978</v>
      </c>
      <c r="EP155" s="59">
        <f t="shared" si="154"/>
        <v>114.85152559837792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5.6843418860808015E-14</v>
      </c>
      <c r="FF155" s="17">
        <f>FE155*VLOOKUP('Données projet'!$B$16,Paramètres!$A$1:$I$89,3,0)*VLOOKUP('Données projet'!$B$16,Paramètres!$A$1:$I$89,5,0)</f>
        <v>4.6111381379887463E-14</v>
      </c>
      <c r="FG155" s="13">
        <f t="shared" si="182"/>
        <v>7.5804141040779151E-13</v>
      </c>
      <c r="FH155" s="20">
        <f t="shared" si="183"/>
        <v>1.4005661123635408E-12</v>
      </c>
      <c r="FI155" s="59">
        <f t="shared" si="131"/>
        <v>293.33333333333474</v>
      </c>
      <c r="FJ155" s="59">
        <f ca="1">AVERAGE(OFFSET($FI$3,0,0,'Données projet'!$E$16+1,1))-AVERAGE(OFFSET($H$3,0,0,'Données projet'!$E$16+1,1))</f>
        <v>196.95467273423861</v>
      </c>
      <c r="FK155" s="59">
        <f t="shared" si="156"/>
        <v>173.8709326829258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20.584717699191788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5.9960350235033999E-10</v>
      </c>
      <c r="FT155" s="22">
        <f t="shared" si="184"/>
        <v>20.584717699791391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5.6843418860808015E-14</v>
      </c>
      <c r="GA155" s="17">
        <f>FZ155*VLOOKUP('Données projet'!$B$17,Paramètres!$A$1:$I$89,3,0)*VLOOKUP('Données projet'!$B$17,Paramètres!$A$1:$I$89,5,0)</f>
        <v>6.1186256061773749E-14</v>
      </c>
      <c r="GB155" s="13">
        <f t="shared" si="185"/>
        <v>9.7328366192051127E-13</v>
      </c>
      <c r="GC155" s="20">
        <f t="shared" si="186"/>
        <v>1.8017017738191463E-12</v>
      </c>
      <c r="GD155" s="59">
        <f t="shared" si="134"/>
        <v>293.33333333333513</v>
      </c>
      <c r="GE155" s="59">
        <f ca="1">AVERAGE(OFFSET($GD$3,0,0,'Données projet'!$E$17+1,1))-AVERAGE(OFFSET($H$3,0,0,'Données projet'!$E$17+1,1))</f>
        <v>275.5229427552884</v>
      </c>
      <c r="GF155" s="59">
        <f t="shared" si="158"/>
        <v>241.20234081716143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27.314336947004492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7.9562772427256596E-10</v>
      </c>
      <c r="GO155" s="21">
        <f t="shared" si="187"/>
        <v>27.314336947800118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274.57619581652199</v>
      </c>
      <c r="T156" s="59">
        <f t="shared" si="142"/>
        <v>366.15117322598775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 t="e">
        <f>EXP(-LN(2)/35)*Z155+(1-EXP(-LN(2)/35))/(LN(2)/35)*V156*W156*VLOOKUP('Données projet'!$B$9,Paramètres!$A$1:$I$89,3,0)*0.475*44/12</f>
        <v>#VALUE!</v>
      </c>
      <c r="AA156" s="21" t="e">
        <f>EXP(-LN(2)/25)*AA155+(1-EXP(-LN(2)/25))/(LN(2)/25)*Calculateur!V156*Calculateur!X156*VLOOKUP('Données projet'!$B$9,Paramètres!$A$1:$I$89,3,0)*0.475*44/12</f>
        <v>#VALUE!</v>
      </c>
      <c r="AB156" s="21" t="e">
        <f>EXP(-LN(2)/2)*AB155+(1-EXP(-LN(2)/2))/(LN(2)/2)*V156*Y156*VLOOKUP('Données projet'!$B$9,Paramètres!$A$1:$I$89,3,0)*0.475*44/12</f>
        <v>#VALUE!</v>
      </c>
      <c r="AC156" s="22" t="e">
        <f t="shared" si="163"/>
        <v>#VALUE!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175.05987582828078</v>
      </c>
      <c r="AO156" s="59">
        <f t="shared" si="144"/>
        <v>268.54782308462387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26.686348113074491</v>
      </c>
      <c r="AV156" s="21">
        <f>EXP(-LN(2)/25)*AV155+(1-EXP(-LN(2)/25))/(LN(2)/25)*Calculateur!AQ156*Calculateur!AS156*VLOOKUP('Données projet'!$B$10,Paramètres!$A$1:$I$89,3,0)*0.475*44/12</f>
        <v>3.1983674257432777</v>
      </c>
      <c r="AW156" s="21">
        <f>EXP(-LN(2)/2)*AW155+(1-EXP(-LN(2)/2))/(LN(2)/2)*AQ156*AT156*VLOOKUP('Données projet'!$B$10,Paramètres!$A$1:$I$89,3,0)*0.475*44/12</f>
        <v>2.8597748726187768E-13</v>
      </c>
      <c r="AX156" s="21">
        <f t="shared" si="166"/>
        <v>29.884715538818053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252.70779718608964</v>
      </c>
      <c r="BJ156" s="59">
        <f t="shared" si="146"/>
        <v>187.86969111712705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83.278618401349604</v>
      </c>
      <c r="BQ156" s="21">
        <f>EXP(-LN(2)/25)*BQ155+(1-EXP(-LN(2)/25))/(LN(2)/25)*Calculateur!BL156*Calculateur!BN156*VLOOKUP('Données projet'!$B$11,Paramètres!$A$1:$I$89,3,0)*0.475*44/12</f>
        <v>12.460916013994648</v>
      </c>
      <c r="BR156" s="21">
        <f>EXP(-LN(2)/2)*BR155+(1-EXP(-LN(2)/2))/(LN(2)/2)*BL156*BO156*VLOOKUP('Données projet'!$B$11,Paramètres!$A$1:$I$89,3,0)*0.475*44/12</f>
        <v>5.0271350053783005E-7</v>
      </c>
      <c r="BS156" s="22">
        <f t="shared" si="169"/>
        <v>95.739534918057757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-1.3596945791505279E-13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279.86432710889352</v>
      </c>
      <c r="CE156" s="59">
        <f t="shared" si="148"/>
        <v>297.01680128882509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20.116766112987492</v>
      </c>
      <c r="CL156" s="21">
        <f>EXP(-LN(2)/25)*CL155+(1-EXP(-LN(2)/25))/(LN(2)/25)*Calculateur!CG156*Calculateur!CI156*VLOOKUP('Données projet'!$B$12,Paramètres!$A$1:$I$89,3,0)*0.475*44/12</f>
        <v>8.3080043350583797</v>
      </c>
      <c r="CM156" s="21">
        <f>EXP(-LN(2)/2)*CM155+(1-EXP(-LN(2)/2))/(LN(2)/2)*CG156*CJ156*VLOOKUP('Données projet'!$B$12,Paramètres!$A$1:$I$89,3,0)*0.475*44/12</f>
        <v>4.3369609704197465E-12</v>
      </c>
      <c r="CN156" s="22">
        <f t="shared" si="172"/>
        <v>28.424770448050207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-12.000000000000284</v>
      </c>
      <c r="CU156" s="17">
        <f>CT156*VLOOKUP('Données projet'!$B$13,Paramètres!$A$1:$I$89,3,0)*VLOOKUP('Données projet'!$B$13,Paramètres!$A$1:$I$89,5,0)</f>
        <v>-9.5472000000002257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314.6300257056194</v>
      </c>
      <c r="CZ156" s="59">
        <f t="shared" si="150"/>
        <v>298.00555477466668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33.474298708079004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33.474298708079004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-12.000000000000284</v>
      </c>
      <c r="DP156" s="17">
        <f>DO156*VLOOKUP('Données projet'!$B$14,Paramètres!$A$1:$I$89,3,0)*VLOOKUP('Données projet'!$B$14,Paramètres!$A$1:$I$89,5,0)</f>
        <v>-9.5472000000002257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314.6300257056194</v>
      </c>
      <c r="DU156" s="59">
        <f t="shared" si="152"/>
        <v>298.00555477466668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33.474298708079004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33.474298708079004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441.23846153846227</v>
      </c>
      <c r="EK156" s="17">
        <f>EJ156*VLOOKUP('Données projet'!$B$15,Paramètres!$A$1:$I$89,3,0)*VLOOKUP('Données projet'!$B$15,Paramètres!$A$1:$I$89,5,0)</f>
        <v>212.23570000000035</v>
      </c>
      <c r="EL156" s="13">
        <f t="shared" si="179"/>
        <v>52.423840876495639</v>
      </c>
      <c r="EM156" s="20">
        <f t="shared" si="180"/>
        <v>460.9487003598972</v>
      </c>
      <c r="EN156" s="59">
        <f t="shared" si="128"/>
        <v>754.28203369323046</v>
      </c>
      <c r="EO156" s="59">
        <f ca="1">AVERAGE(OFFSET($EN$3,0,0,'Données projet'!$E$15+1,1))-AVERAGE(OFFSET($H$3,0,0,'Données projet'!$E$15+1,1))</f>
        <v>238.83604534181978</v>
      </c>
      <c r="EP156" s="59">
        <f t="shared" si="154"/>
        <v>114.85152559837792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5.6843418860808015E-14</v>
      </c>
      <c r="FF156" s="17">
        <f>FE156*VLOOKUP('Données projet'!$B$16,Paramètres!$A$1:$I$89,3,0)*VLOOKUP('Données projet'!$B$16,Paramètres!$A$1:$I$89,5,0)</f>
        <v>4.6111381379887463E-14</v>
      </c>
      <c r="FG156" s="13">
        <f t="shared" si="182"/>
        <v>7.5804141040779151E-13</v>
      </c>
      <c r="FH156" s="20">
        <f t="shared" si="183"/>
        <v>1.4005661123635408E-12</v>
      </c>
      <c r="FI156" s="59">
        <f t="shared" si="131"/>
        <v>293.33333333333474</v>
      </c>
      <c r="FJ156" s="59">
        <f ca="1">AVERAGE(OFFSET($FI$3,0,0,'Données projet'!$E$16+1,1))-AVERAGE(OFFSET($H$3,0,0,'Données projet'!$E$16+1,1))</f>
        <v>196.95467273423861</v>
      </c>
      <c r="FK156" s="59">
        <f t="shared" si="156"/>
        <v>173.8709326829258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20.181063940548686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4.239837025351294E-10</v>
      </c>
      <c r="FT156" s="22">
        <f t="shared" si="184"/>
        <v>20.18106394097267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5.6843418860808015E-14</v>
      </c>
      <c r="GA156" s="17">
        <f>FZ156*VLOOKUP('Données projet'!$B$17,Paramètres!$A$1:$I$89,3,0)*VLOOKUP('Données projet'!$B$17,Paramètres!$A$1:$I$89,5,0)</f>
        <v>6.1186256061773749E-14</v>
      </c>
      <c r="GB156" s="13">
        <f t="shared" si="185"/>
        <v>9.7328366192051127E-13</v>
      </c>
      <c r="GC156" s="20">
        <f t="shared" si="186"/>
        <v>1.8017017738191463E-12</v>
      </c>
      <c r="GD156" s="59">
        <f t="shared" si="134"/>
        <v>293.33333333333513</v>
      </c>
      <c r="GE156" s="59">
        <f ca="1">AVERAGE(OFFSET($GD$3,0,0,'Données projet'!$E$17+1,1))-AVERAGE(OFFSET($H$3,0,0,'Données projet'!$E$17+1,1))</f>
        <v>275.5229427552884</v>
      </c>
      <c r="GF156" s="59">
        <f t="shared" si="158"/>
        <v>241.20234081716143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26.778719459574223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5.6259375913315206E-10</v>
      </c>
      <c r="GO156" s="21">
        <f t="shared" si="187"/>
        <v>26.778719460136816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274.57619581652199</v>
      </c>
      <c r="T157" s="59">
        <f t="shared" si="142"/>
        <v>366.15117322598775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 t="e">
        <f>EXP(-LN(2)/35)*Z156+(1-EXP(-LN(2)/35))/(LN(2)/35)*V157*W157*VLOOKUP('Données projet'!$B$9,Paramètres!$A$1:$I$89,3,0)*0.475*44/12</f>
        <v>#VALUE!</v>
      </c>
      <c r="AA157" s="21" t="e">
        <f>EXP(-LN(2)/25)*AA156+(1-EXP(-LN(2)/25))/(LN(2)/25)*Calculateur!V157*Calculateur!X157*VLOOKUP('Données projet'!$B$9,Paramètres!$A$1:$I$89,3,0)*0.475*44/12</f>
        <v>#VALUE!</v>
      </c>
      <c r="AB157" s="21" t="e">
        <f>EXP(-LN(2)/2)*AB156+(1-EXP(-LN(2)/2))/(LN(2)/2)*V157*Y157*VLOOKUP('Données projet'!$B$9,Paramètres!$A$1:$I$89,3,0)*0.475*44/12</f>
        <v>#VALUE!</v>
      </c>
      <c r="AC157" s="22" t="e">
        <f t="shared" si="163"/>
        <v>#VALUE!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175.05987582828078</v>
      </c>
      <c r="AO157" s="59">
        <f t="shared" si="144"/>
        <v>268.54782308462387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26.163045103642222</v>
      </c>
      <c r="AV157" s="21">
        <f>EXP(-LN(2)/25)*AV156+(1-EXP(-LN(2)/25))/(LN(2)/25)*Calculateur!AQ157*Calculateur!AS157*VLOOKUP('Données projet'!$B$10,Paramètres!$A$1:$I$89,3,0)*0.475*44/12</f>
        <v>3.1109079002914948</v>
      </c>
      <c r="AW157" s="21">
        <f>EXP(-LN(2)/2)*AW156+(1-EXP(-LN(2)/2))/(LN(2)/2)*AQ157*AT157*VLOOKUP('Données projet'!$B$10,Paramètres!$A$1:$I$89,3,0)*0.475*44/12</f>
        <v>2.0221662050956322E-13</v>
      </c>
      <c r="AX157" s="21">
        <f t="shared" si="166"/>
        <v>29.273953003933919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252.70779718608964</v>
      </c>
      <c r="BJ157" s="59">
        <f t="shared" si="146"/>
        <v>187.86969111712705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81.645575489440773</v>
      </c>
      <c r="BQ157" s="21">
        <f>EXP(-LN(2)/25)*BQ156+(1-EXP(-LN(2)/25))/(LN(2)/25)*Calculateur!BL157*Calculateur!BN157*VLOOKUP('Données projet'!$B$11,Paramètres!$A$1:$I$89,3,0)*0.475*44/12</f>
        <v>12.12017161030087</v>
      </c>
      <c r="BR157" s="21">
        <f>EXP(-LN(2)/2)*BR156+(1-EXP(-LN(2)/2))/(LN(2)/2)*BL157*BO157*VLOOKUP('Données projet'!$B$11,Paramètres!$A$1:$I$89,3,0)*0.475*44/12</f>
        <v>3.5547212522432675E-7</v>
      </c>
      <c r="BS157" s="22">
        <f t="shared" si="169"/>
        <v>93.76574745521377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-1.3596945791505279E-13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279.86432710889352</v>
      </c>
      <c r="CE157" s="59">
        <f t="shared" si="148"/>
        <v>297.01680128882509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19.722288599527573</v>
      </c>
      <c r="CL157" s="21">
        <f>EXP(-LN(2)/25)*CL156+(1-EXP(-LN(2)/25))/(LN(2)/25)*Calculateur!CG157*Calculateur!CI157*VLOOKUP('Données projet'!$B$12,Paramètres!$A$1:$I$89,3,0)*0.475*44/12</f>
        <v>8.080821519617249</v>
      </c>
      <c r="CM157" s="21">
        <f>EXP(-LN(2)/2)*CM156+(1-EXP(-LN(2)/2))/(LN(2)/2)*CG157*CJ157*VLOOKUP('Données projet'!$B$12,Paramètres!$A$1:$I$89,3,0)*0.475*44/12</f>
        <v>3.0666945119251926E-12</v>
      </c>
      <c r="CN157" s="22">
        <f t="shared" si="172"/>
        <v>27.803110119147888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-12.000000000000284</v>
      </c>
      <c r="CU157" s="17">
        <f>CT157*VLOOKUP('Données projet'!$B$13,Paramètres!$A$1:$I$89,3,0)*VLOOKUP('Données projet'!$B$13,Paramètres!$A$1:$I$89,5,0)</f>
        <v>-9.5472000000002257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314.6300257056194</v>
      </c>
      <c r="CZ157" s="59">
        <f t="shared" si="150"/>
        <v>298.00555477466668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32.817888127719748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32.817888127719748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-12.000000000000284</v>
      </c>
      <c r="DP157" s="17">
        <f>DO157*VLOOKUP('Données projet'!$B$14,Paramètres!$A$1:$I$89,3,0)*VLOOKUP('Données projet'!$B$14,Paramètres!$A$1:$I$89,5,0)</f>
        <v>-9.5472000000002257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314.6300257056194</v>
      </c>
      <c r="DU157" s="59">
        <f t="shared" si="152"/>
        <v>298.00555477466668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32.817888127719748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32.817888127719748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441.23846153846227</v>
      </c>
      <c r="EK157" s="17">
        <f>EJ157*VLOOKUP('Données projet'!$B$15,Paramètres!$A$1:$I$89,3,0)*VLOOKUP('Données projet'!$B$15,Paramètres!$A$1:$I$89,5,0)</f>
        <v>212.23570000000035</v>
      </c>
      <c r="EL157" s="13">
        <f t="shared" si="179"/>
        <v>52.423840876495639</v>
      </c>
      <c r="EM157" s="20">
        <f t="shared" si="180"/>
        <v>460.9487003598972</v>
      </c>
      <c r="EN157" s="59">
        <f t="shared" si="128"/>
        <v>754.28203369323046</v>
      </c>
      <c r="EO157" s="59">
        <f ca="1">AVERAGE(OFFSET($EN$3,0,0,'Données projet'!$E$15+1,1))-AVERAGE(OFFSET($H$3,0,0,'Données projet'!$E$15+1,1))</f>
        <v>238.83604534181978</v>
      </c>
      <c r="EP157" s="59">
        <f t="shared" si="154"/>
        <v>114.85152559837792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5.6843418860808015E-14</v>
      </c>
      <c r="FF157" s="17">
        <f>FE157*VLOOKUP('Données projet'!$B$16,Paramètres!$A$1:$I$89,3,0)*VLOOKUP('Données projet'!$B$16,Paramètres!$A$1:$I$89,5,0)</f>
        <v>4.6111381379887463E-14</v>
      </c>
      <c r="FG157" s="13">
        <f t="shared" si="182"/>
        <v>7.5804141040779151E-13</v>
      </c>
      <c r="FH157" s="20">
        <f t="shared" si="183"/>
        <v>1.4005661123635408E-12</v>
      </c>
      <c r="FI157" s="59">
        <f t="shared" si="131"/>
        <v>293.33333333333474</v>
      </c>
      <c r="FJ157" s="59">
        <f ca="1">AVERAGE(OFFSET($FI$3,0,0,'Données projet'!$E$16+1,1))-AVERAGE(OFFSET($H$3,0,0,'Données projet'!$E$16+1,1))</f>
        <v>196.95467273423861</v>
      </c>
      <c r="FK157" s="59">
        <f t="shared" si="156"/>
        <v>173.8709326829258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19.785325585908094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2.9980175117516999E-10</v>
      </c>
      <c r="FT157" s="22">
        <f t="shared" si="184"/>
        <v>19.785325586207897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5.6843418860808015E-14</v>
      </c>
      <c r="GA157" s="17">
        <f>FZ157*VLOOKUP('Données projet'!$B$17,Paramètres!$A$1:$I$89,3,0)*VLOOKUP('Données projet'!$B$17,Paramètres!$A$1:$I$89,5,0)</f>
        <v>6.1186256061773749E-14</v>
      </c>
      <c r="GB157" s="13">
        <f t="shared" si="185"/>
        <v>9.7328366192051127E-13</v>
      </c>
      <c r="GC157" s="20">
        <f t="shared" si="186"/>
        <v>1.8017017738191463E-12</v>
      </c>
      <c r="GD157" s="59">
        <f t="shared" si="134"/>
        <v>293.33333333333513</v>
      </c>
      <c r="GE157" s="59">
        <f ca="1">AVERAGE(OFFSET($GD$3,0,0,'Données projet'!$E$17+1,1))-AVERAGE(OFFSET($H$3,0,0,'Données projet'!$E$17+1,1))</f>
        <v>275.5229427552884</v>
      </c>
      <c r="GF157" s="59">
        <f t="shared" si="158"/>
        <v>241.20234081716143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26.253605104378053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3.9781386213628298E-10</v>
      </c>
      <c r="GO157" s="21">
        <f t="shared" si="187"/>
        <v>26.253605104775868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274.57619581652199</v>
      </c>
      <c r="T158" s="59">
        <f t="shared" si="142"/>
        <v>366.15117322598775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 t="e">
        <f>EXP(-LN(2)/35)*Z157+(1-EXP(-LN(2)/35))/(LN(2)/35)*V158*W158*VLOOKUP('Données projet'!$B$9,Paramètres!$A$1:$I$89,3,0)*0.475*44/12</f>
        <v>#VALUE!</v>
      </c>
      <c r="AA158" s="21" t="e">
        <f>EXP(-LN(2)/25)*AA157+(1-EXP(-LN(2)/25))/(LN(2)/25)*Calculateur!V158*Calculateur!X158*VLOOKUP('Données projet'!$B$9,Paramètres!$A$1:$I$89,3,0)*0.475*44/12</f>
        <v>#VALUE!</v>
      </c>
      <c r="AB158" s="21" t="e">
        <f>EXP(-LN(2)/2)*AB157+(1-EXP(-LN(2)/2))/(LN(2)/2)*V158*Y158*VLOOKUP('Données projet'!$B$9,Paramètres!$A$1:$I$89,3,0)*0.475*44/12</f>
        <v>#VALUE!</v>
      </c>
      <c r="AC158" s="22" t="e">
        <f t="shared" si="163"/>
        <v>#VALUE!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175.05987582828078</v>
      </c>
      <c r="AO158" s="59">
        <f t="shared" si="144"/>
        <v>268.54782308462387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25.650003747041602</v>
      </c>
      <c r="AV158" s="21">
        <f>EXP(-LN(2)/25)*AV157+(1-EXP(-LN(2)/25))/(LN(2)/25)*Calculateur!AQ158*Calculateur!AS158*VLOOKUP('Données projet'!$B$10,Paramètres!$A$1:$I$89,3,0)*0.475*44/12</f>
        <v>3.0258399601624872</v>
      </c>
      <c r="AW158" s="21">
        <f>EXP(-LN(2)/2)*AW157+(1-EXP(-LN(2)/2))/(LN(2)/2)*AQ158*AT158*VLOOKUP('Données projet'!$B$10,Paramètres!$A$1:$I$89,3,0)*0.475*44/12</f>
        <v>1.4298874363093884E-13</v>
      </c>
      <c r="AX158" s="21">
        <f t="shared" si="166"/>
        <v>28.67584370720423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252.70779718608964</v>
      </c>
      <c r="BJ158" s="59">
        <f t="shared" si="146"/>
        <v>187.86969111712705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80.044555552976661</v>
      </c>
      <c r="BQ158" s="21">
        <f>EXP(-LN(2)/25)*BQ157+(1-EXP(-LN(2)/25))/(LN(2)/25)*Calculateur!BL158*Calculateur!BN158*VLOOKUP('Données projet'!$B$11,Paramètres!$A$1:$I$89,3,0)*0.475*44/12</f>
        <v>11.788744880245069</v>
      </c>
      <c r="BR158" s="21">
        <f>EXP(-LN(2)/2)*BR157+(1-EXP(-LN(2)/2))/(LN(2)/2)*BL158*BO158*VLOOKUP('Données projet'!$B$11,Paramètres!$A$1:$I$89,3,0)*0.475*44/12</f>
        <v>2.5135675026891503E-7</v>
      </c>
      <c r="BS158" s="22">
        <f t="shared" si="169"/>
        <v>91.833300684578475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-1.3596945791505279E-13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279.86432710889352</v>
      </c>
      <c r="CE158" s="59">
        <f t="shared" si="148"/>
        <v>297.01680128882509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19.335546549499078</v>
      </c>
      <c r="CL158" s="21">
        <f>EXP(-LN(2)/25)*CL157+(1-EXP(-LN(2)/25))/(LN(2)/25)*Calculateur!CG158*Calculateur!CI158*VLOOKUP('Données projet'!$B$12,Paramètres!$A$1:$I$89,3,0)*0.475*44/12</f>
        <v>7.8598510302113809</v>
      </c>
      <c r="CM158" s="21">
        <f>EXP(-LN(2)/2)*CM157+(1-EXP(-LN(2)/2))/(LN(2)/2)*CG158*CJ158*VLOOKUP('Données projet'!$B$12,Paramètres!$A$1:$I$89,3,0)*0.475*44/12</f>
        <v>2.1684804852098733E-12</v>
      </c>
      <c r="CN158" s="22">
        <f t="shared" si="172"/>
        <v>27.195397579712626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-12.000000000000284</v>
      </c>
      <c r="CU158" s="17">
        <f>CT158*VLOOKUP('Données projet'!$B$13,Paramètres!$A$1:$I$89,3,0)*VLOOKUP('Données projet'!$B$13,Paramètres!$A$1:$I$89,5,0)</f>
        <v>-9.5472000000002257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314.6300257056194</v>
      </c>
      <c r="CZ158" s="59">
        <f t="shared" si="150"/>
        <v>298.00555477466668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32.174349358470415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32.174349358470415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-12.000000000000284</v>
      </c>
      <c r="DP158" s="17">
        <f>DO158*VLOOKUP('Données projet'!$B$14,Paramètres!$A$1:$I$89,3,0)*VLOOKUP('Données projet'!$B$14,Paramètres!$A$1:$I$89,5,0)</f>
        <v>-9.5472000000002257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314.6300257056194</v>
      </c>
      <c r="DU158" s="59">
        <f t="shared" si="152"/>
        <v>298.00555477466668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32.174349358470415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32.174349358470415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441.23846153846227</v>
      </c>
      <c r="EK158" s="17">
        <f>EJ158*VLOOKUP('Données projet'!$B$15,Paramètres!$A$1:$I$89,3,0)*VLOOKUP('Données projet'!$B$15,Paramètres!$A$1:$I$89,5,0)</f>
        <v>212.23570000000035</v>
      </c>
      <c r="EL158" s="13">
        <f t="shared" si="179"/>
        <v>52.423840876495639</v>
      </c>
      <c r="EM158" s="20">
        <f t="shared" si="180"/>
        <v>460.9487003598972</v>
      </c>
      <c r="EN158" s="59">
        <f t="shared" si="128"/>
        <v>754.28203369323046</v>
      </c>
      <c r="EO158" s="59">
        <f ca="1">AVERAGE(OFFSET($EN$3,0,0,'Données projet'!$E$15+1,1))-AVERAGE(OFFSET($H$3,0,0,'Données projet'!$E$15+1,1))</f>
        <v>238.83604534181978</v>
      </c>
      <c r="EP158" s="59">
        <f t="shared" si="154"/>
        <v>114.85152559837792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5.6843418860808015E-14</v>
      </c>
      <c r="FF158" s="17">
        <f>FE158*VLOOKUP('Données projet'!$B$16,Paramètres!$A$1:$I$89,3,0)*VLOOKUP('Données projet'!$B$16,Paramètres!$A$1:$I$89,5,0)</f>
        <v>4.6111381379887463E-14</v>
      </c>
      <c r="FG158" s="13">
        <f t="shared" si="182"/>
        <v>7.5804141040779151E-13</v>
      </c>
      <c r="FH158" s="20">
        <f t="shared" si="183"/>
        <v>1.4005661123635408E-12</v>
      </c>
      <c r="FI158" s="59">
        <f t="shared" si="131"/>
        <v>293.33333333333474</v>
      </c>
      <c r="FJ158" s="59">
        <f ca="1">AVERAGE(OFFSET($FI$3,0,0,'Données projet'!$E$16+1,1))-AVERAGE(OFFSET($H$3,0,0,'Données projet'!$E$16+1,1))</f>
        <v>196.95467273423861</v>
      </c>
      <c r="FK158" s="59">
        <f t="shared" si="156"/>
        <v>173.8709326829258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19.39734741902544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2.119918512675647E-10</v>
      </c>
      <c r="FT158" s="22">
        <f t="shared" si="184"/>
        <v>19.39734741923743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5.6843418860808015E-14</v>
      </c>
      <c r="GA158" s="17">
        <f>FZ158*VLOOKUP('Données projet'!$B$17,Paramètres!$A$1:$I$89,3,0)*VLOOKUP('Données projet'!$B$17,Paramètres!$A$1:$I$89,5,0)</f>
        <v>6.1186256061773749E-14</v>
      </c>
      <c r="GB158" s="13">
        <f t="shared" si="185"/>
        <v>9.7328366192051127E-13</v>
      </c>
      <c r="GC158" s="20">
        <f t="shared" si="186"/>
        <v>1.8017017738191463E-12</v>
      </c>
      <c r="GD158" s="59">
        <f t="shared" si="134"/>
        <v>293.33333333333513</v>
      </c>
      <c r="GE158" s="59">
        <f ca="1">AVERAGE(OFFSET($GD$3,0,0,'Données projet'!$E$17+1,1))-AVERAGE(OFFSET($H$3,0,0,'Données projet'!$E$17+1,1))</f>
        <v>275.5229427552884</v>
      </c>
      <c r="GF158" s="59">
        <f t="shared" si="158"/>
        <v>241.20234081716143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25.738787921399148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2.8129687956657603E-10</v>
      </c>
      <c r="GO158" s="21">
        <f t="shared" si="187"/>
        <v>25.738787921680444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274.57619581652199</v>
      </c>
      <c r="T159" s="59">
        <f t="shared" si="142"/>
        <v>366.15117322598775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 t="e">
        <f>EXP(-LN(2)/35)*Z158+(1-EXP(-LN(2)/35))/(LN(2)/35)*V159*W159*VLOOKUP('Données projet'!$B$9,Paramètres!$A$1:$I$89,3,0)*0.475*44/12</f>
        <v>#VALUE!</v>
      </c>
      <c r="AA159" s="21" t="e">
        <f>EXP(-LN(2)/25)*AA158+(1-EXP(-LN(2)/25))/(LN(2)/25)*Calculateur!V159*Calculateur!X159*VLOOKUP('Données projet'!$B$9,Paramètres!$A$1:$I$89,3,0)*0.475*44/12</f>
        <v>#VALUE!</v>
      </c>
      <c r="AB159" s="21" t="e">
        <f>EXP(-LN(2)/2)*AB158+(1-EXP(-LN(2)/2))/(LN(2)/2)*V159*Y159*VLOOKUP('Données projet'!$B$9,Paramètres!$A$1:$I$89,3,0)*0.475*44/12</f>
        <v>#VALUE!</v>
      </c>
      <c r="AC159" s="22" t="e">
        <f t="shared" si="163"/>
        <v>#VALUE!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175.05987582828078</v>
      </c>
      <c r="AO159" s="59">
        <f t="shared" si="144"/>
        <v>268.54782308462387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25.147022818519591</v>
      </c>
      <c r="AV159" s="21">
        <f>EXP(-LN(2)/25)*AV158+(1-EXP(-LN(2)/25))/(LN(2)/25)*Calculateur!AQ159*Calculateur!AS159*VLOOKUP('Données projet'!$B$10,Paramètres!$A$1:$I$89,3,0)*0.475*44/12</f>
        <v>2.943098207329836</v>
      </c>
      <c r="AW159" s="21">
        <f>EXP(-LN(2)/2)*AW158+(1-EXP(-LN(2)/2))/(LN(2)/2)*AQ159*AT159*VLOOKUP('Données projet'!$B$10,Paramètres!$A$1:$I$89,3,0)*0.475*44/12</f>
        <v>1.0110831025478161E-13</v>
      </c>
      <c r="AX159" s="21">
        <f t="shared" si="166"/>
        <v>28.090121025849527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252.70779718608964</v>
      </c>
      <c r="BJ159" s="59">
        <f t="shared" si="146"/>
        <v>187.86969111712705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78.474930640940869</v>
      </c>
      <c r="BQ159" s="21">
        <f>EXP(-LN(2)/25)*BQ158+(1-EXP(-LN(2)/25))/(LN(2)/25)*Calculateur!BL159*Calculateur!BN159*VLOOKUP('Données projet'!$B$11,Paramètres!$A$1:$I$89,3,0)*0.475*44/12</f>
        <v>11.466381031551618</v>
      </c>
      <c r="BR159" s="21">
        <f>EXP(-LN(2)/2)*BR158+(1-EXP(-LN(2)/2))/(LN(2)/2)*BL159*BO159*VLOOKUP('Données projet'!$B$11,Paramètres!$A$1:$I$89,3,0)*0.475*44/12</f>
        <v>1.7773606261216337E-7</v>
      </c>
      <c r="BS159" s="22">
        <f t="shared" si="169"/>
        <v>89.941311850228558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-1.3596945791505279E-13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279.86432710889352</v>
      </c>
      <c r="CE159" s="59">
        <f t="shared" si="148"/>
        <v>297.01680128882509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18.956388275182285</v>
      </c>
      <c r="CL159" s="21">
        <f>EXP(-LN(2)/25)*CL158+(1-EXP(-LN(2)/25))/(LN(2)/25)*Calculateur!CG159*Calculateur!CI159*VLOOKUP('Données projet'!$B$12,Paramètres!$A$1:$I$89,3,0)*0.475*44/12</f>
        <v>7.6449229904586486</v>
      </c>
      <c r="CM159" s="21">
        <f>EXP(-LN(2)/2)*CM158+(1-EXP(-LN(2)/2))/(LN(2)/2)*CG159*CJ159*VLOOKUP('Données projet'!$B$12,Paramètres!$A$1:$I$89,3,0)*0.475*44/12</f>
        <v>1.5333472559625963E-12</v>
      </c>
      <c r="CN159" s="22">
        <f t="shared" si="172"/>
        <v>26.601311265642469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-12.000000000000284</v>
      </c>
      <c r="CU159" s="17">
        <f>CT159*VLOOKUP('Données projet'!$B$13,Paramètres!$A$1:$I$89,3,0)*VLOOKUP('Données projet'!$B$13,Paramètres!$A$1:$I$89,5,0)</f>
        <v>-9.5472000000002257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314.6300257056194</v>
      </c>
      <c r="CZ159" s="59">
        <f t="shared" si="150"/>
        <v>298.00555477466668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31.543429991966168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31.543429991966168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-12.000000000000284</v>
      </c>
      <c r="DP159" s="17">
        <f>DO159*VLOOKUP('Données projet'!$B$14,Paramètres!$A$1:$I$89,3,0)*VLOOKUP('Données projet'!$B$14,Paramètres!$A$1:$I$89,5,0)</f>
        <v>-9.5472000000002257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314.6300257056194</v>
      </c>
      <c r="DU159" s="59">
        <f t="shared" si="152"/>
        <v>298.00555477466668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31.543429991966168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31.543429991966168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441.23846153846227</v>
      </c>
      <c r="EK159" s="17">
        <f>EJ159*VLOOKUP('Données projet'!$B$15,Paramètres!$A$1:$I$89,3,0)*VLOOKUP('Données projet'!$B$15,Paramètres!$A$1:$I$89,5,0)</f>
        <v>212.23570000000035</v>
      </c>
      <c r="EL159" s="13">
        <f t="shared" si="179"/>
        <v>52.423840876495639</v>
      </c>
      <c r="EM159" s="20">
        <f t="shared" si="180"/>
        <v>460.9487003598972</v>
      </c>
      <c r="EN159" s="59">
        <f t="shared" si="128"/>
        <v>754.28203369323046</v>
      </c>
      <c r="EO159" s="59">
        <f ca="1">AVERAGE(OFFSET($EN$3,0,0,'Données projet'!$E$15+1,1))-AVERAGE(OFFSET($H$3,0,0,'Données projet'!$E$15+1,1))</f>
        <v>238.83604534181978</v>
      </c>
      <c r="EP159" s="59">
        <f t="shared" si="154"/>
        <v>114.85152559837792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5.6843418860808015E-14</v>
      </c>
      <c r="FF159" s="17">
        <f>FE159*VLOOKUP('Données projet'!$B$16,Paramètres!$A$1:$I$89,3,0)*VLOOKUP('Données projet'!$B$16,Paramètres!$A$1:$I$89,5,0)</f>
        <v>4.6111381379887463E-14</v>
      </c>
      <c r="FG159" s="13">
        <f t="shared" si="182"/>
        <v>7.5804141040779151E-13</v>
      </c>
      <c r="FH159" s="20">
        <f t="shared" si="183"/>
        <v>1.4005661123635408E-12</v>
      </c>
      <c r="FI159" s="59">
        <f t="shared" si="131"/>
        <v>293.33333333333474</v>
      </c>
      <c r="FJ159" s="59">
        <f ca="1">AVERAGE(OFFSET($FI$3,0,0,'Données projet'!$E$16+1,1))-AVERAGE(OFFSET($H$3,0,0,'Données projet'!$E$16+1,1))</f>
        <v>196.95467273423861</v>
      </c>
      <c r="FK159" s="59">
        <f t="shared" si="156"/>
        <v>173.8709326829258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19.01697726735204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1.49900875587585E-10</v>
      </c>
      <c r="FT159" s="22">
        <f t="shared" si="184"/>
        <v>19.01697726750194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5.6843418860808015E-14</v>
      </c>
      <c r="GA159" s="17">
        <f>FZ159*VLOOKUP('Données projet'!$B$17,Paramètres!$A$1:$I$89,3,0)*VLOOKUP('Données projet'!$B$17,Paramètres!$A$1:$I$89,5,0)</f>
        <v>6.1186256061773749E-14</v>
      </c>
      <c r="GB159" s="13">
        <f t="shared" si="185"/>
        <v>9.7328366192051127E-13</v>
      </c>
      <c r="GC159" s="20">
        <f t="shared" si="186"/>
        <v>1.8017017738191463E-12</v>
      </c>
      <c r="GD159" s="59">
        <f t="shared" si="134"/>
        <v>293.33333333333513</v>
      </c>
      <c r="GE159" s="59">
        <f ca="1">AVERAGE(OFFSET($GD$3,0,0,'Données projet'!$E$17+1,1))-AVERAGE(OFFSET($H$3,0,0,'Données projet'!$E$17+1,1))</f>
        <v>275.5229427552884</v>
      </c>
      <c r="GF159" s="59">
        <f t="shared" si="158"/>
        <v>241.20234081716143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25.234065989370983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1.9890693106814149E-10</v>
      </c>
      <c r="GO159" s="21">
        <f t="shared" si="187"/>
        <v>25.234065989569888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274.57619581652199</v>
      </c>
      <c r="T160" s="59">
        <f t="shared" si="142"/>
        <v>366.15117322598775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 t="e">
        <f>EXP(-LN(2)/35)*Z159+(1-EXP(-LN(2)/35))/(LN(2)/35)*V160*W160*VLOOKUP('Données projet'!$B$9,Paramètres!$A$1:$I$89,3,0)*0.475*44/12</f>
        <v>#VALUE!</v>
      </c>
      <c r="AA160" s="21" t="e">
        <f>EXP(-LN(2)/25)*AA159+(1-EXP(-LN(2)/25))/(LN(2)/25)*Calculateur!V160*Calculateur!X160*VLOOKUP('Données projet'!$B$9,Paramètres!$A$1:$I$89,3,0)*0.475*44/12</f>
        <v>#VALUE!</v>
      </c>
      <c r="AB160" s="21" t="e">
        <f>EXP(-LN(2)/2)*AB159+(1-EXP(-LN(2)/2))/(LN(2)/2)*V160*Y160*VLOOKUP('Données projet'!$B$9,Paramètres!$A$1:$I$89,3,0)*0.475*44/12</f>
        <v>#VALUE!</v>
      </c>
      <c r="AC160" s="22" t="e">
        <f t="shared" si="163"/>
        <v>#VALUE!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175.05987582828078</v>
      </c>
      <c r="AO160" s="59">
        <f t="shared" si="144"/>
        <v>268.54782308462387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24.653905039217822</v>
      </c>
      <c r="AV160" s="21">
        <f>EXP(-LN(2)/25)*AV159+(1-EXP(-LN(2)/25))/(LN(2)/25)*Calculateur!AQ160*Calculateur!AS160*VLOOKUP('Données projet'!$B$10,Paramètres!$A$1:$I$89,3,0)*0.475*44/12</f>
        <v>2.8626190320795932</v>
      </c>
      <c r="AW160" s="21">
        <f>EXP(-LN(2)/2)*AW159+(1-EXP(-LN(2)/2))/(LN(2)/2)*AQ160*AT160*VLOOKUP('Données projet'!$B$10,Paramètres!$A$1:$I$89,3,0)*0.475*44/12</f>
        <v>7.1494371815469419E-14</v>
      </c>
      <c r="AX160" s="21">
        <f t="shared" si="166"/>
        <v>27.516524071297486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252.70779718608964</v>
      </c>
      <c r="BJ160" s="59">
        <f t="shared" si="146"/>
        <v>187.86969111712705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76.936085116053434</v>
      </c>
      <c r="BQ160" s="21">
        <f>EXP(-LN(2)/25)*BQ159+(1-EXP(-LN(2)/25))/(LN(2)/25)*Calculateur!BL160*Calculateur!BN160*VLOOKUP('Données projet'!$B$11,Paramètres!$A$1:$I$89,3,0)*0.475*44/12</f>
        <v>11.152832239253067</v>
      </c>
      <c r="BR160" s="21">
        <f>EXP(-LN(2)/2)*BR159+(1-EXP(-LN(2)/2))/(LN(2)/2)*BL160*BO160*VLOOKUP('Données projet'!$B$11,Paramètres!$A$1:$I$89,3,0)*0.475*44/12</f>
        <v>1.2567837513445751E-7</v>
      </c>
      <c r="BS160" s="22">
        <f t="shared" si="169"/>
        <v>88.088917480984875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-1.3596945791505279E-13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279.86432710889352</v>
      </c>
      <c r="CE160" s="59">
        <f t="shared" si="148"/>
        <v>297.01680128882509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18.584665063361129</v>
      </c>
      <c r="CL160" s="21">
        <f>EXP(-LN(2)/25)*CL159+(1-EXP(-LN(2)/25))/(LN(2)/25)*Calculateur!CG160*Calculateur!CI160*VLOOKUP('Données projet'!$B$12,Paramètres!$A$1:$I$89,3,0)*0.475*44/12</f>
        <v>7.4358721692555294</v>
      </c>
      <c r="CM160" s="21">
        <f>EXP(-LN(2)/2)*CM159+(1-EXP(-LN(2)/2))/(LN(2)/2)*CG160*CJ160*VLOOKUP('Données projet'!$B$12,Paramètres!$A$1:$I$89,3,0)*0.475*44/12</f>
        <v>1.0842402426049366E-12</v>
      </c>
      <c r="CN160" s="22">
        <f t="shared" si="172"/>
        <v>26.020537232617741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-12.000000000000284</v>
      </c>
      <c r="CU160" s="17">
        <f>CT160*VLOOKUP('Données projet'!$B$13,Paramètres!$A$1:$I$89,3,0)*VLOOKUP('Données projet'!$B$13,Paramètres!$A$1:$I$89,5,0)</f>
        <v>-9.5472000000002257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314.6300257056194</v>
      </c>
      <c r="CZ160" s="59">
        <f t="shared" si="150"/>
        <v>298.00555477466668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30.924882569416255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30.924882569416255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-12.000000000000284</v>
      </c>
      <c r="DP160" s="17">
        <f>DO160*VLOOKUP('Données projet'!$B$14,Paramètres!$A$1:$I$89,3,0)*VLOOKUP('Données projet'!$B$14,Paramètres!$A$1:$I$89,5,0)</f>
        <v>-9.5472000000002257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314.6300257056194</v>
      </c>
      <c r="DU160" s="59">
        <f t="shared" si="152"/>
        <v>298.00555477466668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30.924882569416255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30.924882569416255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441.23846153846227</v>
      </c>
      <c r="EK160" s="17">
        <f>EJ160*VLOOKUP('Données projet'!$B$15,Paramètres!$A$1:$I$89,3,0)*VLOOKUP('Données projet'!$B$15,Paramètres!$A$1:$I$89,5,0)</f>
        <v>212.23570000000035</v>
      </c>
      <c r="EL160" s="13">
        <f t="shared" si="179"/>
        <v>52.423840876495639</v>
      </c>
      <c r="EM160" s="20">
        <f t="shared" si="180"/>
        <v>460.9487003598972</v>
      </c>
      <c r="EN160" s="59">
        <f t="shared" si="128"/>
        <v>754.28203369323046</v>
      </c>
      <c r="EO160" s="59">
        <f ca="1">AVERAGE(OFFSET($EN$3,0,0,'Données projet'!$E$15+1,1))-AVERAGE(OFFSET($H$3,0,0,'Données projet'!$E$15+1,1))</f>
        <v>238.83604534181978</v>
      </c>
      <c r="EP160" s="59">
        <f t="shared" si="154"/>
        <v>114.85152559837792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5.6843418860808015E-14</v>
      </c>
      <c r="FF160" s="17">
        <f>FE160*VLOOKUP('Données projet'!$B$16,Paramètres!$A$1:$I$89,3,0)*VLOOKUP('Données projet'!$B$16,Paramètres!$A$1:$I$89,5,0)</f>
        <v>4.6111381379887463E-14</v>
      </c>
      <c r="FG160" s="13">
        <f t="shared" si="182"/>
        <v>7.5804141040779151E-13</v>
      </c>
      <c r="FH160" s="20">
        <f t="shared" si="183"/>
        <v>1.4005661123635408E-12</v>
      </c>
      <c r="FI160" s="59">
        <f t="shared" si="131"/>
        <v>293.33333333333474</v>
      </c>
      <c r="FJ160" s="59">
        <f ca="1">AVERAGE(OFFSET($FI$3,0,0,'Données projet'!$E$16+1,1))-AVERAGE(OFFSET($H$3,0,0,'Données projet'!$E$16+1,1))</f>
        <v>196.95467273423861</v>
      </c>
      <c r="FK160" s="59">
        <f t="shared" si="156"/>
        <v>173.8709326829258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18.644065942350071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1.0599592563378235E-10</v>
      </c>
      <c r="FT160" s="22">
        <f t="shared" si="184"/>
        <v>18.644065942456066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5.6843418860808015E-14</v>
      </c>
      <c r="GA160" s="17">
        <f>FZ160*VLOOKUP('Données projet'!$B$17,Paramètres!$A$1:$I$89,3,0)*VLOOKUP('Données projet'!$B$17,Paramètres!$A$1:$I$89,5,0)</f>
        <v>6.1186256061773749E-14</v>
      </c>
      <c r="GB160" s="13">
        <f t="shared" si="185"/>
        <v>9.7328366192051127E-13</v>
      </c>
      <c r="GC160" s="20">
        <f t="shared" si="186"/>
        <v>1.8017017738191463E-12</v>
      </c>
      <c r="GD160" s="59">
        <f t="shared" si="134"/>
        <v>293.33333333333513</v>
      </c>
      <c r="GE160" s="59">
        <f ca="1">AVERAGE(OFFSET($GD$3,0,0,'Données projet'!$E$17+1,1))-AVERAGE(OFFSET($H$3,0,0,'Données projet'!$E$17+1,1))</f>
        <v>275.5229427552884</v>
      </c>
      <c r="GF160" s="59">
        <f t="shared" si="158"/>
        <v>241.20234081716143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24.739241346579909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1.4064843978328802E-10</v>
      </c>
      <c r="GO160" s="21">
        <f t="shared" si="187"/>
        <v>24.739241346720558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274.57619581652199</v>
      </c>
      <c r="T161" s="59">
        <f t="shared" si="142"/>
        <v>366.15117322598775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 t="e">
        <f>EXP(-LN(2)/35)*Z160+(1-EXP(-LN(2)/35))/(LN(2)/35)*V161*W161*VLOOKUP('Données projet'!$B$9,Paramètres!$A$1:$I$89,3,0)*0.475*44/12</f>
        <v>#VALUE!</v>
      </c>
      <c r="AA161" s="21" t="e">
        <f>EXP(-LN(2)/25)*AA160+(1-EXP(-LN(2)/25))/(LN(2)/25)*Calculateur!V161*Calculateur!X161*VLOOKUP('Données projet'!$B$9,Paramètres!$A$1:$I$89,3,0)*0.475*44/12</f>
        <v>#VALUE!</v>
      </c>
      <c r="AB161" s="21" t="e">
        <f>EXP(-LN(2)/2)*AB160+(1-EXP(-LN(2)/2))/(LN(2)/2)*V161*Y161*VLOOKUP('Données projet'!$B$9,Paramètres!$A$1:$I$89,3,0)*0.475*44/12</f>
        <v>#VALUE!</v>
      </c>
      <c r="AC161" s="22" t="e">
        <f t="shared" si="163"/>
        <v>#VALUE!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175.05987582828078</v>
      </c>
      <c r="AO161" s="59">
        <f t="shared" si="144"/>
        <v>268.54782308462387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24.170456998796016</v>
      </c>
      <c r="AV161" s="21">
        <f>EXP(-LN(2)/25)*AV160+(1-EXP(-LN(2)/25))/(LN(2)/25)*Calculateur!AQ161*Calculateur!AS161*VLOOKUP('Données projet'!$B$10,Paramètres!$A$1:$I$89,3,0)*0.475*44/12</f>
        <v>2.7843405641087844</v>
      </c>
      <c r="AW161" s="21">
        <f>EXP(-LN(2)/2)*AW160+(1-EXP(-LN(2)/2))/(LN(2)/2)*AQ161*AT161*VLOOKUP('Données projet'!$B$10,Paramètres!$A$1:$I$89,3,0)*0.475*44/12</f>
        <v>5.0554155127390806E-14</v>
      </c>
      <c r="AX161" s="21">
        <f t="shared" si="166"/>
        <v>26.954797562904851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252.70779718608964</v>
      </c>
      <c r="BJ161" s="59">
        <f t="shared" si="146"/>
        <v>187.86969111712705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75.427415413305951</v>
      </c>
      <c r="BQ161" s="21">
        <f>EXP(-LN(2)/25)*BQ160+(1-EXP(-LN(2)/25))/(LN(2)/25)*Calculateur!BL161*Calculateur!BN161*VLOOKUP('Données projet'!$B$11,Paramètres!$A$1:$I$89,3,0)*0.475*44/12</f>
        <v>10.847857455168734</v>
      </c>
      <c r="BR161" s="21">
        <f>EXP(-LN(2)/2)*BR160+(1-EXP(-LN(2)/2))/(LN(2)/2)*BL161*BO161*VLOOKUP('Données projet'!$B$11,Paramètres!$A$1:$I$89,3,0)*0.475*44/12</f>
        <v>8.8868031306081687E-8</v>
      </c>
      <c r="BS161" s="22">
        <f t="shared" si="169"/>
        <v>86.275272957342722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-1.3596945791505279E-13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279.86432710889352</v>
      </c>
      <c r="CE161" s="59">
        <f t="shared" si="148"/>
        <v>297.01680128882509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18.220231116995016</v>
      </c>
      <c r="CL161" s="21">
        <f>EXP(-LN(2)/25)*CL160+(1-EXP(-LN(2)/25))/(LN(2)/25)*Calculateur!CG161*Calculateur!CI161*VLOOKUP('Données projet'!$B$12,Paramètres!$A$1:$I$89,3,0)*0.475*44/12</f>
        <v>7.2325378537517144</v>
      </c>
      <c r="CM161" s="21">
        <f>EXP(-LN(2)/2)*CM160+(1-EXP(-LN(2)/2))/(LN(2)/2)*CG161*CJ161*VLOOKUP('Données projet'!$B$12,Paramètres!$A$1:$I$89,3,0)*0.475*44/12</f>
        <v>7.6667362798129815E-13</v>
      </c>
      <c r="CN161" s="22">
        <f t="shared" si="172"/>
        <v>25.452768970747499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-12.000000000000284</v>
      </c>
      <c r="CU161" s="17">
        <f>CT161*VLOOKUP('Données projet'!$B$13,Paramètres!$A$1:$I$89,3,0)*VLOOKUP('Données projet'!$B$13,Paramètres!$A$1:$I$89,5,0)</f>
        <v>-9.5472000000002257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314.6300257056194</v>
      </c>
      <c r="CZ161" s="59">
        <f t="shared" si="150"/>
        <v>298.00555477466668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30.318464484545871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30.318464484545871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-12.000000000000284</v>
      </c>
      <c r="DP161" s="17">
        <f>DO161*VLOOKUP('Données projet'!$B$14,Paramètres!$A$1:$I$89,3,0)*VLOOKUP('Données projet'!$B$14,Paramètres!$A$1:$I$89,5,0)</f>
        <v>-9.5472000000002257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314.6300257056194</v>
      </c>
      <c r="DU161" s="59">
        <f t="shared" si="152"/>
        <v>298.00555477466668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30.318464484545871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30.318464484545871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441.23846153846227</v>
      </c>
      <c r="EK161" s="17">
        <f>EJ161*VLOOKUP('Données projet'!$B$15,Paramètres!$A$1:$I$89,3,0)*VLOOKUP('Données projet'!$B$15,Paramètres!$A$1:$I$89,5,0)</f>
        <v>212.23570000000035</v>
      </c>
      <c r="EL161" s="13">
        <f t="shared" si="179"/>
        <v>52.423840876495639</v>
      </c>
      <c r="EM161" s="20">
        <f t="shared" si="180"/>
        <v>460.9487003598972</v>
      </c>
      <c r="EN161" s="59">
        <f t="shared" si="128"/>
        <v>754.28203369323046</v>
      </c>
      <c r="EO161" s="59">
        <f ca="1">AVERAGE(OFFSET($EN$3,0,0,'Données projet'!$E$15+1,1))-AVERAGE(OFFSET($H$3,0,0,'Données projet'!$E$15+1,1))</f>
        <v>238.83604534181978</v>
      </c>
      <c r="EP161" s="59">
        <f t="shared" si="154"/>
        <v>114.85152559837792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5.6843418860808015E-14</v>
      </c>
      <c r="FF161" s="17">
        <f>FE161*VLOOKUP('Données projet'!$B$16,Paramètres!$A$1:$I$89,3,0)*VLOOKUP('Données projet'!$B$16,Paramètres!$A$1:$I$89,5,0)</f>
        <v>4.6111381379887463E-14</v>
      </c>
      <c r="FG161" s="13">
        <f t="shared" si="182"/>
        <v>7.5804141040779151E-13</v>
      </c>
      <c r="FH161" s="20">
        <f t="shared" si="183"/>
        <v>1.4005661123635408E-12</v>
      </c>
      <c r="FI161" s="59">
        <f t="shared" si="131"/>
        <v>293.33333333333474</v>
      </c>
      <c r="FJ161" s="59">
        <f ca="1">AVERAGE(OFFSET($FI$3,0,0,'Données projet'!$E$16+1,1))-AVERAGE(OFFSET($H$3,0,0,'Données projet'!$E$16+1,1))</f>
        <v>196.95467273423861</v>
      </c>
      <c r="FK161" s="59">
        <f t="shared" si="156"/>
        <v>173.8709326829258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18.278467180977945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7.4950437793792498E-11</v>
      </c>
      <c r="FT161" s="22">
        <f t="shared" si="184"/>
        <v>18.278467181052896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5.6843418860808015E-14</v>
      </c>
      <c r="GA161" s="17">
        <f>FZ161*VLOOKUP('Données projet'!$B$17,Paramètres!$A$1:$I$89,3,0)*VLOOKUP('Données projet'!$B$17,Paramètres!$A$1:$I$89,5,0)</f>
        <v>6.1186256061773749E-14</v>
      </c>
      <c r="GB161" s="13">
        <f t="shared" si="185"/>
        <v>9.7328366192051127E-13</v>
      </c>
      <c r="GC161" s="20">
        <f t="shared" si="186"/>
        <v>1.8017017738191463E-12</v>
      </c>
      <c r="GD161" s="59">
        <f t="shared" si="134"/>
        <v>293.33333333333513</v>
      </c>
      <c r="GE161" s="59">
        <f ca="1">AVERAGE(OFFSET($GD$3,0,0,'Données projet'!$E$17+1,1))-AVERAGE(OFFSET($H$3,0,0,'Données projet'!$E$17+1,1))</f>
        <v>275.5229427552884</v>
      </c>
      <c r="GF161" s="59">
        <f t="shared" si="158"/>
        <v>241.20234081716143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24.254119913220741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9.9453465534070746E-11</v>
      </c>
      <c r="GO161" s="21">
        <f t="shared" si="187"/>
        <v>24.254119913320196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274.57619581652199</v>
      </c>
      <c r="T162" s="59">
        <f t="shared" si="142"/>
        <v>366.15117322598775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 t="e">
        <f>EXP(-LN(2)/35)*Z161+(1-EXP(-LN(2)/35))/(LN(2)/35)*V162*W162*VLOOKUP('Données projet'!$B$9,Paramètres!$A$1:$I$89,3,0)*0.475*44/12</f>
        <v>#VALUE!</v>
      </c>
      <c r="AA162" s="21" t="e">
        <f>EXP(-LN(2)/25)*AA161+(1-EXP(-LN(2)/25))/(LN(2)/25)*Calculateur!V162*Calculateur!X162*VLOOKUP('Données projet'!$B$9,Paramètres!$A$1:$I$89,3,0)*0.475*44/12</f>
        <v>#VALUE!</v>
      </c>
      <c r="AB162" s="21" t="e">
        <f>EXP(-LN(2)/2)*AB161+(1-EXP(-LN(2)/2))/(LN(2)/2)*V162*Y162*VLOOKUP('Données projet'!$B$9,Paramètres!$A$1:$I$89,3,0)*0.475*44/12</f>
        <v>#VALUE!</v>
      </c>
      <c r="AC162" s="22" t="e">
        <f t="shared" si="163"/>
        <v>#VALUE!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175.05987582828078</v>
      </c>
      <c r="AO162" s="59">
        <f t="shared" si="144"/>
        <v>268.54782308462387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23.696489079572693</v>
      </c>
      <c r="AV162" s="21">
        <f>EXP(-LN(2)/25)*AV161+(1-EXP(-LN(2)/25))/(LN(2)/25)*Calculateur!AQ162*Calculateur!AS162*VLOOKUP('Données projet'!$B$10,Paramètres!$A$1:$I$89,3,0)*0.475*44/12</f>
        <v>2.7082026249611233</v>
      </c>
      <c r="AW162" s="21">
        <f>EXP(-LN(2)/2)*AW161+(1-EXP(-LN(2)/2))/(LN(2)/2)*AQ162*AT162*VLOOKUP('Données projet'!$B$10,Paramètres!$A$1:$I$89,3,0)*0.475*44/12</f>
        <v>3.574718590773471E-14</v>
      </c>
      <c r="AX162" s="21">
        <f t="shared" si="166"/>
        <v>26.404691704533853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252.70779718608964</v>
      </c>
      <c r="BJ162" s="59">
        <f t="shared" si="146"/>
        <v>187.86969111712705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73.948329803231687</v>
      </c>
      <c r="BQ162" s="21">
        <f>EXP(-LN(2)/25)*BQ161+(1-EXP(-LN(2)/25))/(LN(2)/25)*Calculateur!BL162*Calculateur!BN162*VLOOKUP('Données projet'!$B$11,Paramètres!$A$1:$I$89,3,0)*0.475*44/12</f>
        <v>10.551222222593115</v>
      </c>
      <c r="BR162" s="21">
        <f>EXP(-LN(2)/2)*BR161+(1-EXP(-LN(2)/2))/(LN(2)/2)*BL162*BO162*VLOOKUP('Données projet'!$B$11,Paramètres!$A$1:$I$89,3,0)*0.475*44/12</f>
        <v>6.2839187567228756E-8</v>
      </c>
      <c r="BS162" s="22">
        <f t="shared" si="169"/>
        <v>84.499552088663989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-1.3596945791505279E-13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279.86432710889352</v>
      </c>
      <c r="CE162" s="59">
        <f t="shared" si="148"/>
        <v>297.01680128882509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17.862943498034383</v>
      </c>
      <c r="CL162" s="21">
        <f>EXP(-LN(2)/25)*CL161+(1-EXP(-LN(2)/25))/(LN(2)/25)*Calculateur!CG162*Calculateur!CI162*VLOOKUP('Données projet'!$B$12,Paramètres!$A$1:$I$89,3,0)*0.475*44/12</f>
        <v>7.0347637257982383</v>
      </c>
      <c r="CM162" s="21">
        <f>EXP(-LN(2)/2)*CM161+(1-EXP(-LN(2)/2))/(LN(2)/2)*CG162*CJ162*VLOOKUP('Données projet'!$B$12,Paramètres!$A$1:$I$89,3,0)*0.475*44/12</f>
        <v>5.4212012130246832E-13</v>
      </c>
      <c r="CN162" s="22">
        <f t="shared" si="172"/>
        <v>24.897707223833166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-12.000000000000284</v>
      </c>
      <c r="CU162" s="17">
        <f>CT162*VLOOKUP('Données projet'!$B$13,Paramètres!$A$1:$I$89,3,0)*VLOOKUP('Données projet'!$B$13,Paramètres!$A$1:$I$89,5,0)</f>
        <v>-9.5472000000002257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314.6300257056194</v>
      </c>
      <c r="CZ162" s="59">
        <f t="shared" si="150"/>
        <v>298.00555477466668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29.723937888441284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29.723937888441284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-12.000000000000284</v>
      </c>
      <c r="DP162" s="17">
        <f>DO162*VLOOKUP('Données projet'!$B$14,Paramètres!$A$1:$I$89,3,0)*VLOOKUP('Données projet'!$B$14,Paramètres!$A$1:$I$89,5,0)</f>
        <v>-9.5472000000002257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314.6300257056194</v>
      </c>
      <c r="DU162" s="59">
        <f t="shared" si="152"/>
        <v>298.00555477466668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29.723937888441284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29.723937888441284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441.23846153846227</v>
      </c>
      <c r="EK162" s="17">
        <f>EJ162*VLOOKUP('Données projet'!$B$15,Paramètres!$A$1:$I$89,3,0)*VLOOKUP('Données projet'!$B$15,Paramètres!$A$1:$I$89,5,0)</f>
        <v>212.23570000000035</v>
      </c>
      <c r="EL162" s="13">
        <f t="shared" si="179"/>
        <v>52.423840876495639</v>
      </c>
      <c r="EM162" s="20">
        <f t="shared" si="180"/>
        <v>460.9487003598972</v>
      </c>
      <c r="EN162" s="59">
        <f t="shared" si="128"/>
        <v>754.28203369323046</v>
      </c>
      <c r="EO162" s="59">
        <f ca="1">AVERAGE(OFFSET($EN$3,0,0,'Données projet'!$E$15+1,1))-AVERAGE(OFFSET($H$3,0,0,'Données projet'!$E$15+1,1))</f>
        <v>238.83604534181978</v>
      </c>
      <c r="EP162" s="59">
        <f t="shared" si="154"/>
        <v>114.85152559837792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5.6843418860808015E-14</v>
      </c>
      <c r="FF162" s="17">
        <f>FE162*VLOOKUP('Données projet'!$B$16,Paramètres!$A$1:$I$89,3,0)*VLOOKUP('Données projet'!$B$16,Paramètres!$A$1:$I$89,5,0)</f>
        <v>4.6111381379887463E-14</v>
      </c>
      <c r="FG162" s="13">
        <f t="shared" si="182"/>
        <v>7.5804141040779151E-13</v>
      </c>
      <c r="FH162" s="20">
        <f t="shared" si="183"/>
        <v>1.4005661123635408E-12</v>
      </c>
      <c r="FI162" s="59">
        <f t="shared" si="131"/>
        <v>293.33333333333474</v>
      </c>
      <c r="FJ162" s="59">
        <f ca="1">AVERAGE(OFFSET($FI$3,0,0,'Données projet'!$E$16+1,1))-AVERAGE(OFFSET($H$3,0,0,'Données projet'!$E$16+1,1))</f>
        <v>196.95467273423861</v>
      </c>
      <c r="FK162" s="59">
        <f t="shared" si="156"/>
        <v>173.8709326829258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17.920037588323098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5.2997962816891175E-11</v>
      </c>
      <c r="FT162" s="22">
        <f t="shared" si="184"/>
        <v>17.920037588376097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5.6843418860808015E-14</v>
      </c>
      <c r="GA162" s="17">
        <f>FZ162*VLOOKUP('Données projet'!$B$17,Paramètres!$A$1:$I$89,3,0)*VLOOKUP('Données projet'!$B$17,Paramètres!$A$1:$I$89,5,0)</f>
        <v>6.1186256061773749E-14</v>
      </c>
      <c r="GB162" s="13">
        <f t="shared" si="185"/>
        <v>9.7328366192051127E-13</v>
      </c>
      <c r="GC162" s="20">
        <f t="shared" si="186"/>
        <v>1.8017017738191463E-12</v>
      </c>
      <c r="GD162" s="59">
        <f t="shared" si="134"/>
        <v>293.33333333333513</v>
      </c>
      <c r="GE162" s="59">
        <f ca="1">AVERAGE(OFFSET($GD$3,0,0,'Données projet'!$E$17+1,1))-AVERAGE(OFFSET($H$3,0,0,'Données projet'!$E$17+1,1))</f>
        <v>275.5229427552884</v>
      </c>
      <c r="GF162" s="59">
        <f t="shared" si="158"/>
        <v>241.20234081716143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23.778511415274888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7.0324219891644008E-11</v>
      </c>
      <c r="GO162" s="21">
        <f t="shared" si="187"/>
        <v>23.778511415345214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274.57619581652199</v>
      </c>
      <c r="T163" s="59">
        <f t="shared" si="142"/>
        <v>366.15117322598775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 t="e">
        <f>EXP(-LN(2)/35)*Z162+(1-EXP(-LN(2)/35))/(LN(2)/35)*V163*W163*VLOOKUP('Données projet'!$B$9,Paramètres!$A$1:$I$89,3,0)*0.475*44/12</f>
        <v>#VALUE!</v>
      </c>
      <c r="AA163" s="21" t="e">
        <f>EXP(-LN(2)/25)*AA162+(1-EXP(-LN(2)/25))/(LN(2)/25)*Calculateur!V163*Calculateur!X163*VLOOKUP('Données projet'!$B$9,Paramètres!$A$1:$I$89,3,0)*0.475*44/12</f>
        <v>#VALUE!</v>
      </c>
      <c r="AB163" s="21" t="e">
        <f>EXP(-LN(2)/2)*AB162+(1-EXP(-LN(2)/2))/(LN(2)/2)*V163*Y163*VLOOKUP('Données projet'!$B$9,Paramètres!$A$1:$I$89,3,0)*0.475*44/12</f>
        <v>#VALUE!</v>
      </c>
      <c r="AC163" s="22" t="e">
        <f t="shared" si="163"/>
        <v>#VALUE!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175.05987582828078</v>
      </c>
      <c r="AO163" s="59">
        <f t="shared" si="144"/>
        <v>268.54782308462387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23.231815382153453</v>
      </c>
      <c r="AV163" s="21">
        <f>EXP(-LN(2)/25)*AV162+(1-EXP(-LN(2)/25))/(LN(2)/25)*Calculateur!AQ163*Calculateur!AS163*VLOOKUP('Données projet'!$B$10,Paramètres!$A$1:$I$89,3,0)*0.475*44/12</f>
        <v>2.634146681763375</v>
      </c>
      <c r="AW163" s="21">
        <f>EXP(-LN(2)/2)*AW162+(1-EXP(-LN(2)/2))/(LN(2)/2)*AQ163*AT163*VLOOKUP('Données projet'!$B$10,Paramètres!$A$1:$I$89,3,0)*0.475*44/12</f>
        <v>2.5277077563695403E-14</v>
      </c>
      <c r="AX163" s="21">
        <f t="shared" si="166"/>
        <v>25.865962063916854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252.70779718608964</v>
      </c>
      <c r="BJ163" s="59">
        <f t="shared" si="146"/>
        <v>187.86969111712705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72.498248159817834</v>
      </c>
      <c r="BQ163" s="21">
        <f>EXP(-LN(2)/25)*BQ162+(1-EXP(-LN(2)/25))/(LN(2)/25)*Calculateur!BL163*Calculateur!BN163*VLOOKUP('Données projet'!$B$11,Paramètres!$A$1:$I$89,3,0)*0.475*44/12</f>
        <v>10.262698496051645</v>
      </c>
      <c r="BR163" s="21">
        <f>EXP(-LN(2)/2)*BR162+(1-EXP(-LN(2)/2))/(LN(2)/2)*BL163*BO163*VLOOKUP('Données projet'!$B$11,Paramètres!$A$1:$I$89,3,0)*0.475*44/12</f>
        <v>4.4434015653040844E-8</v>
      </c>
      <c r="BS163" s="22">
        <f t="shared" si="169"/>
        <v>82.760946700303492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-1.3596945791505279E-13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279.86432710889352</v>
      </c>
      <c r="CE163" s="59">
        <f t="shared" si="148"/>
        <v>297.01680128882509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17.512662071357639</v>
      </c>
      <c r="CL163" s="21">
        <f>EXP(-LN(2)/25)*CL162+(1-EXP(-LN(2)/25))/(LN(2)/25)*Calculateur!CG163*Calculateur!CI163*VLOOKUP('Données projet'!$B$12,Paramètres!$A$1:$I$89,3,0)*0.475*44/12</f>
        <v>6.8423977417741391</v>
      </c>
      <c r="CM163" s="21">
        <f>EXP(-LN(2)/2)*CM162+(1-EXP(-LN(2)/2))/(LN(2)/2)*CG163*CJ163*VLOOKUP('Données projet'!$B$12,Paramètres!$A$1:$I$89,3,0)*0.475*44/12</f>
        <v>3.8333681399064907E-13</v>
      </c>
      <c r="CN163" s="22">
        <f t="shared" si="172"/>
        <v>24.355059813132161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-12.000000000000284</v>
      </c>
      <c r="CU163" s="17">
        <f>CT163*VLOOKUP('Données projet'!$B$13,Paramètres!$A$1:$I$89,3,0)*VLOOKUP('Données projet'!$B$13,Paramètres!$A$1:$I$89,5,0)</f>
        <v>-9.5472000000002257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314.6300257056194</v>
      </c>
      <c r="CZ163" s="59">
        <f t="shared" si="150"/>
        <v>298.00555477466668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29.141069596260891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29.141069596260891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-12.000000000000284</v>
      </c>
      <c r="DP163" s="17">
        <f>DO163*VLOOKUP('Données projet'!$B$14,Paramètres!$A$1:$I$89,3,0)*VLOOKUP('Données projet'!$B$14,Paramètres!$A$1:$I$89,5,0)</f>
        <v>-9.5472000000002257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314.6300257056194</v>
      </c>
      <c r="DU163" s="59">
        <f t="shared" si="152"/>
        <v>298.00555477466668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29.141069596260891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29.141069596260891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441.23846153846227</v>
      </c>
      <c r="EK163" s="17">
        <f>EJ163*VLOOKUP('Données projet'!$B$15,Paramètres!$A$1:$I$89,3,0)*VLOOKUP('Données projet'!$B$15,Paramètres!$A$1:$I$89,5,0)</f>
        <v>212.23570000000035</v>
      </c>
      <c r="EL163" s="13">
        <f t="shared" si="179"/>
        <v>52.423840876495639</v>
      </c>
      <c r="EM163" s="20">
        <f t="shared" si="180"/>
        <v>460.9487003598972</v>
      </c>
      <c r="EN163" s="59">
        <f t="shared" si="128"/>
        <v>754.28203369323046</v>
      </c>
      <c r="EO163" s="59">
        <f ca="1">AVERAGE(OFFSET($EN$3,0,0,'Données projet'!$E$15+1,1))-AVERAGE(OFFSET($H$3,0,0,'Données projet'!$E$15+1,1))</f>
        <v>238.83604534181978</v>
      </c>
      <c r="EP163" s="59">
        <f t="shared" si="154"/>
        <v>114.85152559837792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5.6843418860808015E-14</v>
      </c>
      <c r="FF163" s="17">
        <f>FE163*VLOOKUP('Données projet'!$B$16,Paramètres!$A$1:$I$89,3,0)*VLOOKUP('Données projet'!$B$16,Paramètres!$A$1:$I$89,5,0)</f>
        <v>4.6111381379887463E-14</v>
      </c>
      <c r="FG163" s="13">
        <f t="shared" si="182"/>
        <v>7.5804141040779151E-13</v>
      </c>
      <c r="FH163" s="20">
        <f t="shared" si="183"/>
        <v>1.4005661123635408E-12</v>
      </c>
      <c r="FI163" s="59">
        <f t="shared" si="131"/>
        <v>293.33333333333474</v>
      </c>
      <c r="FJ163" s="59">
        <f ca="1">AVERAGE(OFFSET($FI$3,0,0,'Données projet'!$E$16+1,1))-AVERAGE(OFFSET($H$3,0,0,'Données projet'!$E$16+1,1))</f>
        <v>196.95467273423861</v>
      </c>
      <c r="FK163" s="59">
        <f t="shared" si="156"/>
        <v>173.8709326829258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17.568636581359748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3.7475218896896249E-11</v>
      </c>
      <c r="FT163" s="22">
        <f t="shared" si="184"/>
        <v>17.568636581397222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5.6843418860808015E-14</v>
      </c>
      <c r="GA163" s="17">
        <f>FZ163*VLOOKUP('Données projet'!$B$17,Paramètres!$A$1:$I$89,3,0)*VLOOKUP('Données projet'!$B$17,Paramètres!$A$1:$I$89,5,0)</f>
        <v>6.1186256061773749E-14</v>
      </c>
      <c r="GB163" s="13">
        <f t="shared" si="185"/>
        <v>9.7328366192051127E-13</v>
      </c>
      <c r="GC163" s="20">
        <f t="shared" si="186"/>
        <v>1.8017017738191463E-12</v>
      </c>
      <c r="GD163" s="59">
        <f t="shared" si="134"/>
        <v>293.33333333333513</v>
      </c>
      <c r="GE163" s="59">
        <f ca="1">AVERAGE(OFFSET($GD$3,0,0,'Données projet'!$E$17+1,1))-AVERAGE(OFFSET($H$3,0,0,'Données projet'!$E$17+1,1))</f>
        <v>275.5229427552884</v>
      </c>
      <c r="GF163" s="59">
        <f t="shared" si="158"/>
        <v>241.20234081716143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23.312229309881214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4.9726732767035373E-11</v>
      </c>
      <c r="GO163" s="21">
        <f t="shared" si="187"/>
        <v>23.312229309930942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274.57619581652199</v>
      </c>
      <c r="T164" s="59">
        <f t="shared" si="142"/>
        <v>366.15117322598775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 t="e">
        <f>EXP(-LN(2)/35)*Z163+(1-EXP(-LN(2)/35))/(LN(2)/35)*V164*W164*VLOOKUP('Données projet'!$B$9,Paramètres!$A$1:$I$89,3,0)*0.475*44/12</f>
        <v>#VALUE!</v>
      </c>
      <c r="AA164" s="21" t="e">
        <f>EXP(-LN(2)/25)*AA163+(1-EXP(-LN(2)/25))/(LN(2)/25)*Calculateur!V164*Calculateur!X164*VLOOKUP('Données projet'!$B$9,Paramètres!$A$1:$I$89,3,0)*0.475*44/12</f>
        <v>#VALUE!</v>
      </c>
      <c r="AB164" s="21" t="e">
        <f>EXP(-LN(2)/2)*AB163+(1-EXP(-LN(2)/2))/(LN(2)/2)*V164*Y164*VLOOKUP('Données projet'!$B$9,Paramètres!$A$1:$I$89,3,0)*0.475*44/12</f>
        <v>#VALUE!</v>
      </c>
      <c r="AC164" s="22" t="e">
        <f t="shared" si="163"/>
        <v>#VALUE!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175.05987582828078</v>
      </c>
      <c r="AO164" s="59">
        <f t="shared" si="144"/>
        <v>268.54782308462387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22.776253652517635</v>
      </c>
      <c r="AV164" s="21">
        <f>EXP(-LN(2)/25)*AV163+(1-EXP(-LN(2)/25))/(LN(2)/25)*Calculateur!AQ164*Calculateur!AS164*VLOOKUP('Données projet'!$B$10,Paramètres!$A$1:$I$89,3,0)*0.475*44/12</f>
        <v>2.5621158022268018</v>
      </c>
      <c r="AW164" s="21">
        <f>EXP(-LN(2)/2)*AW163+(1-EXP(-LN(2)/2))/(LN(2)/2)*AQ164*AT164*VLOOKUP('Données projet'!$B$10,Paramètres!$A$1:$I$89,3,0)*0.475*44/12</f>
        <v>1.7873592953867355E-14</v>
      </c>
      <c r="AX164" s="21">
        <f t="shared" si="166"/>
        <v>25.338369454744456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252.70779718608964</v>
      </c>
      <c r="BJ164" s="59">
        <f t="shared" si="146"/>
        <v>187.86969111712705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71.076601732968868</v>
      </c>
      <c r="BQ164" s="21">
        <f>EXP(-LN(2)/25)*BQ163+(1-EXP(-LN(2)/25))/(LN(2)/25)*Calculateur!BL164*Calculateur!BN164*VLOOKUP('Données projet'!$B$11,Paramètres!$A$1:$I$89,3,0)*0.475*44/12</f>
        <v>9.9820644659852533</v>
      </c>
      <c r="BR164" s="21">
        <f>EXP(-LN(2)/2)*BR163+(1-EXP(-LN(2)/2))/(LN(2)/2)*BL164*BO164*VLOOKUP('Données projet'!$B$11,Paramètres!$A$1:$I$89,3,0)*0.475*44/12</f>
        <v>3.1419593783614378E-8</v>
      </c>
      <c r="BS164" s="22">
        <f t="shared" si="169"/>
        <v>81.058666230373703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-1.3596945791505279E-13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279.86432710889352</v>
      </c>
      <c r="CE164" s="59">
        <f t="shared" si="148"/>
        <v>297.01680128882509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17.169249449807452</v>
      </c>
      <c r="CL164" s="21">
        <f>EXP(-LN(2)/25)*CL163+(1-EXP(-LN(2)/25))/(LN(2)/25)*Calculateur!CG164*Calculateur!CI164*VLOOKUP('Données projet'!$B$12,Paramètres!$A$1:$I$89,3,0)*0.475*44/12</f>
        <v>6.6552920156992661</v>
      </c>
      <c r="CM164" s="21">
        <f>EXP(-LN(2)/2)*CM163+(1-EXP(-LN(2)/2))/(LN(2)/2)*CG164*CJ164*VLOOKUP('Données projet'!$B$12,Paramètres!$A$1:$I$89,3,0)*0.475*44/12</f>
        <v>2.7106006065123416E-13</v>
      </c>
      <c r="CN164" s="22">
        <f t="shared" si="172"/>
        <v>23.824541465506989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-12.000000000000284</v>
      </c>
      <c r="CU164" s="17">
        <f>CT164*VLOOKUP('Données projet'!$B$13,Paramètres!$A$1:$I$89,3,0)*VLOOKUP('Données projet'!$B$13,Paramètres!$A$1:$I$89,5,0)</f>
        <v>-9.5472000000002257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314.6300257056194</v>
      </c>
      <c r="CZ164" s="59">
        <f t="shared" si="150"/>
        <v>298.00555477466668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28.569630995775604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28.569630995775604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-12.000000000000284</v>
      </c>
      <c r="DP164" s="17">
        <f>DO164*VLOOKUP('Données projet'!$B$14,Paramètres!$A$1:$I$89,3,0)*VLOOKUP('Données projet'!$B$14,Paramètres!$A$1:$I$89,5,0)</f>
        <v>-9.5472000000002257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314.6300257056194</v>
      </c>
      <c r="DU164" s="59">
        <f t="shared" si="152"/>
        <v>298.00555477466668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28.569630995775604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28.569630995775604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441.23846153846227</v>
      </c>
      <c r="EK164" s="17">
        <f>EJ164*VLOOKUP('Données projet'!$B$15,Paramètres!$A$1:$I$89,3,0)*VLOOKUP('Données projet'!$B$15,Paramètres!$A$1:$I$89,5,0)</f>
        <v>212.23570000000035</v>
      </c>
      <c r="EL164" s="13">
        <f t="shared" si="179"/>
        <v>52.423840876495639</v>
      </c>
      <c r="EM164" s="20">
        <f t="shared" si="180"/>
        <v>460.9487003598972</v>
      </c>
      <c r="EN164" s="59">
        <f t="shared" si="128"/>
        <v>754.28203369323046</v>
      </c>
      <c r="EO164" s="59">
        <f ca="1">AVERAGE(OFFSET($EN$3,0,0,'Données projet'!$E$15+1,1))-AVERAGE(OFFSET($H$3,0,0,'Données projet'!$E$15+1,1))</f>
        <v>238.83604534181978</v>
      </c>
      <c r="EP164" s="59">
        <f t="shared" si="154"/>
        <v>114.85152559837792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5.6843418860808015E-14</v>
      </c>
      <c r="FF164" s="17">
        <f>FE164*VLOOKUP('Données projet'!$B$16,Paramètres!$A$1:$I$89,3,0)*VLOOKUP('Données projet'!$B$16,Paramètres!$A$1:$I$89,5,0)</f>
        <v>4.6111381379887463E-14</v>
      </c>
      <c r="FG164" s="13">
        <f t="shared" si="182"/>
        <v>7.5804141040779151E-13</v>
      </c>
      <c r="FH164" s="20">
        <f t="shared" si="183"/>
        <v>1.4005661123635408E-12</v>
      </c>
      <c r="FI164" s="59">
        <f t="shared" si="131"/>
        <v>293.33333333333474</v>
      </c>
      <c r="FJ164" s="59">
        <f ca="1">AVERAGE(OFFSET($FI$3,0,0,'Données projet'!$E$16+1,1))-AVERAGE(OFFSET($H$3,0,0,'Données projet'!$E$16+1,1))</f>
        <v>196.95467273423861</v>
      </c>
      <c r="FK164" s="59">
        <f t="shared" si="156"/>
        <v>173.8709326829258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17.224126333809497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2.6498981408445587E-11</v>
      </c>
      <c r="FT164" s="22">
        <f t="shared" si="184"/>
        <v>17.224126333835997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5.6843418860808015E-14</v>
      </c>
      <c r="GA164" s="17">
        <f>FZ164*VLOOKUP('Données projet'!$B$17,Paramètres!$A$1:$I$89,3,0)*VLOOKUP('Données projet'!$B$17,Paramètres!$A$1:$I$89,5,0)</f>
        <v>6.1186256061773749E-14</v>
      </c>
      <c r="GB164" s="13">
        <f t="shared" si="185"/>
        <v>9.7328366192051127E-13</v>
      </c>
      <c r="GC164" s="20">
        <f t="shared" si="186"/>
        <v>1.8017017738191463E-12</v>
      </c>
      <c r="GD164" s="59">
        <f t="shared" si="134"/>
        <v>293.33333333333513</v>
      </c>
      <c r="GE164" s="59">
        <f ca="1">AVERAGE(OFFSET($GD$3,0,0,'Données projet'!$E$17+1,1))-AVERAGE(OFFSET($H$3,0,0,'Données projet'!$E$17+1,1))</f>
        <v>275.5229427552884</v>
      </c>
      <c r="GF164" s="59">
        <f t="shared" si="158"/>
        <v>241.20234081716143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22.855090712170309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3.5162109945822004E-11</v>
      </c>
      <c r="GO164" s="21">
        <f t="shared" si="187"/>
        <v>22.85509071220547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274.57619581652199</v>
      </c>
      <c r="T165" s="59">
        <f t="shared" si="142"/>
        <v>366.15117322598775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 t="e">
        <f>EXP(-LN(2)/35)*Z164+(1-EXP(-LN(2)/35))/(LN(2)/35)*V165*W165*VLOOKUP('Données projet'!$B$9,Paramètres!$A$1:$I$89,3,0)*0.475*44/12</f>
        <v>#VALUE!</v>
      </c>
      <c r="AA165" s="21" t="e">
        <f>EXP(-LN(2)/25)*AA164+(1-EXP(-LN(2)/25))/(LN(2)/25)*Calculateur!V165*Calculateur!X165*VLOOKUP('Données projet'!$B$9,Paramètres!$A$1:$I$89,3,0)*0.475*44/12</f>
        <v>#VALUE!</v>
      </c>
      <c r="AB165" s="21" t="e">
        <f>EXP(-LN(2)/2)*AB164+(1-EXP(-LN(2)/2))/(LN(2)/2)*V165*Y165*VLOOKUP('Données projet'!$B$9,Paramètres!$A$1:$I$89,3,0)*0.475*44/12</f>
        <v>#VALUE!</v>
      </c>
      <c r="AC165" s="22" t="e">
        <f t="shared" si="163"/>
        <v>#VALUE!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175.05987582828078</v>
      </c>
      <c r="AO165" s="59">
        <f t="shared" si="144"/>
        <v>268.54782308462387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22.329625210534758</v>
      </c>
      <c r="AV165" s="21">
        <f>EXP(-LN(2)/25)*AV164+(1-EXP(-LN(2)/25))/(LN(2)/25)*Calculateur!AQ165*Calculateur!AS165*VLOOKUP('Données projet'!$B$10,Paramètres!$A$1:$I$89,3,0)*0.475*44/12</f>
        <v>2.4920546108790957</v>
      </c>
      <c r="AW165" s="21">
        <f>EXP(-LN(2)/2)*AW164+(1-EXP(-LN(2)/2))/(LN(2)/2)*AQ165*AT165*VLOOKUP('Données projet'!$B$10,Paramètres!$A$1:$I$89,3,0)*0.475*44/12</f>
        <v>1.2638538781847701E-14</v>
      </c>
      <c r="AX165" s="21">
        <f t="shared" si="166"/>
        <v>24.821679821413866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252.70779718608964</v>
      </c>
      <c r="BJ165" s="59">
        <f t="shared" si="146"/>
        <v>187.86969111712705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69.682832925431711</v>
      </c>
      <c r="BQ165" s="21">
        <f>EXP(-LN(2)/25)*BQ164+(1-EXP(-LN(2)/25))/(LN(2)/25)*Calculateur!BL165*Calculateur!BN165*VLOOKUP('Données projet'!$B$11,Paramètres!$A$1:$I$89,3,0)*0.475*44/12</f>
        <v>9.7091043882289298</v>
      </c>
      <c r="BR165" s="21">
        <f>EXP(-LN(2)/2)*BR164+(1-EXP(-LN(2)/2))/(LN(2)/2)*BL165*BO165*VLOOKUP('Données projet'!$B$11,Paramètres!$A$1:$I$89,3,0)*0.475*44/12</f>
        <v>2.2217007826520422E-8</v>
      </c>
      <c r="BS165" s="22">
        <f t="shared" si="169"/>
        <v>79.391937335877643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-1.3596945791505279E-13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279.86432710889352</v>
      </c>
      <c r="CE165" s="59">
        <f t="shared" si="148"/>
        <v>297.01680128882509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16.832570940304848</v>
      </c>
      <c r="CL165" s="21">
        <f>EXP(-LN(2)/25)*CL164+(1-EXP(-LN(2)/25))/(LN(2)/25)*Calculateur!CG165*Calculateur!CI165*VLOOKUP('Données projet'!$B$12,Paramètres!$A$1:$I$89,3,0)*0.475*44/12</f>
        <v>6.4733027055433734</v>
      </c>
      <c r="CM165" s="21">
        <f>EXP(-LN(2)/2)*CM164+(1-EXP(-LN(2)/2))/(LN(2)/2)*CG165*CJ165*VLOOKUP('Données projet'!$B$12,Paramètres!$A$1:$I$89,3,0)*0.475*44/12</f>
        <v>1.9166840699532454E-13</v>
      </c>
      <c r="CN165" s="22">
        <f t="shared" si="172"/>
        <v>23.305873645848415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-12.000000000000284</v>
      </c>
      <c r="CU165" s="17">
        <f>CT165*VLOOKUP('Données projet'!$B$13,Paramètres!$A$1:$I$89,3,0)*VLOOKUP('Données projet'!$B$13,Paramètres!$A$1:$I$89,5,0)</f>
        <v>-9.5472000000002257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314.6300257056194</v>
      </c>
      <c r="CZ165" s="59">
        <f t="shared" si="150"/>
        <v>298.00555477466668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28.009397957702703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28.009397957702703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-12.000000000000284</v>
      </c>
      <c r="DP165" s="17">
        <f>DO165*VLOOKUP('Données projet'!$B$14,Paramètres!$A$1:$I$89,3,0)*VLOOKUP('Données projet'!$B$14,Paramètres!$A$1:$I$89,5,0)</f>
        <v>-9.5472000000002257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314.6300257056194</v>
      </c>
      <c r="DU165" s="59">
        <f t="shared" si="152"/>
        <v>298.00555477466668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28.009397957702703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28.009397957702703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441.23846153846227</v>
      </c>
      <c r="EK165" s="17">
        <f>EJ165*VLOOKUP('Données projet'!$B$15,Paramètres!$A$1:$I$89,3,0)*VLOOKUP('Données projet'!$B$15,Paramètres!$A$1:$I$89,5,0)</f>
        <v>212.23570000000035</v>
      </c>
      <c r="EL165" s="13">
        <f t="shared" si="179"/>
        <v>52.423840876495639</v>
      </c>
      <c r="EM165" s="20">
        <f t="shared" si="180"/>
        <v>460.9487003598972</v>
      </c>
      <c r="EN165" s="59">
        <f t="shared" si="128"/>
        <v>754.28203369323046</v>
      </c>
      <c r="EO165" s="59">
        <f ca="1">AVERAGE(OFFSET($EN$3,0,0,'Données projet'!$E$15+1,1))-AVERAGE(OFFSET($H$3,0,0,'Données projet'!$E$15+1,1))</f>
        <v>238.83604534181978</v>
      </c>
      <c r="EP165" s="59">
        <f t="shared" si="154"/>
        <v>114.85152559837792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5.6843418860808015E-14</v>
      </c>
      <c r="FF165" s="17">
        <f>FE165*VLOOKUP('Données projet'!$B$16,Paramètres!$A$1:$I$89,3,0)*VLOOKUP('Données projet'!$B$16,Paramètres!$A$1:$I$89,5,0)</f>
        <v>4.6111381379887463E-14</v>
      </c>
      <c r="FG165" s="13">
        <f t="shared" si="182"/>
        <v>7.5804141040779151E-13</v>
      </c>
      <c r="FH165" s="20">
        <f t="shared" si="183"/>
        <v>1.4005661123635408E-12</v>
      </c>
      <c r="FI165" s="59">
        <f t="shared" si="131"/>
        <v>293.33333333333474</v>
      </c>
      <c r="FJ165" s="59">
        <f ca="1">AVERAGE(OFFSET($FI$3,0,0,'Données projet'!$E$16+1,1))-AVERAGE(OFFSET($H$3,0,0,'Données projet'!$E$16+1,1))</f>
        <v>196.95467273423861</v>
      </c>
      <c r="FK165" s="59">
        <f t="shared" si="156"/>
        <v>173.8709326829258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16.886371722083208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1.8737609448448125E-11</v>
      </c>
      <c r="FT165" s="22">
        <f t="shared" si="184"/>
        <v>16.886371722101945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5.6843418860808015E-14</v>
      </c>
      <c r="GA165" s="17">
        <f>FZ165*VLOOKUP('Données projet'!$B$17,Paramètres!$A$1:$I$89,3,0)*VLOOKUP('Données projet'!$B$17,Paramètres!$A$1:$I$89,5,0)</f>
        <v>6.1186256061773749E-14</v>
      </c>
      <c r="GB165" s="13">
        <f t="shared" si="185"/>
        <v>9.7328366192051127E-13</v>
      </c>
      <c r="GC165" s="20">
        <f t="shared" si="186"/>
        <v>1.8017017738191463E-12</v>
      </c>
      <c r="GD165" s="59">
        <f t="shared" si="134"/>
        <v>293.33333333333513</v>
      </c>
      <c r="GE165" s="59">
        <f ca="1">AVERAGE(OFFSET($GD$3,0,0,'Données projet'!$E$17+1,1))-AVERAGE(OFFSET($H$3,0,0,'Données projet'!$E$17+1,1))</f>
        <v>275.5229427552884</v>
      </c>
      <c r="GF165" s="59">
        <f t="shared" si="158"/>
        <v>241.20234081716143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22.406916323533501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2.4863366383517686E-11</v>
      </c>
      <c r="GO165" s="21">
        <f t="shared" si="187"/>
        <v>22.406916323558363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274.57619581652199</v>
      </c>
      <c r="T166" s="59">
        <f t="shared" si="142"/>
        <v>366.15117322598775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 t="e">
        <f>EXP(-LN(2)/35)*Z165+(1-EXP(-LN(2)/35))/(LN(2)/35)*V166*W166*VLOOKUP('Données projet'!$B$9,Paramètres!$A$1:$I$89,3,0)*0.475*44/12</f>
        <v>#VALUE!</v>
      </c>
      <c r="AA166" s="21" t="e">
        <f>EXP(-LN(2)/25)*AA165+(1-EXP(-LN(2)/25))/(LN(2)/25)*Calculateur!V166*Calculateur!X166*VLOOKUP('Données projet'!$B$9,Paramètres!$A$1:$I$89,3,0)*0.475*44/12</f>
        <v>#VALUE!</v>
      </c>
      <c r="AB166" s="21" t="e">
        <f>EXP(-LN(2)/2)*AB165+(1-EXP(-LN(2)/2))/(LN(2)/2)*V166*Y166*VLOOKUP('Données projet'!$B$9,Paramètres!$A$1:$I$89,3,0)*0.475*44/12</f>
        <v>#VALUE!</v>
      </c>
      <c r="AC166" s="22" t="e">
        <f t="shared" si="163"/>
        <v>#VALUE!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175.05987582828078</v>
      </c>
      <c r="AO166" s="59">
        <f t="shared" si="144"/>
        <v>268.54782308462387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21.891754879882715</v>
      </c>
      <c r="AV166" s="21">
        <f>EXP(-LN(2)/25)*AV165+(1-EXP(-LN(2)/25))/(LN(2)/25)*Calculateur!AQ166*Calculateur!AS166*VLOOKUP('Données projet'!$B$10,Paramètres!$A$1:$I$89,3,0)*0.475*44/12</f>
        <v>2.4239092464931504</v>
      </c>
      <c r="AW166" s="21">
        <f>EXP(-LN(2)/2)*AW165+(1-EXP(-LN(2)/2))/(LN(2)/2)*AQ166*AT166*VLOOKUP('Données projet'!$B$10,Paramètres!$A$1:$I$89,3,0)*0.475*44/12</f>
        <v>8.9367964769336774E-15</v>
      </c>
      <c r="AX166" s="21">
        <f t="shared" si="166"/>
        <v>24.315664126375875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252.70779718608964</v>
      </c>
      <c r="BJ166" s="59">
        <f t="shared" si="146"/>
        <v>187.86969111712705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68.316395074095325</v>
      </c>
      <c r="BQ166" s="21">
        <f>EXP(-LN(2)/25)*BQ165+(1-EXP(-LN(2)/25))/(LN(2)/25)*Calculateur!BL166*Calculateur!BN166*VLOOKUP('Données projet'!$B$11,Paramètres!$A$1:$I$89,3,0)*0.475*44/12</f>
        <v>9.4436084181532003</v>
      </c>
      <c r="BR166" s="21">
        <f>EXP(-LN(2)/2)*BR165+(1-EXP(-LN(2)/2))/(LN(2)/2)*BL166*BO166*VLOOKUP('Données projet'!$B$11,Paramètres!$A$1:$I$89,3,0)*0.475*44/12</f>
        <v>1.5709796891807189E-8</v>
      </c>
      <c r="BS166" s="22">
        <f t="shared" si="169"/>
        <v>77.760003507958331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-1.3596945791505279E-13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279.86432710889352</v>
      </c>
      <c r="CE166" s="59">
        <f t="shared" si="148"/>
        <v>297.01680128882509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16.502494491019977</v>
      </c>
      <c r="CL166" s="21">
        <f>EXP(-LN(2)/25)*CL165+(1-EXP(-LN(2)/25))/(LN(2)/25)*Calculateur!CG166*Calculateur!CI166*VLOOKUP('Données projet'!$B$12,Paramètres!$A$1:$I$89,3,0)*0.475*44/12</f>
        <v>6.2962899026440953</v>
      </c>
      <c r="CM166" s="21">
        <f>EXP(-LN(2)/2)*CM165+(1-EXP(-LN(2)/2))/(LN(2)/2)*CG166*CJ166*VLOOKUP('Données projet'!$B$12,Paramètres!$A$1:$I$89,3,0)*0.475*44/12</f>
        <v>1.3553003032561708E-13</v>
      </c>
      <c r="CN166" s="22">
        <f t="shared" si="172"/>
        <v>22.798784393664207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-12.000000000000284</v>
      </c>
      <c r="CU166" s="17">
        <f>CT166*VLOOKUP('Données projet'!$B$13,Paramètres!$A$1:$I$89,3,0)*VLOOKUP('Données projet'!$B$13,Paramètres!$A$1:$I$89,5,0)</f>
        <v>-9.5472000000002257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314.6300257056194</v>
      </c>
      <c r="CZ166" s="59">
        <f t="shared" si="150"/>
        <v>298.00555477466668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27.460150747797996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27.460150747797996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-12.000000000000284</v>
      </c>
      <c r="DP166" s="17">
        <f>DO166*VLOOKUP('Données projet'!$B$14,Paramètres!$A$1:$I$89,3,0)*VLOOKUP('Données projet'!$B$14,Paramètres!$A$1:$I$89,5,0)</f>
        <v>-9.5472000000002257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314.6300257056194</v>
      </c>
      <c r="DU166" s="59">
        <f t="shared" si="152"/>
        <v>298.00555477466668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27.460150747797996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27.460150747797996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441.23846153846227</v>
      </c>
      <c r="EK166" s="17">
        <f>EJ166*VLOOKUP('Données projet'!$B$15,Paramètres!$A$1:$I$89,3,0)*VLOOKUP('Données projet'!$B$15,Paramètres!$A$1:$I$89,5,0)</f>
        <v>212.23570000000035</v>
      </c>
      <c r="EL166" s="13">
        <f t="shared" si="179"/>
        <v>52.423840876495639</v>
      </c>
      <c r="EM166" s="20">
        <f t="shared" si="180"/>
        <v>460.9487003598972</v>
      </c>
      <c r="EN166" s="59">
        <f t="shared" si="128"/>
        <v>754.28203369323046</v>
      </c>
      <c r="EO166" s="59">
        <f ca="1">AVERAGE(OFFSET($EN$3,0,0,'Données projet'!$E$15+1,1))-AVERAGE(OFFSET($H$3,0,0,'Données projet'!$E$15+1,1))</f>
        <v>238.83604534181978</v>
      </c>
      <c r="EP166" s="59">
        <f t="shared" si="154"/>
        <v>114.85152559837792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5.6843418860808015E-14</v>
      </c>
      <c r="FF166" s="17">
        <f>FE166*VLOOKUP('Données projet'!$B$16,Paramètres!$A$1:$I$89,3,0)*VLOOKUP('Données projet'!$B$16,Paramètres!$A$1:$I$89,5,0)</f>
        <v>4.6111381379887463E-14</v>
      </c>
      <c r="FG166" s="13">
        <f t="shared" si="182"/>
        <v>7.5804141040779151E-13</v>
      </c>
      <c r="FH166" s="20">
        <f t="shared" si="183"/>
        <v>1.4005661123635408E-12</v>
      </c>
      <c r="FI166" s="59">
        <f t="shared" si="131"/>
        <v>293.33333333333474</v>
      </c>
      <c r="FJ166" s="59">
        <f ca="1">AVERAGE(OFFSET($FI$3,0,0,'Données projet'!$E$16+1,1))-AVERAGE(OFFSET($H$3,0,0,'Données projet'!$E$16+1,1))</f>
        <v>196.95467273423861</v>
      </c>
      <c r="FK166" s="59">
        <f t="shared" si="156"/>
        <v>173.8709326829258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16.555240272282898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1.3249490704222794E-11</v>
      </c>
      <c r="FT166" s="22">
        <f t="shared" si="184"/>
        <v>16.555240272296146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5.6843418860808015E-14</v>
      </c>
      <c r="GA166" s="17">
        <f>FZ166*VLOOKUP('Données projet'!$B$17,Paramètres!$A$1:$I$89,3,0)*VLOOKUP('Données projet'!$B$17,Paramètres!$A$1:$I$89,5,0)</f>
        <v>6.1186256061773749E-14</v>
      </c>
      <c r="GB166" s="13">
        <f t="shared" si="185"/>
        <v>9.7328366192051127E-13</v>
      </c>
      <c r="GC166" s="20">
        <f t="shared" si="186"/>
        <v>1.8017017738191463E-12</v>
      </c>
      <c r="GD166" s="59">
        <f t="shared" si="134"/>
        <v>293.33333333333513</v>
      </c>
      <c r="GE166" s="59">
        <f ca="1">AVERAGE(OFFSET($GD$3,0,0,'Données projet'!$E$17+1,1))-AVERAGE(OFFSET($H$3,0,0,'Données projet'!$E$17+1,1))</f>
        <v>275.5229427552884</v>
      </c>
      <c r="GF166" s="59">
        <f t="shared" si="158"/>
        <v>241.20234081716143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21.967530361298476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1.7581054972911002E-11</v>
      </c>
      <c r="GO166" s="21">
        <f t="shared" si="187"/>
        <v>21.967530361316058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274.57619581652199</v>
      </c>
      <c r="T167" s="59">
        <f t="shared" si="142"/>
        <v>366.15117322598775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 t="e">
        <f>EXP(-LN(2)/35)*Z166+(1-EXP(-LN(2)/35))/(LN(2)/35)*V167*W167*VLOOKUP('Données projet'!$B$9,Paramètres!$A$1:$I$89,3,0)*0.475*44/12</f>
        <v>#VALUE!</v>
      </c>
      <c r="AA167" s="21" t="e">
        <f>EXP(-LN(2)/25)*AA166+(1-EXP(-LN(2)/25))/(LN(2)/25)*Calculateur!V167*Calculateur!X167*VLOOKUP('Données projet'!$B$9,Paramètres!$A$1:$I$89,3,0)*0.475*44/12</f>
        <v>#VALUE!</v>
      </c>
      <c r="AB167" s="21" t="e">
        <f>EXP(-LN(2)/2)*AB166+(1-EXP(-LN(2)/2))/(LN(2)/2)*V167*Y167*VLOOKUP('Données projet'!$B$9,Paramètres!$A$1:$I$89,3,0)*0.475*44/12</f>
        <v>#VALUE!</v>
      </c>
      <c r="AC167" s="22" t="e">
        <f t="shared" si="163"/>
        <v>#VALUE!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175.05987582828078</v>
      </c>
      <c r="AO167" s="59">
        <f t="shared" si="144"/>
        <v>268.54782308462387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21.462470919340227</v>
      </c>
      <c r="AV167" s="21">
        <f>EXP(-LN(2)/25)*AV166+(1-EXP(-LN(2)/25))/(LN(2)/25)*Calculateur!AQ167*Calculateur!AS167*VLOOKUP('Données projet'!$B$10,Paramètres!$A$1:$I$89,3,0)*0.475*44/12</f>
        <v>2.3576273206799478</v>
      </c>
      <c r="AW167" s="21">
        <f>EXP(-LN(2)/2)*AW166+(1-EXP(-LN(2)/2))/(LN(2)/2)*AQ167*AT167*VLOOKUP('Données projet'!$B$10,Paramètres!$A$1:$I$89,3,0)*0.475*44/12</f>
        <v>6.3192693909238507E-15</v>
      </c>
      <c r="AX167" s="21">
        <f t="shared" si="166"/>
        <v>23.820098240020183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252.70779718608964</v>
      </c>
      <c r="BJ167" s="59">
        <f t="shared" si="146"/>
        <v>187.86969111712705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66.976752235578857</v>
      </c>
      <c r="BQ167" s="21">
        <f>EXP(-LN(2)/25)*BQ166+(1-EXP(-LN(2)/25))/(LN(2)/25)*Calculateur!BL167*Calculateur!BN167*VLOOKUP('Données projet'!$B$11,Paramètres!$A$1:$I$89,3,0)*0.475*44/12</f>
        <v>9.1853724493410187</v>
      </c>
      <c r="BR167" s="21">
        <f>EXP(-LN(2)/2)*BR166+(1-EXP(-LN(2)/2))/(LN(2)/2)*BL167*BO167*VLOOKUP('Données projet'!$B$11,Paramètres!$A$1:$I$89,3,0)*0.475*44/12</f>
        <v>1.1108503913260211E-8</v>
      </c>
      <c r="BS167" s="22">
        <f t="shared" si="169"/>
        <v>76.162124696028371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-1.3596945791505279E-13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279.86432710889352</v>
      </c>
      <c r="CE167" s="59">
        <f t="shared" si="148"/>
        <v>297.01680128882509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16.178890639578828</v>
      </c>
      <c r="CL167" s="21">
        <f>EXP(-LN(2)/25)*CL166+(1-EXP(-LN(2)/25))/(LN(2)/25)*Calculateur!CG167*Calculateur!CI167*VLOOKUP('Données projet'!$B$12,Paramètres!$A$1:$I$89,3,0)*0.475*44/12</f>
        <v>6.1241175241487973</v>
      </c>
      <c r="CM167" s="21">
        <f>EXP(-LN(2)/2)*CM166+(1-EXP(-LN(2)/2))/(LN(2)/2)*CG167*CJ167*VLOOKUP('Données projet'!$B$12,Paramètres!$A$1:$I$89,3,0)*0.475*44/12</f>
        <v>9.5834203497662268E-14</v>
      </c>
      <c r="CN167" s="22">
        <f t="shared" si="172"/>
        <v>22.303008163727721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-12.000000000000284</v>
      </c>
      <c r="CU167" s="17">
        <f>CT167*VLOOKUP('Données projet'!$B$13,Paramètres!$A$1:$I$89,3,0)*VLOOKUP('Données projet'!$B$13,Paramètres!$A$1:$I$89,5,0)</f>
        <v>-9.5472000000002257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314.6300257056194</v>
      </c>
      <c r="CZ167" s="59">
        <f t="shared" si="150"/>
        <v>298.00555477466668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26.921673940671806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26.921673940671806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-12.000000000000284</v>
      </c>
      <c r="DP167" s="17">
        <f>DO167*VLOOKUP('Données projet'!$B$14,Paramètres!$A$1:$I$89,3,0)*VLOOKUP('Données projet'!$B$14,Paramètres!$A$1:$I$89,5,0)</f>
        <v>-9.5472000000002257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314.6300257056194</v>
      </c>
      <c r="DU167" s="59">
        <f t="shared" si="152"/>
        <v>298.00555477466668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26.921673940671806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26.921673940671806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441.23846153846227</v>
      </c>
      <c r="EK167" s="17">
        <f>EJ167*VLOOKUP('Données projet'!$B$15,Paramètres!$A$1:$I$89,3,0)*VLOOKUP('Données projet'!$B$15,Paramètres!$A$1:$I$89,5,0)</f>
        <v>212.23570000000035</v>
      </c>
      <c r="EL167" s="13">
        <f t="shared" si="179"/>
        <v>52.423840876495639</v>
      </c>
      <c r="EM167" s="20">
        <f t="shared" si="180"/>
        <v>460.9487003598972</v>
      </c>
      <c r="EN167" s="59">
        <f t="shared" si="128"/>
        <v>754.28203369323046</v>
      </c>
      <c r="EO167" s="59">
        <f ca="1">AVERAGE(OFFSET($EN$3,0,0,'Données projet'!$E$15+1,1))-AVERAGE(OFFSET($H$3,0,0,'Données projet'!$E$15+1,1))</f>
        <v>238.83604534181978</v>
      </c>
      <c r="EP167" s="59">
        <f t="shared" si="154"/>
        <v>114.85152559837792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5.6843418860808015E-14</v>
      </c>
      <c r="FF167" s="17">
        <f>FE167*VLOOKUP('Données projet'!$B$16,Paramètres!$A$1:$I$89,3,0)*VLOOKUP('Données projet'!$B$16,Paramètres!$A$1:$I$89,5,0)</f>
        <v>4.6111381379887463E-14</v>
      </c>
      <c r="FG167" s="13">
        <f t="shared" si="182"/>
        <v>7.5804141040779151E-13</v>
      </c>
      <c r="FH167" s="20">
        <f t="shared" si="183"/>
        <v>1.4005661123635408E-12</v>
      </c>
      <c r="FI167" s="59">
        <f t="shared" si="131"/>
        <v>293.33333333333474</v>
      </c>
      <c r="FJ167" s="59">
        <f ca="1">AVERAGE(OFFSET($FI$3,0,0,'Données projet'!$E$16+1,1))-AVERAGE(OFFSET($H$3,0,0,'Données projet'!$E$16+1,1))</f>
        <v>196.95467273423861</v>
      </c>
      <c r="FK167" s="59">
        <f t="shared" si="156"/>
        <v>173.8709326829258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16.23060210824293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9.3688047242240623E-12</v>
      </c>
      <c r="FT167" s="22">
        <f t="shared" si="184"/>
        <v>16.230602108252299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5.6843418860808015E-14</v>
      </c>
      <c r="GA167" s="17">
        <f>FZ167*VLOOKUP('Données projet'!$B$17,Paramètres!$A$1:$I$89,3,0)*VLOOKUP('Données projet'!$B$17,Paramètres!$A$1:$I$89,5,0)</f>
        <v>6.1186256061773749E-14</v>
      </c>
      <c r="GB167" s="13">
        <f t="shared" si="185"/>
        <v>9.7328366192051127E-13</v>
      </c>
      <c r="GC167" s="20">
        <f t="shared" si="186"/>
        <v>1.8017017738191463E-12</v>
      </c>
      <c r="GD167" s="59">
        <f t="shared" si="134"/>
        <v>293.33333333333513</v>
      </c>
      <c r="GE167" s="59">
        <f ca="1">AVERAGE(OFFSET($GD$3,0,0,'Données projet'!$E$17+1,1))-AVERAGE(OFFSET($H$3,0,0,'Données projet'!$E$17+1,1))</f>
        <v>275.5229427552884</v>
      </c>
      <c r="GF167" s="59">
        <f t="shared" si="158"/>
        <v>241.20234081716143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21.536760489783905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1.2431683191758843E-11</v>
      </c>
      <c r="GO167" s="21">
        <f t="shared" si="187"/>
        <v>21.536760489796336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274.57619581652199</v>
      </c>
      <c r="T168" s="59">
        <f t="shared" si="142"/>
        <v>366.15117322598775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 t="e">
        <f>EXP(-LN(2)/35)*Z167+(1-EXP(-LN(2)/35))/(LN(2)/35)*V168*W168*VLOOKUP('Données projet'!$B$9,Paramètres!$A$1:$I$89,3,0)*0.475*44/12</f>
        <v>#VALUE!</v>
      </c>
      <c r="AA168" s="21" t="e">
        <f>EXP(-LN(2)/25)*AA167+(1-EXP(-LN(2)/25))/(LN(2)/25)*Calculateur!V168*Calculateur!X168*VLOOKUP('Données projet'!$B$9,Paramètres!$A$1:$I$89,3,0)*0.475*44/12</f>
        <v>#VALUE!</v>
      </c>
      <c r="AB168" s="21" t="e">
        <f>EXP(-LN(2)/2)*AB167+(1-EXP(-LN(2)/2))/(LN(2)/2)*V168*Y168*VLOOKUP('Données projet'!$B$9,Paramètres!$A$1:$I$89,3,0)*0.475*44/12</f>
        <v>#VALUE!</v>
      </c>
      <c r="AC168" s="22" t="e">
        <f t="shared" si="163"/>
        <v>#VALUE!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175.05987582828078</v>
      </c>
      <c r="AO168" s="59">
        <f t="shared" si="144"/>
        <v>268.54782308462387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21.041604955426614</v>
      </c>
      <c r="AV168" s="21">
        <f>EXP(-LN(2)/25)*AV167+(1-EXP(-LN(2)/25))/(LN(2)/25)*Calculateur!AQ168*Calculateur!AS168*VLOOKUP('Données projet'!$B$10,Paramètres!$A$1:$I$89,3,0)*0.475*44/12</f>
        <v>2.2931578776137225</v>
      </c>
      <c r="AW168" s="21">
        <f>EXP(-LN(2)/2)*AW167+(1-EXP(-LN(2)/2))/(LN(2)/2)*AQ168*AT168*VLOOKUP('Données projet'!$B$10,Paramètres!$A$1:$I$89,3,0)*0.475*44/12</f>
        <v>4.4683982384668387E-15</v>
      </c>
      <c r="AX168" s="21">
        <f t="shared" si="166"/>
        <v>23.33476283304034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252.70779718608964</v>
      </c>
      <c r="BJ168" s="59">
        <f t="shared" si="146"/>
        <v>187.86969111712705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65.663378976024234</v>
      </c>
      <c r="BQ168" s="21">
        <f>EXP(-LN(2)/25)*BQ167+(1-EXP(-LN(2)/25))/(LN(2)/25)*Calculateur!BL168*Calculateur!BN168*VLOOKUP('Données projet'!$B$11,Paramètres!$A$1:$I$89,3,0)*0.475*44/12</f>
        <v>8.9341979566760443</v>
      </c>
      <c r="BR168" s="21">
        <f>EXP(-LN(2)/2)*BR167+(1-EXP(-LN(2)/2))/(LN(2)/2)*BL168*BO168*VLOOKUP('Données projet'!$B$11,Paramètres!$A$1:$I$89,3,0)*0.475*44/12</f>
        <v>7.8548984459035946E-9</v>
      </c>
      <c r="BS168" s="22">
        <f t="shared" si="169"/>
        <v>74.597576940555172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-1.3596945791505279E-13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279.86432710889352</v>
      </c>
      <c r="CE168" s="59">
        <f t="shared" si="148"/>
        <v>297.01680128882509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15.861632462285579</v>
      </c>
      <c r="CL168" s="21">
        <f>EXP(-LN(2)/25)*CL167+(1-EXP(-LN(2)/25))/(LN(2)/25)*Calculateur!CG168*Calculateur!CI168*VLOOKUP('Données projet'!$B$12,Paramètres!$A$1:$I$89,3,0)*0.475*44/12</f>
        <v>5.9566532083976043</v>
      </c>
      <c r="CM168" s="21">
        <f>EXP(-LN(2)/2)*CM167+(1-EXP(-LN(2)/2))/(LN(2)/2)*CG168*CJ168*VLOOKUP('Données projet'!$B$12,Paramètres!$A$1:$I$89,3,0)*0.475*44/12</f>
        <v>6.776501516280854E-14</v>
      </c>
      <c r="CN168" s="22">
        <f t="shared" si="172"/>
        <v>21.818285670683249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-12.000000000000284</v>
      </c>
      <c r="CU168" s="17">
        <f>CT168*VLOOKUP('Données projet'!$B$13,Paramètres!$A$1:$I$89,3,0)*VLOOKUP('Données projet'!$B$13,Paramètres!$A$1:$I$89,5,0)</f>
        <v>-9.5472000000002257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314.6300257056194</v>
      </c>
      <c r="CZ168" s="59">
        <f t="shared" si="150"/>
        <v>298.00555477466668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26.393756335294935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26.393756335294935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-12.000000000000284</v>
      </c>
      <c r="DP168" s="17">
        <f>DO168*VLOOKUP('Données projet'!$B$14,Paramètres!$A$1:$I$89,3,0)*VLOOKUP('Données projet'!$B$14,Paramètres!$A$1:$I$89,5,0)</f>
        <v>-9.5472000000002257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314.6300257056194</v>
      </c>
      <c r="DU168" s="59">
        <f t="shared" si="152"/>
        <v>298.00555477466668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26.393756335294935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26.393756335294935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441.23846153846227</v>
      </c>
      <c r="EK168" s="17">
        <f>EJ168*VLOOKUP('Données projet'!$B$15,Paramètres!$A$1:$I$89,3,0)*VLOOKUP('Données projet'!$B$15,Paramètres!$A$1:$I$89,5,0)</f>
        <v>212.23570000000035</v>
      </c>
      <c r="EL168" s="13">
        <f t="shared" si="179"/>
        <v>52.423840876495639</v>
      </c>
      <c r="EM168" s="20">
        <f t="shared" si="180"/>
        <v>460.9487003598972</v>
      </c>
      <c r="EN168" s="59">
        <f t="shared" si="128"/>
        <v>754.28203369323046</v>
      </c>
      <c r="EO168" s="59">
        <f ca="1">AVERAGE(OFFSET($EN$3,0,0,'Données projet'!$E$15+1,1))-AVERAGE(OFFSET($H$3,0,0,'Données projet'!$E$15+1,1))</f>
        <v>238.83604534181978</v>
      </c>
      <c r="EP168" s="59">
        <f t="shared" si="154"/>
        <v>114.85152559837792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5.6843418860808015E-14</v>
      </c>
      <c r="FF168" s="17">
        <f>FE168*VLOOKUP('Données projet'!$B$16,Paramètres!$A$1:$I$89,3,0)*VLOOKUP('Données projet'!$B$16,Paramètres!$A$1:$I$89,5,0)</f>
        <v>4.6111381379887463E-14</v>
      </c>
      <c r="FG168" s="13">
        <f t="shared" si="182"/>
        <v>7.5804141040779151E-13</v>
      </c>
      <c r="FH168" s="20">
        <f t="shared" si="183"/>
        <v>1.4005661123635408E-12</v>
      </c>
      <c r="FI168" s="59">
        <f t="shared" si="131"/>
        <v>293.33333333333474</v>
      </c>
      <c r="FJ168" s="59">
        <f ca="1">AVERAGE(OFFSET($FI$3,0,0,'Données projet'!$E$16+1,1))-AVERAGE(OFFSET($H$3,0,0,'Données projet'!$E$16+1,1))</f>
        <v>196.95467273423861</v>
      </c>
      <c r="FK168" s="59">
        <f t="shared" si="156"/>
        <v>173.8709326829258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15.912329900590059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6.6247453521113969E-12</v>
      </c>
      <c r="FT168" s="22">
        <f t="shared" si="184"/>
        <v>15.912329900596683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5.6843418860808015E-14</v>
      </c>
      <c r="GA168" s="17">
        <f>FZ168*VLOOKUP('Données projet'!$B$17,Paramètres!$A$1:$I$89,3,0)*VLOOKUP('Données projet'!$B$17,Paramètres!$A$1:$I$89,5,0)</f>
        <v>6.1186256061773749E-14</v>
      </c>
      <c r="GB168" s="13">
        <f t="shared" si="185"/>
        <v>9.7328366192051127E-13</v>
      </c>
      <c r="GC168" s="20">
        <f t="shared" si="186"/>
        <v>1.8017017738191463E-12</v>
      </c>
      <c r="GD168" s="59">
        <f t="shared" si="134"/>
        <v>293.33333333333513</v>
      </c>
      <c r="GE168" s="59">
        <f ca="1">AVERAGE(OFFSET($GD$3,0,0,'Données projet'!$E$17+1,1))-AVERAGE(OFFSET($H$3,0,0,'Données projet'!$E$17+1,1))</f>
        <v>275.5229427552884</v>
      </c>
      <c r="GF168" s="59">
        <f t="shared" si="158"/>
        <v>241.20234081716143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21.114437752706056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8.790527486455501E-12</v>
      </c>
      <c r="GO168" s="21">
        <f t="shared" si="187"/>
        <v>21.114437752714846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274.57619581652199</v>
      </c>
      <c r="T169" s="59">
        <f t="shared" si="142"/>
        <v>366.15117322598775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 t="e">
        <f>EXP(-LN(2)/35)*Z168+(1-EXP(-LN(2)/35))/(LN(2)/35)*V169*W169*VLOOKUP('Données projet'!$B$9,Paramètres!$A$1:$I$89,3,0)*0.475*44/12</f>
        <v>#VALUE!</v>
      </c>
      <c r="AA169" s="21" t="e">
        <f>EXP(-LN(2)/25)*AA168+(1-EXP(-LN(2)/25))/(LN(2)/25)*Calculateur!V169*Calculateur!X169*VLOOKUP('Données projet'!$B$9,Paramètres!$A$1:$I$89,3,0)*0.475*44/12</f>
        <v>#VALUE!</v>
      </c>
      <c r="AB169" s="21" t="e">
        <f>EXP(-LN(2)/2)*AB168+(1-EXP(-LN(2)/2))/(LN(2)/2)*V169*Y169*VLOOKUP('Données projet'!$B$9,Paramètres!$A$1:$I$89,3,0)*0.475*44/12</f>
        <v>#VALUE!</v>
      </c>
      <c r="AC169" s="22" t="e">
        <f t="shared" si="163"/>
        <v>#VALUE!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175.05987582828078</v>
      </c>
      <c r="AO169" s="59">
        <f t="shared" si="144"/>
        <v>268.54782308462387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20.628991916362459</v>
      </c>
      <c r="AV169" s="21">
        <f>EXP(-LN(2)/25)*AV168+(1-EXP(-LN(2)/25))/(LN(2)/25)*Calculateur!AQ169*Calculateur!AS169*VLOOKUP('Données projet'!$B$10,Paramètres!$A$1:$I$89,3,0)*0.475*44/12</f>
        <v>2.2304513548584435</v>
      </c>
      <c r="AW169" s="21">
        <f>EXP(-LN(2)/2)*AW168+(1-EXP(-LN(2)/2))/(LN(2)/2)*AQ169*AT169*VLOOKUP('Données projet'!$B$10,Paramètres!$A$1:$I$89,3,0)*0.475*44/12</f>
        <v>3.1596346954619254E-15</v>
      </c>
      <c r="AX169" s="21">
        <f t="shared" si="166"/>
        <v>22.859443271220908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252.70779718608964</v>
      </c>
      <c r="BJ169" s="59">
        <f t="shared" si="146"/>
        <v>187.86969111712705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64.375760165010888</v>
      </c>
      <c r="BQ169" s="21">
        <f>EXP(-LN(2)/25)*BQ168+(1-EXP(-LN(2)/25))/(LN(2)/25)*Calculateur!BL169*Calculateur!BN169*VLOOKUP('Données projet'!$B$11,Paramètres!$A$1:$I$89,3,0)*0.475*44/12</f>
        <v>8.6898918437216874</v>
      </c>
      <c r="BR169" s="21">
        <f>EXP(-LN(2)/2)*BR168+(1-EXP(-LN(2)/2))/(LN(2)/2)*BL169*BO169*VLOOKUP('Données projet'!$B$11,Paramètres!$A$1:$I$89,3,0)*0.475*44/12</f>
        <v>5.5542519566301054E-9</v>
      </c>
      <c r="BS169" s="22">
        <f t="shared" si="169"/>
        <v>73.065652014286826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-1.3596945791505279E-13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279.86432710889352</v>
      </c>
      <c r="CE169" s="59">
        <f t="shared" si="148"/>
        <v>297.01680128882509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15.55059552434067</v>
      </c>
      <c r="CL169" s="21">
        <f>EXP(-LN(2)/25)*CL168+(1-EXP(-LN(2)/25))/(LN(2)/25)*Calculateur!CG169*Calculateur!CI169*VLOOKUP('Données projet'!$B$12,Paramètres!$A$1:$I$89,3,0)*0.475*44/12</f>
        <v>5.7937682131671933</v>
      </c>
      <c r="CM169" s="21">
        <f>EXP(-LN(2)/2)*CM168+(1-EXP(-LN(2)/2))/(LN(2)/2)*CG169*CJ169*VLOOKUP('Données projet'!$B$12,Paramètres!$A$1:$I$89,3,0)*0.475*44/12</f>
        <v>4.7917101748831134E-14</v>
      </c>
      <c r="CN169" s="22">
        <f t="shared" si="172"/>
        <v>21.344363737507908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-12.000000000000284</v>
      </c>
      <c r="CU169" s="17">
        <f>CT169*VLOOKUP('Données projet'!$B$13,Paramètres!$A$1:$I$89,3,0)*VLOOKUP('Données projet'!$B$13,Paramètres!$A$1:$I$89,5,0)</f>
        <v>-9.5472000000002257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314.6300257056194</v>
      </c>
      <c r="CZ169" s="59">
        <f t="shared" si="150"/>
        <v>298.00555477466668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25.876190872161562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25.876190872161562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-12.000000000000284</v>
      </c>
      <c r="DP169" s="17">
        <f>DO169*VLOOKUP('Données projet'!$B$14,Paramètres!$A$1:$I$89,3,0)*VLOOKUP('Données projet'!$B$14,Paramètres!$A$1:$I$89,5,0)</f>
        <v>-9.5472000000002257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314.6300257056194</v>
      </c>
      <c r="DU169" s="59">
        <f t="shared" si="152"/>
        <v>298.00555477466668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25.876190872161562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25.876190872161562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441.23846153846227</v>
      </c>
      <c r="EK169" s="17">
        <f>EJ169*VLOOKUP('Données projet'!$B$15,Paramètres!$A$1:$I$89,3,0)*VLOOKUP('Données projet'!$B$15,Paramètres!$A$1:$I$89,5,0)</f>
        <v>212.23570000000035</v>
      </c>
      <c r="EL169" s="13">
        <f t="shared" si="179"/>
        <v>52.423840876495639</v>
      </c>
      <c r="EM169" s="20">
        <f t="shared" si="180"/>
        <v>460.9487003598972</v>
      </c>
      <c r="EN169" s="59">
        <f t="shared" si="128"/>
        <v>754.28203369323046</v>
      </c>
      <c r="EO169" s="59">
        <f ca="1">AVERAGE(OFFSET($EN$3,0,0,'Données projet'!$E$15+1,1))-AVERAGE(OFFSET($H$3,0,0,'Données projet'!$E$15+1,1))</f>
        <v>238.83604534181978</v>
      </c>
      <c r="EP169" s="59">
        <f t="shared" si="154"/>
        <v>114.85152559837792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5.6843418860808015E-14</v>
      </c>
      <c r="FF169" s="17">
        <f>FE169*VLOOKUP('Données projet'!$B$16,Paramètres!$A$1:$I$89,3,0)*VLOOKUP('Données projet'!$B$16,Paramètres!$A$1:$I$89,5,0)</f>
        <v>4.6111381379887463E-14</v>
      </c>
      <c r="FG169" s="13">
        <f t="shared" si="182"/>
        <v>7.5804141040779151E-13</v>
      </c>
      <c r="FH169" s="20">
        <f t="shared" si="183"/>
        <v>1.4005661123635408E-12</v>
      </c>
      <c r="FI169" s="59">
        <f t="shared" si="131"/>
        <v>293.33333333333474</v>
      </c>
      <c r="FJ169" s="59">
        <f ca="1">AVERAGE(OFFSET($FI$3,0,0,'Données projet'!$E$16+1,1))-AVERAGE(OFFSET($H$3,0,0,'Données projet'!$E$16+1,1))</f>
        <v>196.95467273423861</v>
      </c>
      <c r="FK169" s="59">
        <f t="shared" si="156"/>
        <v>173.8709326829258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15.600298816802383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4.6844023621120312E-12</v>
      </c>
      <c r="FT169" s="22">
        <f t="shared" si="184"/>
        <v>15.600298816807067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5.6843418860808015E-14</v>
      </c>
      <c r="GA169" s="17">
        <f>FZ169*VLOOKUP('Données projet'!$B$17,Paramètres!$A$1:$I$89,3,0)*VLOOKUP('Données projet'!$B$17,Paramètres!$A$1:$I$89,5,0)</f>
        <v>6.1186256061773749E-14</v>
      </c>
      <c r="GB169" s="13">
        <f t="shared" si="185"/>
        <v>9.7328366192051127E-13</v>
      </c>
      <c r="GC169" s="20">
        <f t="shared" si="186"/>
        <v>1.8017017738191463E-12</v>
      </c>
      <c r="GD169" s="59">
        <f t="shared" si="134"/>
        <v>293.33333333333513</v>
      </c>
      <c r="GE169" s="59">
        <f ca="1">AVERAGE(OFFSET($GD$3,0,0,'Données projet'!$E$17+1,1))-AVERAGE(OFFSET($H$3,0,0,'Données projet'!$E$17+1,1))</f>
        <v>275.5229427552884</v>
      </c>
      <c r="GF169" s="59">
        <f t="shared" si="158"/>
        <v>241.20234081716143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20.70039650691087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6.2158415958794216E-12</v>
      </c>
      <c r="GO169" s="21">
        <f t="shared" si="187"/>
        <v>20.700396506917087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274.57619581652199</v>
      </c>
      <c r="T170" s="59">
        <f t="shared" si="142"/>
        <v>366.15117322598775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 t="e">
        <f>EXP(-LN(2)/35)*Z169+(1-EXP(-LN(2)/35))/(LN(2)/35)*V170*W170*VLOOKUP('Données projet'!$B$9,Paramètres!$A$1:$I$89,3,0)*0.475*44/12</f>
        <v>#VALUE!</v>
      </c>
      <c r="AA170" s="21" t="e">
        <f>EXP(-LN(2)/25)*AA169+(1-EXP(-LN(2)/25))/(LN(2)/25)*Calculateur!V170*Calculateur!X170*VLOOKUP('Données projet'!$B$9,Paramètres!$A$1:$I$89,3,0)*0.475*44/12</f>
        <v>#VALUE!</v>
      </c>
      <c r="AB170" s="21" t="e">
        <f>EXP(-LN(2)/2)*AB169+(1-EXP(-LN(2)/2))/(LN(2)/2)*V170*Y170*VLOOKUP('Données projet'!$B$9,Paramètres!$A$1:$I$89,3,0)*0.475*44/12</f>
        <v>#VALUE!</v>
      </c>
      <c r="AC170" s="22" t="e">
        <f t="shared" si="163"/>
        <v>#VALUE!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175.05987582828078</v>
      </c>
      <c r="AO170" s="59">
        <f t="shared" si="144"/>
        <v>268.54782308462387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20.224469967325248</v>
      </c>
      <c r="AV170" s="21">
        <f>EXP(-LN(2)/25)*AV169+(1-EXP(-LN(2)/25))/(LN(2)/25)*Calculateur!AQ170*Calculateur!AS170*VLOOKUP('Données projet'!$B$10,Paramètres!$A$1:$I$89,3,0)*0.475*44/12</f>
        <v>2.1694595452655006</v>
      </c>
      <c r="AW170" s="21">
        <f>EXP(-LN(2)/2)*AW169+(1-EXP(-LN(2)/2))/(LN(2)/2)*AQ170*AT170*VLOOKUP('Données projet'!$B$10,Paramètres!$A$1:$I$89,3,0)*0.475*44/12</f>
        <v>2.2341991192334193E-15</v>
      </c>
      <c r="AX170" s="21">
        <f t="shared" si="166"/>
        <v>22.393929512590752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252.70779718608964</v>
      </c>
      <c r="BJ170" s="59">
        <f t="shared" si="146"/>
        <v>187.86969111712705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63.113390773511597</v>
      </c>
      <c r="BQ170" s="21">
        <f>EXP(-LN(2)/25)*BQ169+(1-EXP(-LN(2)/25))/(LN(2)/25)*Calculateur!BL170*Calculateur!BN170*VLOOKUP('Données projet'!$B$11,Paramètres!$A$1:$I$89,3,0)*0.475*44/12</f>
        <v>8.4522662942735671</v>
      </c>
      <c r="BR170" s="21">
        <f>EXP(-LN(2)/2)*BR169+(1-EXP(-LN(2)/2))/(LN(2)/2)*BL170*BO170*VLOOKUP('Données projet'!$B$11,Paramètres!$A$1:$I$89,3,0)*0.475*44/12</f>
        <v>3.9274492229517973E-9</v>
      </c>
      <c r="BS170" s="22">
        <f t="shared" si="169"/>
        <v>71.565657071712621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-1.3596945791505279E-13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279.86432710889352</v>
      </c>
      <c r="CE170" s="59">
        <f t="shared" si="148"/>
        <v>297.01680128882509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15.245657831035061</v>
      </c>
      <c r="CL170" s="21">
        <f>EXP(-LN(2)/25)*CL169+(1-EXP(-LN(2)/25))/(LN(2)/25)*Calculateur!CG170*Calculateur!CI170*VLOOKUP('Données projet'!$B$12,Paramètres!$A$1:$I$89,3,0)*0.475*44/12</f>
        <v>5.6353373166971075</v>
      </c>
      <c r="CM170" s="21">
        <f>EXP(-LN(2)/2)*CM169+(1-EXP(-LN(2)/2))/(LN(2)/2)*CG170*CJ170*VLOOKUP('Données projet'!$B$12,Paramètres!$A$1:$I$89,3,0)*0.475*44/12</f>
        <v>3.388250758140427E-14</v>
      </c>
      <c r="CN170" s="22">
        <f t="shared" si="172"/>
        <v>20.880995147732204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-12.000000000000284</v>
      </c>
      <c r="CU170" s="17">
        <f>CT170*VLOOKUP('Données projet'!$B$13,Paramètres!$A$1:$I$89,3,0)*VLOOKUP('Données projet'!$B$13,Paramètres!$A$1:$I$89,5,0)</f>
        <v>-9.5472000000002257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314.6300257056194</v>
      </c>
      <c r="CZ170" s="59">
        <f t="shared" si="150"/>
        <v>298.00555477466668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25.368774552076474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25.368774552076474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-12.000000000000284</v>
      </c>
      <c r="DP170" s="17">
        <f>DO170*VLOOKUP('Données projet'!$B$14,Paramètres!$A$1:$I$89,3,0)*VLOOKUP('Données projet'!$B$14,Paramètres!$A$1:$I$89,5,0)</f>
        <v>-9.5472000000002257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314.6300257056194</v>
      </c>
      <c r="DU170" s="59">
        <f t="shared" si="152"/>
        <v>298.00555477466668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25.368774552076474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25.368774552076474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441.23846153846227</v>
      </c>
      <c r="EK170" s="17">
        <f>EJ170*VLOOKUP('Données projet'!$B$15,Paramètres!$A$1:$I$89,3,0)*VLOOKUP('Données projet'!$B$15,Paramètres!$A$1:$I$89,5,0)</f>
        <v>212.23570000000035</v>
      </c>
      <c r="EL170" s="13">
        <f t="shared" si="179"/>
        <v>52.423840876495639</v>
      </c>
      <c r="EM170" s="20">
        <f t="shared" si="180"/>
        <v>460.9487003598972</v>
      </c>
      <c r="EN170" s="59">
        <f t="shared" si="128"/>
        <v>754.28203369323046</v>
      </c>
      <c r="EO170" s="59">
        <f ca="1">AVERAGE(OFFSET($EN$3,0,0,'Données projet'!$E$15+1,1))-AVERAGE(OFFSET($H$3,0,0,'Données projet'!$E$15+1,1))</f>
        <v>238.83604534181978</v>
      </c>
      <c r="EP170" s="59">
        <f t="shared" si="154"/>
        <v>114.85152559837792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5.6843418860808015E-14</v>
      </c>
      <c r="FF170" s="17">
        <f>FE170*VLOOKUP('Données projet'!$B$16,Paramètres!$A$1:$I$89,3,0)*VLOOKUP('Données projet'!$B$16,Paramètres!$A$1:$I$89,5,0)</f>
        <v>4.6111381379887463E-14</v>
      </c>
      <c r="FG170" s="13">
        <f t="shared" si="182"/>
        <v>7.5804141040779151E-13</v>
      </c>
      <c r="FH170" s="20">
        <f t="shared" si="183"/>
        <v>1.4005661123635408E-12</v>
      </c>
      <c r="FI170" s="59">
        <f t="shared" si="131"/>
        <v>293.33333333333474</v>
      </c>
      <c r="FJ170" s="59">
        <f ca="1">AVERAGE(OFFSET($FI$3,0,0,'Données projet'!$E$16+1,1))-AVERAGE(OFFSET($H$3,0,0,'Données projet'!$E$16+1,1))</f>
        <v>196.95467273423861</v>
      </c>
      <c r="FK170" s="59">
        <f t="shared" si="156"/>
        <v>173.8709326829258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15.294386472247615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3.3123726760556984E-12</v>
      </c>
      <c r="FT170" s="22">
        <f t="shared" si="184"/>
        <v>15.294386472250928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5.6843418860808015E-14</v>
      </c>
      <c r="GA170" s="17">
        <f>FZ170*VLOOKUP('Données projet'!$B$17,Paramètres!$A$1:$I$89,3,0)*VLOOKUP('Données projet'!$B$17,Paramètres!$A$1:$I$89,5,0)</f>
        <v>6.1186256061773749E-14</v>
      </c>
      <c r="GB170" s="13">
        <f t="shared" si="185"/>
        <v>9.7328366192051127E-13</v>
      </c>
      <c r="GC170" s="20">
        <f t="shared" si="186"/>
        <v>1.8017017738191463E-12</v>
      </c>
      <c r="GD170" s="59">
        <f t="shared" si="134"/>
        <v>293.33333333333513</v>
      </c>
      <c r="GE170" s="59">
        <f ca="1">AVERAGE(OFFSET($GD$3,0,0,'Données projet'!$E$17+1,1))-AVERAGE(OFFSET($H$3,0,0,'Données projet'!$E$17+1,1))</f>
        <v>275.5229427552884</v>
      </c>
      <c r="GF170" s="59">
        <f t="shared" si="158"/>
        <v>241.20234081716143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20.294474357405505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4.3952637432277505E-12</v>
      </c>
      <c r="GO170" s="21">
        <f t="shared" si="187"/>
        <v>20.2944743574099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274.57619581652199</v>
      </c>
      <c r="T171" s="59">
        <f t="shared" si="142"/>
        <v>366.15117322598775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 t="e">
        <f>EXP(-LN(2)/35)*Z170+(1-EXP(-LN(2)/35))/(LN(2)/35)*V171*W171*VLOOKUP('Données projet'!$B$9,Paramètres!$A$1:$I$89,3,0)*0.475*44/12</f>
        <v>#VALUE!</v>
      </c>
      <c r="AA171" s="21" t="e">
        <f>EXP(-LN(2)/25)*AA170+(1-EXP(-LN(2)/25))/(LN(2)/25)*Calculateur!V171*Calculateur!X171*VLOOKUP('Données projet'!$B$9,Paramètres!$A$1:$I$89,3,0)*0.475*44/12</f>
        <v>#VALUE!</v>
      </c>
      <c r="AB171" s="21" t="e">
        <f>EXP(-LN(2)/2)*AB170+(1-EXP(-LN(2)/2))/(LN(2)/2)*V171*Y171*VLOOKUP('Données projet'!$B$9,Paramètres!$A$1:$I$89,3,0)*0.475*44/12</f>
        <v>#VALUE!</v>
      </c>
      <c r="AC171" s="22" t="e">
        <f t="shared" si="163"/>
        <v>#VALUE!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175.05987582828078</v>
      </c>
      <c r="AO171" s="59">
        <f t="shared" si="144"/>
        <v>268.54782308462387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19.827880446974632</v>
      </c>
      <c r="AV171" s="21">
        <f>EXP(-LN(2)/25)*AV170+(1-EXP(-LN(2)/25))/(LN(2)/25)*Calculateur!AQ171*Calculateur!AS171*VLOOKUP('Données projet'!$B$10,Paramètres!$A$1:$I$89,3,0)*0.475*44/12</f>
        <v>2.1101355599132963</v>
      </c>
      <c r="AW171" s="21">
        <f>EXP(-LN(2)/2)*AW170+(1-EXP(-LN(2)/2))/(LN(2)/2)*AQ171*AT171*VLOOKUP('Données projet'!$B$10,Paramètres!$A$1:$I$89,3,0)*0.475*44/12</f>
        <v>1.5798173477309627E-15</v>
      </c>
      <c r="AX171" s="21">
        <f t="shared" si="166"/>
        <v>21.938016006887928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252.70779718608964</v>
      </c>
      <c r="BJ171" s="59">
        <f t="shared" si="146"/>
        <v>187.86969111712705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61.875775675810303</v>
      </c>
      <c r="BQ171" s="21">
        <f>EXP(-LN(2)/25)*BQ170+(1-EXP(-LN(2)/25))/(LN(2)/25)*Calculateur!BL171*Calculateur!BN171*VLOOKUP('Données projet'!$B$11,Paramètres!$A$1:$I$89,3,0)*0.475*44/12</f>
        <v>8.2211386279712908</v>
      </c>
      <c r="BR171" s="21">
        <f>EXP(-LN(2)/2)*BR170+(1-EXP(-LN(2)/2))/(LN(2)/2)*BL171*BO171*VLOOKUP('Données projet'!$B$11,Paramètres!$A$1:$I$89,3,0)*0.475*44/12</f>
        <v>2.7771259783150527E-9</v>
      </c>
      <c r="BS171" s="22">
        <f t="shared" si="169"/>
        <v>70.096914306558716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-1.3596945791505279E-13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279.86432710889352</v>
      </c>
      <c r="CE171" s="59">
        <f t="shared" si="148"/>
        <v>297.01680128882509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14.946699779901547</v>
      </c>
      <c r="CL171" s="21">
        <f>EXP(-LN(2)/25)*CL170+(1-EXP(-LN(2)/25))/(LN(2)/25)*Calculateur!CG171*Calculateur!CI171*VLOOKUP('Données projet'!$B$12,Paramètres!$A$1:$I$89,3,0)*0.475*44/12</f>
        <v>5.4812387214225149</v>
      </c>
      <c r="CM171" s="21">
        <f>EXP(-LN(2)/2)*CM170+(1-EXP(-LN(2)/2))/(LN(2)/2)*CG171*CJ171*VLOOKUP('Données projet'!$B$12,Paramètres!$A$1:$I$89,3,0)*0.475*44/12</f>
        <v>2.3958550874415567E-14</v>
      </c>
      <c r="CN171" s="22">
        <f t="shared" si="172"/>
        <v>20.427938501324086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-12.000000000000284</v>
      </c>
      <c r="CU171" s="17">
        <f>CT171*VLOOKUP('Données projet'!$B$13,Paramètres!$A$1:$I$89,3,0)*VLOOKUP('Données projet'!$B$13,Paramètres!$A$1:$I$89,5,0)</f>
        <v>-9.5472000000002257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314.6300257056194</v>
      </c>
      <c r="CZ171" s="59">
        <f t="shared" si="150"/>
        <v>298.00555477466668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24.871308356534858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24.871308356534858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-12.000000000000284</v>
      </c>
      <c r="DP171" s="17">
        <f>DO171*VLOOKUP('Données projet'!$B$14,Paramètres!$A$1:$I$89,3,0)*VLOOKUP('Données projet'!$B$14,Paramètres!$A$1:$I$89,5,0)</f>
        <v>-9.5472000000002257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314.6300257056194</v>
      </c>
      <c r="DU171" s="59">
        <f t="shared" si="152"/>
        <v>298.00555477466668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24.871308356534858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24.871308356534858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441.23846153846227</v>
      </c>
      <c r="EK171" s="17">
        <f>EJ171*VLOOKUP('Données projet'!$B$15,Paramètres!$A$1:$I$89,3,0)*VLOOKUP('Données projet'!$B$15,Paramètres!$A$1:$I$89,5,0)</f>
        <v>212.23570000000035</v>
      </c>
      <c r="EL171" s="13">
        <f t="shared" si="179"/>
        <v>52.423840876495639</v>
      </c>
      <c r="EM171" s="20">
        <f t="shared" si="180"/>
        <v>460.9487003598972</v>
      </c>
      <c r="EN171" s="59">
        <f t="shared" si="128"/>
        <v>754.28203369323046</v>
      </c>
      <c r="EO171" s="59">
        <f ca="1">AVERAGE(OFFSET($EN$3,0,0,'Données projet'!$E$15+1,1))-AVERAGE(OFFSET($H$3,0,0,'Données projet'!$E$15+1,1))</f>
        <v>238.83604534181978</v>
      </c>
      <c r="EP171" s="59">
        <f t="shared" si="154"/>
        <v>114.85152559837792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5.6843418860808015E-14</v>
      </c>
      <c r="FF171" s="17">
        <f>FE171*VLOOKUP('Données projet'!$B$16,Paramètres!$A$1:$I$89,3,0)*VLOOKUP('Données projet'!$B$16,Paramètres!$A$1:$I$89,5,0)</f>
        <v>4.6111381379887463E-14</v>
      </c>
      <c r="FG171" s="13">
        <f t="shared" si="182"/>
        <v>7.5804141040779151E-13</v>
      </c>
      <c r="FH171" s="20">
        <f t="shared" si="183"/>
        <v>1.4005661123635408E-12</v>
      </c>
      <c r="FI171" s="59">
        <f t="shared" si="131"/>
        <v>293.33333333333474</v>
      </c>
      <c r="FJ171" s="59">
        <f ca="1">AVERAGE(OFFSET($FI$3,0,0,'Données projet'!$E$16+1,1))-AVERAGE(OFFSET($H$3,0,0,'Données projet'!$E$16+1,1))</f>
        <v>196.95467273423861</v>
      </c>
      <c r="FK171" s="59">
        <f t="shared" si="156"/>
        <v>173.8709326829258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14.994472882181459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2.3422011810560156E-12</v>
      </c>
      <c r="FT171" s="22">
        <f t="shared" si="184"/>
        <v>14.994472882183802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5.6843418860808015E-14</v>
      </c>
      <c r="GA171" s="17">
        <f>FZ171*VLOOKUP('Données projet'!$B$17,Paramètres!$A$1:$I$89,3,0)*VLOOKUP('Données projet'!$B$17,Paramètres!$A$1:$I$89,5,0)</f>
        <v>6.1186256061773749E-14</v>
      </c>
      <c r="GB171" s="13">
        <f t="shared" si="185"/>
        <v>9.7328366192051127E-13</v>
      </c>
      <c r="GC171" s="20">
        <f t="shared" si="186"/>
        <v>1.8017017738191463E-12</v>
      </c>
      <c r="GD171" s="59">
        <f t="shared" si="134"/>
        <v>293.33333333333513</v>
      </c>
      <c r="GE171" s="59">
        <f ca="1">AVERAGE(OFFSET($GD$3,0,0,'Données projet'!$E$17+1,1))-AVERAGE(OFFSET($H$3,0,0,'Données projet'!$E$17+1,1))</f>
        <v>275.5229427552884</v>
      </c>
      <c r="GF171" s="59">
        <f t="shared" si="158"/>
        <v>241.20234081716143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19.896512093663876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3.1079207979397108E-12</v>
      </c>
      <c r="GO171" s="21">
        <f t="shared" si="187"/>
        <v>19.896512093666985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274.57619581652199</v>
      </c>
      <c r="T172" s="59">
        <f t="shared" si="142"/>
        <v>366.15117322598775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 t="e">
        <f>EXP(-LN(2)/35)*Z171+(1-EXP(-LN(2)/35))/(LN(2)/35)*V172*W172*VLOOKUP('Données projet'!$B$9,Paramètres!$A$1:$I$89,3,0)*0.475*44/12</f>
        <v>#VALUE!</v>
      </c>
      <c r="AA172" s="21" t="e">
        <f>EXP(-LN(2)/25)*AA171+(1-EXP(-LN(2)/25))/(LN(2)/25)*Calculateur!V172*Calculateur!X172*VLOOKUP('Données projet'!$B$9,Paramètres!$A$1:$I$89,3,0)*0.475*44/12</f>
        <v>#VALUE!</v>
      </c>
      <c r="AB172" s="21" t="e">
        <f>EXP(-LN(2)/2)*AB171+(1-EXP(-LN(2)/2))/(LN(2)/2)*V172*Y172*VLOOKUP('Données projet'!$B$9,Paramètres!$A$1:$I$89,3,0)*0.475*44/12</f>
        <v>#VALUE!</v>
      </c>
      <c r="AC172" s="22" t="e">
        <f t="shared" si="163"/>
        <v>#VALUE!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175.05987582828078</v>
      </c>
      <c r="AO172" s="59">
        <f t="shared" si="144"/>
        <v>268.54782308462387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19.439067805222368</v>
      </c>
      <c r="AV172" s="21">
        <f>EXP(-LN(2)/25)*AV171+(1-EXP(-LN(2)/25))/(LN(2)/25)*Calculateur!AQ172*Calculateur!AS172*VLOOKUP('Données projet'!$B$10,Paramètres!$A$1:$I$89,3,0)*0.475*44/12</f>
        <v>2.0524337920602607</v>
      </c>
      <c r="AW172" s="21">
        <f>EXP(-LN(2)/2)*AW171+(1-EXP(-LN(2)/2))/(LN(2)/2)*AQ172*AT172*VLOOKUP('Données projet'!$B$10,Paramètres!$A$1:$I$89,3,0)*0.475*44/12</f>
        <v>1.1170995596167097E-15</v>
      </c>
      <c r="AX172" s="21">
        <f t="shared" si="166"/>
        <v>21.491501597282628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252.70779718608964</v>
      </c>
      <c r="BJ172" s="59">
        <f t="shared" si="146"/>
        <v>187.86969111712705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60.662429455304263</v>
      </c>
      <c r="BQ172" s="21">
        <f>EXP(-LN(2)/25)*BQ171+(1-EXP(-LN(2)/25))/(LN(2)/25)*Calculateur!BL172*Calculateur!BN172*VLOOKUP('Données projet'!$B$11,Paramètres!$A$1:$I$89,3,0)*0.475*44/12</f>
        <v>7.9963311598585252</v>
      </c>
      <c r="BR172" s="21">
        <f>EXP(-LN(2)/2)*BR171+(1-EXP(-LN(2)/2))/(LN(2)/2)*BL172*BO172*VLOOKUP('Données projet'!$B$11,Paramètres!$A$1:$I$89,3,0)*0.475*44/12</f>
        <v>1.9637246114758986E-9</v>
      </c>
      <c r="BS172" s="22">
        <f t="shared" si="169"/>
        <v>68.658760617126518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-1.3596945791505279E-13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279.86432710889352</v>
      </c>
      <c r="CE172" s="59">
        <f t="shared" si="148"/>
        <v>297.01680128882509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14.653604113804354</v>
      </c>
      <c r="CL172" s="21">
        <f>EXP(-LN(2)/25)*CL171+(1-EXP(-LN(2)/25))/(LN(2)/25)*Calculateur!CG172*Calculateur!CI172*VLOOKUP('Données projet'!$B$12,Paramètres!$A$1:$I$89,3,0)*0.475*44/12</f>
        <v>5.3313539603393991</v>
      </c>
      <c r="CM172" s="21">
        <f>EXP(-LN(2)/2)*CM171+(1-EXP(-LN(2)/2))/(LN(2)/2)*CG172*CJ172*VLOOKUP('Données projet'!$B$12,Paramètres!$A$1:$I$89,3,0)*0.475*44/12</f>
        <v>1.6941253790702135E-14</v>
      </c>
      <c r="CN172" s="22">
        <f t="shared" si="172"/>
        <v>19.984958074143773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-12.000000000000284</v>
      </c>
      <c r="CU172" s="17">
        <f>CT172*VLOOKUP('Données projet'!$B$13,Paramètres!$A$1:$I$89,3,0)*VLOOKUP('Données projet'!$B$13,Paramètres!$A$1:$I$89,5,0)</f>
        <v>-9.5472000000002257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314.6300257056194</v>
      </c>
      <c r="CZ172" s="59">
        <f t="shared" si="150"/>
        <v>298.00555477466668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24.383597169663393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24.383597169663393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-12.000000000000284</v>
      </c>
      <c r="DP172" s="17">
        <f>DO172*VLOOKUP('Données projet'!$B$14,Paramètres!$A$1:$I$89,3,0)*VLOOKUP('Données projet'!$B$14,Paramètres!$A$1:$I$89,5,0)</f>
        <v>-9.5472000000002257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314.6300257056194</v>
      </c>
      <c r="DU172" s="59">
        <f t="shared" si="152"/>
        <v>298.00555477466668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24.383597169663393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24.383597169663393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441.23846153846227</v>
      </c>
      <c r="EK172" s="17">
        <f>EJ172*VLOOKUP('Données projet'!$B$15,Paramètres!$A$1:$I$89,3,0)*VLOOKUP('Données projet'!$B$15,Paramètres!$A$1:$I$89,5,0)</f>
        <v>212.23570000000035</v>
      </c>
      <c r="EL172" s="13">
        <f t="shared" si="179"/>
        <v>52.423840876495639</v>
      </c>
      <c r="EM172" s="20">
        <f t="shared" si="180"/>
        <v>460.9487003598972</v>
      </c>
      <c r="EN172" s="59">
        <f t="shared" si="128"/>
        <v>754.28203369323046</v>
      </c>
      <c r="EO172" s="59">
        <f ca="1">AVERAGE(OFFSET($EN$3,0,0,'Données projet'!$E$15+1,1))-AVERAGE(OFFSET($H$3,0,0,'Données projet'!$E$15+1,1))</f>
        <v>238.83604534181978</v>
      </c>
      <c r="EP172" s="59">
        <f t="shared" si="154"/>
        <v>114.85152559837792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5.6843418860808015E-14</v>
      </c>
      <c r="FF172" s="17">
        <f>FE172*VLOOKUP('Données projet'!$B$16,Paramètres!$A$1:$I$89,3,0)*VLOOKUP('Données projet'!$B$16,Paramètres!$A$1:$I$89,5,0)</f>
        <v>4.6111381379887463E-14</v>
      </c>
      <c r="FG172" s="13">
        <f t="shared" si="182"/>
        <v>7.5804141040779151E-13</v>
      </c>
      <c r="FH172" s="20">
        <f t="shared" si="183"/>
        <v>1.4005661123635408E-12</v>
      </c>
      <c r="FI172" s="59">
        <f t="shared" si="131"/>
        <v>293.33333333333474</v>
      </c>
      <c r="FJ172" s="59">
        <f ca="1">AVERAGE(OFFSET($FI$3,0,0,'Données projet'!$E$16+1,1))-AVERAGE(OFFSET($H$3,0,0,'Données projet'!$E$16+1,1))</f>
        <v>196.95467273423861</v>
      </c>
      <c r="FK172" s="59">
        <f t="shared" si="156"/>
        <v>173.8709326829258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14.700440414687273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1.6561863380278492E-12</v>
      </c>
      <c r="FT172" s="22">
        <f t="shared" si="184"/>
        <v>14.700440414688929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5.6843418860808015E-14</v>
      </c>
      <c r="GA172" s="17">
        <f>FZ172*VLOOKUP('Données projet'!$B$17,Paramètres!$A$1:$I$89,3,0)*VLOOKUP('Données projet'!$B$17,Paramètres!$A$1:$I$89,5,0)</f>
        <v>6.1186256061773749E-14</v>
      </c>
      <c r="GB172" s="13">
        <f t="shared" si="185"/>
        <v>9.7328366192051127E-13</v>
      </c>
      <c r="GC172" s="20">
        <f t="shared" si="186"/>
        <v>1.8017017738191463E-12</v>
      </c>
      <c r="GD172" s="59">
        <f t="shared" si="134"/>
        <v>293.33333333333513</v>
      </c>
      <c r="GE172" s="59">
        <f ca="1">AVERAGE(OFFSET($GD$3,0,0,'Données projet'!$E$17+1,1))-AVERAGE(OFFSET($H$3,0,0,'Données projet'!$E$17+1,1))</f>
        <v>275.5229427552884</v>
      </c>
      <c r="GF172" s="59">
        <f t="shared" si="158"/>
        <v>241.20234081716143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19.506353627181205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2.1976318716138752E-12</v>
      </c>
      <c r="GO172" s="21">
        <f t="shared" si="187"/>
        <v>19.506353627183405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274.57619581652199</v>
      </c>
      <c r="T173" s="59">
        <f t="shared" si="142"/>
        <v>366.15117322598775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 t="e">
        <f>EXP(-LN(2)/35)*Z172+(1-EXP(-LN(2)/35))/(LN(2)/35)*V173*W173*VLOOKUP('Données projet'!$B$9,Paramètres!$A$1:$I$89,3,0)*0.475*44/12</f>
        <v>#VALUE!</v>
      </c>
      <c r="AA173" s="21" t="e">
        <f>EXP(-LN(2)/25)*AA172+(1-EXP(-LN(2)/25))/(LN(2)/25)*Calculateur!V173*Calculateur!X173*VLOOKUP('Données projet'!$B$9,Paramètres!$A$1:$I$89,3,0)*0.475*44/12</f>
        <v>#VALUE!</v>
      </c>
      <c r="AB173" s="21" t="e">
        <f>EXP(-LN(2)/2)*AB172+(1-EXP(-LN(2)/2))/(LN(2)/2)*V173*Y173*VLOOKUP('Données projet'!$B$9,Paramètres!$A$1:$I$89,3,0)*0.475*44/12</f>
        <v>#VALUE!</v>
      </c>
      <c r="AC173" s="22" t="e">
        <f t="shared" si="163"/>
        <v>#VALUE!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175.05987582828078</v>
      </c>
      <c r="AO173" s="59">
        <f t="shared" si="144"/>
        <v>268.54782308462387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19.057879542222572</v>
      </c>
      <c r="AV173" s="21">
        <f>EXP(-LN(2)/25)*AV172+(1-EXP(-LN(2)/25))/(LN(2)/25)*Calculateur!AQ173*Calculateur!AS173*VLOOKUP('Données projet'!$B$10,Paramètres!$A$1:$I$89,3,0)*0.475*44/12</f>
        <v>1.9963098820835705</v>
      </c>
      <c r="AW173" s="21">
        <f>EXP(-LN(2)/2)*AW172+(1-EXP(-LN(2)/2))/(LN(2)/2)*AQ173*AT173*VLOOKUP('Données projet'!$B$10,Paramètres!$A$1:$I$89,3,0)*0.475*44/12</f>
        <v>7.8990867386548134E-16</v>
      </c>
      <c r="AX173" s="21">
        <f t="shared" si="166"/>
        <v>21.054189424306141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252.70779718608964</v>
      </c>
      <c r="BJ173" s="59">
        <f t="shared" si="146"/>
        <v>187.86969111712705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59.472876214114223</v>
      </c>
      <c r="BQ173" s="21">
        <f>EXP(-LN(2)/25)*BQ172+(1-EXP(-LN(2)/25))/(LN(2)/25)*Calculateur!BL173*Calculateur!BN173*VLOOKUP('Données projet'!$B$11,Paramètres!$A$1:$I$89,3,0)*0.475*44/12</f>
        <v>7.7776710637834139</v>
      </c>
      <c r="BR173" s="21">
        <f>EXP(-LN(2)/2)*BR172+(1-EXP(-LN(2)/2))/(LN(2)/2)*BL173*BO173*VLOOKUP('Données projet'!$B$11,Paramètres!$A$1:$I$89,3,0)*0.475*44/12</f>
        <v>1.3885629891575264E-9</v>
      </c>
      <c r="BS173" s="22">
        <f t="shared" si="169"/>
        <v>67.250547279286195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-1.3596945791505279E-13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279.86432710889352</v>
      </c>
      <c r="CE173" s="59">
        <f t="shared" si="148"/>
        <v>297.01680128882509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14.366255874948624</v>
      </c>
      <c r="CL173" s="21">
        <f>EXP(-LN(2)/25)*CL172+(1-EXP(-LN(2)/25))/(LN(2)/25)*Calculateur!CG173*Calculateur!CI173*VLOOKUP('Données projet'!$B$12,Paramètres!$A$1:$I$89,3,0)*0.475*44/12</f>
        <v>5.1855678059301988</v>
      </c>
      <c r="CM173" s="21">
        <f>EXP(-LN(2)/2)*CM172+(1-EXP(-LN(2)/2))/(LN(2)/2)*CG173*CJ173*VLOOKUP('Données projet'!$B$12,Paramètres!$A$1:$I$89,3,0)*0.475*44/12</f>
        <v>1.1979275437207784E-14</v>
      </c>
      <c r="CN173" s="22">
        <f t="shared" si="172"/>
        <v>19.551823680878833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-12.000000000000284</v>
      </c>
      <c r="CU173" s="17">
        <f>CT173*VLOOKUP('Données projet'!$B$13,Paramètres!$A$1:$I$89,3,0)*VLOOKUP('Données projet'!$B$13,Paramètres!$A$1:$I$89,5,0)</f>
        <v>-9.5472000000002257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314.6300257056194</v>
      </c>
      <c r="CZ173" s="59">
        <f t="shared" si="150"/>
        <v>298.00555477466668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23.905449701692028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23.905449701692028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-12.000000000000284</v>
      </c>
      <c r="DP173" s="17">
        <f>DO173*VLOOKUP('Données projet'!$B$14,Paramètres!$A$1:$I$89,3,0)*VLOOKUP('Données projet'!$B$14,Paramètres!$A$1:$I$89,5,0)</f>
        <v>-9.5472000000002257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314.6300257056194</v>
      </c>
      <c r="DU173" s="59">
        <f t="shared" si="152"/>
        <v>298.00555477466668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23.905449701692028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23.905449701692028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441.23846153846227</v>
      </c>
      <c r="EK173" s="17">
        <f>EJ173*VLOOKUP('Données projet'!$B$15,Paramètres!$A$1:$I$89,3,0)*VLOOKUP('Données projet'!$B$15,Paramètres!$A$1:$I$89,5,0)</f>
        <v>212.23570000000035</v>
      </c>
      <c r="EL173" s="13">
        <f t="shared" si="179"/>
        <v>52.423840876495639</v>
      </c>
      <c r="EM173" s="20">
        <f t="shared" si="180"/>
        <v>460.9487003598972</v>
      </c>
      <c r="EN173" s="59">
        <f t="shared" si="128"/>
        <v>754.28203369323046</v>
      </c>
      <c r="EO173" s="59">
        <f ca="1">AVERAGE(OFFSET($EN$3,0,0,'Données projet'!$E$15+1,1))-AVERAGE(OFFSET($H$3,0,0,'Données projet'!$E$15+1,1))</f>
        <v>238.83604534181978</v>
      </c>
      <c r="EP173" s="59">
        <f t="shared" si="154"/>
        <v>114.85152559837792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5.6843418860808015E-14</v>
      </c>
      <c r="FF173" s="17">
        <f>FE173*VLOOKUP('Données projet'!$B$16,Paramètres!$A$1:$I$89,3,0)*VLOOKUP('Données projet'!$B$16,Paramètres!$A$1:$I$89,5,0)</f>
        <v>4.6111381379887463E-14</v>
      </c>
      <c r="FG173" s="13">
        <f t="shared" si="182"/>
        <v>7.5804141040779151E-13</v>
      </c>
      <c r="FH173" s="20">
        <f t="shared" si="183"/>
        <v>1.4005661123635408E-12</v>
      </c>
      <c r="FI173" s="59">
        <f t="shared" si="131"/>
        <v>293.33333333333474</v>
      </c>
      <c r="FJ173" s="59">
        <f ca="1">AVERAGE(OFFSET($FI$3,0,0,'Données projet'!$E$16+1,1))-AVERAGE(OFFSET($H$3,0,0,'Données projet'!$E$16+1,1))</f>
        <v>196.95467273423861</v>
      </c>
      <c r="FK173" s="59">
        <f t="shared" si="156"/>
        <v>173.8709326829258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14.412173744538553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1.1711005905280078E-12</v>
      </c>
      <c r="FT173" s="22">
        <f t="shared" si="184"/>
        <v>14.412173744539723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5.6843418860808015E-14</v>
      </c>
      <c r="GA173" s="17">
        <f>FZ173*VLOOKUP('Données projet'!$B$17,Paramètres!$A$1:$I$89,3,0)*VLOOKUP('Données projet'!$B$17,Paramètres!$A$1:$I$89,5,0)</f>
        <v>6.1186256061773749E-14</v>
      </c>
      <c r="GB173" s="13">
        <f t="shared" si="185"/>
        <v>9.7328366192051127E-13</v>
      </c>
      <c r="GC173" s="20">
        <f t="shared" si="186"/>
        <v>1.8017017738191463E-12</v>
      </c>
      <c r="GD173" s="59">
        <f t="shared" si="134"/>
        <v>293.33333333333513</v>
      </c>
      <c r="GE173" s="59">
        <f ca="1">AVERAGE(OFFSET($GD$3,0,0,'Données projet'!$E$17+1,1))-AVERAGE(OFFSET($H$3,0,0,'Données projet'!$E$17+1,1))</f>
        <v>275.5229427552884</v>
      </c>
      <c r="GF173" s="59">
        <f t="shared" si="158"/>
        <v>241.20234081716143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19.123845930253093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1.5539603989698554E-12</v>
      </c>
      <c r="GO173" s="21">
        <f t="shared" si="187"/>
        <v>19.123845930254646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274.57619581652199</v>
      </c>
      <c r="T174" s="59">
        <f t="shared" si="142"/>
        <v>366.15117322598775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 t="e">
        <f>EXP(-LN(2)/35)*Z173+(1-EXP(-LN(2)/35))/(LN(2)/35)*V174*W174*VLOOKUP('Données projet'!$B$9,Paramètres!$A$1:$I$89,3,0)*0.475*44/12</f>
        <v>#VALUE!</v>
      </c>
      <c r="AA174" s="21" t="e">
        <f>EXP(-LN(2)/25)*AA173+(1-EXP(-LN(2)/25))/(LN(2)/25)*Calculateur!V174*Calculateur!X174*VLOOKUP('Données projet'!$B$9,Paramètres!$A$1:$I$89,3,0)*0.475*44/12</f>
        <v>#VALUE!</v>
      </c>
      <c r="AB174" s="21" t="e">
        <f>EXP(-LN(2)/2)*AB173+(1-EXP(-LN(2)/2))/(LN(2)/2)*V174*Y174*VLOOKUP('Données projet'!$B$9,Paramètres!$A$1:$I$89,3,0)*0.475*44/12</f>
        <v>#VALUE!</v>
      </c>
      <c r="AC174" s="22" t="e">
        <f t="shared" si="163"/>
        <v>#VALUE!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175.05987582828078</v>
      </c>
      <c r="AO174" s="59">
        <f t="shared" si="144"/>
        <v>268.54782308462387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18.684166148558319</v>
      </c>
      <c r="AV174" s="21">
        <f>EXP(-LN(2)/25)*AV173+(1-EXP(-LN(2)/25))/(LN(2)/25)*Calculateur!AQ174*Calculateur!AS174*VLOOKUP('Données projet'!$B$10,Paramètres!$A$1:$I$89,3,0)*0.475*44/12</f>
        <v>1.9417206833766212</v>
      </c>
      <c r="AW174" s="21">
        <f>EXP(-LN(2)/2)*AW173+(1-EXP(-LN(2)/2))/(LN(2)/2)*AQ174*AT174*VLOOKUP('Données projet'!$B$10,Paramètres!$A$1:$I$89,3,0)*0.475*44/12</f>
        <v>5.5854977980835484E-16</v>
      </c>
      <c r="AX174" s="21">
        <f t="shared" si="166"/>
        <v>20.625886831934942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252.70779718608964</v>
      </c>
      <c r="BJ174" s="59">
        <f t="shared" si="146"/>
        <v>187.86969111712705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58.306649386428084</v>
      </c>
      <c r="BQ174" s="21">
        <f>EXP(-LN(2)/25)*BQ173+(1-EXP(-LN(2)/25))/(LN(2)/25)*Calculateur!BL174*Calculateur!BN174*VLOOKUP('Données projet'!$B$11,Paramètres!$A$1:$I$89,3,0)*0.475*44/12</f>
        <v>7.5649902395343114</v>
      </c>
      <c r="BR174" s="21">
        <f>EXP(-LN(2)/2)*BR173+(1-EXP(-LN(2)/2))/(LN(2)/2)*BL174*BO174*VLOOKUP('Données projet'!$B$11,Paramètres!$A$1:$I$89,3,0)*0.475*44/12</f>
        <v>9.8186230573794932E-10</v>
      </c>
      <c r="BS174" s="22">
        <f t="shared" si="169"/>
        <v>65.871639626944258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-1.3596945791505279E-13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279.86432710889352</v>
      </c>
      <c r="CE174" s="59">
        <f t="shared" si="148"/>
        <v>297.01680128882509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14.084542359791735</v>
      </c>
      <c r="CL174" s="21">
        <f>EXP(-LN(2)/25)*CL173+(1-EXP(-LN(2)/25))/(LN(2)/25)*Calculateur!CG174*Calculateur!CI174*VLOOKUP('Données projet'!$B$12,Paramètres!$A$1:$I$89,3,0)*0.475*44/12</f>
        <v>5.0437681815798783</v>
      </c>
      <c r="CM174" s="21">
        <f>EXP(-LN(2)/2)*CM173+(1-EXP(-LN(2)/2))/(LN(2)/2)*CG174*CJ174*VLOOKUP('Données projet'!$B$12,Paramètres!$A$1:$I$89,3,0)*0.475*44/12</f>
        <v>8.4706268953510675E-15</v>
      </c>
      <c r="CN174" s="22">
        <f t="shared" si="172"/>
        <v>19.128310541371619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-12.000000000000284</v>
      </c>
      <c r="CU174" s="17">
        <f>CT174*VLOOKUP('Données projet'!$B$13,Paramètres!$A$1:$I$89,3,0)*VLOOKUP('Données projet'!$B$13,Paramètres!$A$1:$I$89,5,0)</f>
        <v>-9.5472000000002257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314.6300257056194</v>
      </c>
      <c r="CZ174" s="59">
        <f t="shared" si="150"/>
        <v>298.00555477466668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23.436678413926423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23.436678413926423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-12.000000000000284</v>
      </c>
      <c r="DP174" s="17">
        <f>DO174*VLOOKUP('Données projet'!$B$14,Paramètres!$A$1:$I$89,3,0)*VLOOKUP('Données projet'!$B$14,Paramètres!$A$1:$I$89,5,0)</f>
        <v>-9.5472000000002257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314.6300257056194</v>
      </c>
      <c r="DU174" s="59">
        <f t="shared" si="152"/>
        <v>298.00555477466668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23.436678413926423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23.436678413926423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441.23846153846227</v>
      </c>
      <c r="EK174" s="17">
        <f>EJ174*VLOOKUP('Données projet'!$B$15,Paramètres!$A$1:$I$89,3,0)*VLOOKUP('Données projet'!$B$15,Paramètres!$A$1:$I$89,5,0)</f>
        <v>212.23570000000035</v>
      </c>
      <c r="EL174" s="13">
        <f t="shared" si="179"/>
        <v>52.423840876495639</v>
      </c>
      <c r="EM174" s="20">
        <f t="shared" si="180"/>
        <v>460.9487003598972</v>
      </c>
      <c r="EN174" s="59">
        <f t="shared" si="128"/>
        <v>754.28203369323046</v>
      </c>
      <c r="EO174" s="59">
        <f ca="1">AVERAGE(OFFSET($EN$3,0,0,'Données projet'!$E$15+1,1))-AVERAGE(OFFSET($H$3,0,0,'Données projet'!$E$15+1,1))</f>
        <v>238.83604534181978</v>
      </c>
      <c r="EP174" s="59">
        <f t="shared" si="154"/>
        <v>114.85152559837792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5.6843418860808015E-14</v>
      </c>
      <c r="FF174" s="17">
        <f>FE174*VLOOKUP('Données projet'!$B$16,Paramètres!$A$1:$I$89,3,0)*VLOOKUP('Données projet'!$B$16,Paramètres!$A$1:$I$89,5,0)</f>
        <v>4.6111381379887463E-14</v>
      </c>
      <c r="FG174" s="13">
        <f t="shared" si="182"/>
        <v>7.5804141040779151E-13</v>
      </c>
      <c r="FH174" s="20">
        <f t="shared" si="183"/>
        <v>1.4005661123635408E-12</v>
      </c>
      <c r="FI174" s="59">
        <f t="shared" si="131"/>
        <v>293.33333333333474</v>
      </c>
      <c r="FJ174" s="59">
        <f ca="1">AVERAGE(OFFSET($FI$3,0,0,'Données projet'!$E$16+1,1))-AVERAGE(OFFSET($H$3,0,0,'Données projet'!$E$16+1,1))</f>
        <v>196.95467273423861</v>
      </c>
      <c r="FK174" s="59">
        <f t="shared" si="156"/>
        <v>173.8709326829258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14.129559807966141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8.2809316901392461E-13</v>
      </c>
      <c r="FT174" s="22">
        <f t="shared" si="184"/>
        <v>14.129559807966968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5.6843418860808015E-14</v>
      </c>
      <c r="GA174" s="17">
        <f>FZ174*VLOOKUP('Données projet'!$B$17,Paramètres!$A$1:$I$89,3,0)*VLOOKUP('Données projet'!$B$17,Paramètres!$A$1:$I$89,5,0)</f>
        <v>6.1186256061773749E-14</v>
      </c>
      <c r="GB174" s="13">
        <f t="shared" si="185"/>
        <v>9.7328366192051127E-13</v>
      </c>
      <c r="GC174" s="20">
        <f t="shared" si="186"/>
        <v>1.8017017738191463E-12</v>
      </c>
      <c r="GD174" s="59">
        <f t="shared" si="134"/>
        <v>293.33333333333513</v>
      </c>
      <c r="GE174" s="59">
        <f ca="1">AVERAGE(OFFSET($GD$3,0,0,'Données projet'!$E$17+1,1))-AVERAGE(OFFSET($H$3,0,0,'Données projet'!$E$17+1,1))</f>
        <v>275.5229427552884</v>
      </c>
      <c r="GF174" s="59">
        <f t="shared" si="158"/>
        <v>241.20234081716143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18.748838975955085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1.0988159358069376E-12</v>
      </c>
      <c r="GO174" s="21">
        <f t="shared" si="187"/>
        <v>18.748838975956183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274.57619581652199</v>
      </c>
      <c r="T175" s="59">
        <f t="shared" si="142"/>
        <v>366.15117322598775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 t="e">
        <f>EXP(-LN(2)/35)*Z174+(1-EXP(-LN(2)/35))/(LN(2)/35)*V175*W175*VLOOKUP('Données projet'!$B$9,Paramètres!$A$1:$I$89,3,0)*0.475*44/12</f>
        <v>#VALUE!</v>
      </c>
      <c r="AA175" s="21" t="e">
        <f>EXP(-LN(2)/25)*AA174+(1-EXP(-LN(2)/25))/(LN(2)/25)*Calculateur!V175*Calculateur!X175*VLOOKUP('Données projet'!$B$9,Paramètres!$A$1:$I$89,3,0)*0.475*44/12</f>
        <v>#VALUE!</v>
      </c>
      <c r="AB175" s="21" t="e">
        <f>EXP(-LN(2)/2)*AB174+(1-EXP(-LN(2)/2))/(LN(2)/2)*V175*Y175*VLOOKUP('Données projet'!$B$9,Paramètres!$A$1:$I$89,3,0)*0.475*44/12</f>
        <v>#VALUE!</v>
      </c>
      <c r="AC175" s="22" t="e">
        <f t="shared" si="163"/>
        <v>#VALUE!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175.05987582828078</v>
      </c>
      <c r="AO175" s="59">
        <f t="shared" si="144"/>
        <v>268.54782308462387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18.317781046601159</v>
      </c>
      <c r="AV175" s="21">
        <f>EXP(-LN(2)/25)*AV174+(1-EXP(-LN(2)/25))/(LN(2)/25)*Calculateur!AQ175*Calculateur!AS175*VLOOKUP('Données projet'!$B$10,Paramètres!$A$1:$I$89,3,0)*0.475*44/12</f>
        <v>1.8886242291790345</v>
      </c>
      <c r="AW175" s="21">
        <f>EXP(-LN(2)/2)*AW174+(1-EXP(-LN(2)/2))/(LN(2)/2)*AQ175*AT175*VLOOKUP('Données projet'!$B$10,Paramètres!$A$1:$I$89,3,0)*0.475*44/12</f>
        <v>3.9495433693274067E-16</v>
      </c>
      <c r="AX175" s="21">
        <f t="shared" si="166"/>
        <v>20.206405275780192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252.70779718608964</v>
      </c>
      <c r="BJ175" s="59">
        <f t="shared" si="146"/>
        <v>187.86969111712705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57.163291555504749</v>
      </c>
      <c r="BQ175" s="21">
        <f>EXP(-LN(2)/25)*BQ174+(1-EXP(-LN(2)/25))/(LN(2)/25)*Calculateur!BL175*Calculateur!BN175*VLOOKUP('Données projet'!$B$11,Paramètres!$A$1:$I$89,3,0)*0.475*44/12</f>
        <v>7.3581251836086992</v>
      </c>
      <c r="BR175" s="21">
        <f>EXP(-LN(2)/2)*BR174+(1-EXP(-LN(2)/2))/(LN(2)/2)*BL175*BO175*VLOOKUP('Données projet'!$B$11,Paramètres!$A$1:$I$89,3,0)*0.475*44/12</f>
        <v>6.9428149457876318E-10</v>
      </c>
      <c r="BS175" s="22">
        <f t="shared" si="169"/>
        <v>64.521416739807734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-1.3596945791505279E-13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279.86432710889352</v>
      </c>
      <c r="CE175" s="59">
        <f t="shared" si="148"/>
        <v>297.01680128882509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13.808353074838795</v>
      </c>
      <c r="CL175" s="21">
        <f>EXP(-LN(2)/25)*CL174+(1-EXP(-LN(2)/25))/(LN(2)/25)*Calculateur!CG175*Calculateur!CI175*VLOOKUP('Données projet'!$B$12,Paramètres!$A$1:$I$89,3,0)*0.475*44/12</f>
        <v>4.9058460754143356</v>
      </c>
      <c r="CM175" s="21">
        <f>EXP(-LN(2)/2)*CM174+(1-EXP(-LN(2)/2))/(LN(2)/2)*CG175*CJ175*VLOOKUP('Données projet'!$B$12,Paramètres!$A$1:$I$89,3,0)*0.475*44/12</f>
        <v>5.9896377186038918E-15</v>
      </c>
      <c r="CN175" s="22">
        <f t="shared" si="172"/>
        <v>18.714199150253137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-12.000000000000284</v>
      </c>
      <c r="CU175" s="17">
        <f>CT175*VLOOKUP('Données projet'!$B$13,Paramètres!$A$1:$I$89,3,0)*VLOOKUP('Données projet'!$B$13,Paramètres!$A$1:$I$89,5,0)</f>
        <v>-9.5472000000002257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314.6300257056194</v>
      </c>
      <c r="CZ175" s="59">
        <f t="shared" si="150"/>
        <v>298.00555477466668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22.977099445191648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22.977099445191648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-12.000000000000284</v>
      </c>
      <c r="DP175" s="17">
        <f>DO175*VLOOKUP('Données projet'!$B$14,Paramètres!$A$1:$I$89,3,0)*VLOOKUP('Données projet'!$B$14,Paramètres!$A$1:$I$89,5,0)</f>
        <v>-9.5472000000002257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314.6300257056194</v>
      </c>
      <c r="DU175" s="59">
        <f t="shared" si="152"/>
        <v>298.00555477466668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22.977099445191648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22.977099445191648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441.23846153846227</v>
      </c>
      <c r="EK175" s="17">
        <f>EJ175*VLOOKUP('Données projet'!$B$15,Paramètres!$A$1:$I$89,3,0)*VLOOKUP('Données projet'!$B$15,Paramètres!$A$1:$I$89,5,0)</f>
        <v>212.23570000000035</v>
      </c>
      <c r="EL175" s="13">
        <f t="shared" si="179"/>
        <v>52.423840876495639</v>
      </c>
      <c r="EM175" s="20">
        <f t="shared" si="180"/>
        <v>460.9487003598972</v>
      </c>
      <c r="EN175" s="59">
        <f t="shared" si="128"/>
        <v>754.28203369323046</v>
      </c>
      <c r="EO175" s="59">
        <f ca="1">AVERAGE(OFFSET($EN$3,0,0,'Données projet'!$E$15+1,1))-AVERAGE(OFFSET($H$3,0,0,'Données projet'!$E$15+1,1))</f>
        <v>238.83604534181978</v>
      </c>
      <c r="EP175" s="59">
        <f t="shared" si="154"/>
        <v>114.85152559837792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5.6843418860808015E-14</v>
      </c>
      <c r="FF175" s="17">
        <f>FE175*VLOOKUP('Données projet'!$B$16,Paramètres!$A$1:$I$89,3,0)*VLOOKUP('Données projet'!$B$16,Paramètres!$A$1:$I$89,5,0)</f>
        <v>4.6111381379887463E-14</v>
      </c>
      <c r="FG175" s="13">
        <f t="shared" si="182"/>
        <v>7.5804141040779151E-13</v>
      </c>
      <c r="FH175" s="20">
        <f t="shared" si="183"/>
        <v>1.4005661123635408E-12</v>
      </c>
      <c r="FI175" s="59">
        <f t="shared" si="131"/>
        <v>293.33333333333474</v>
      </c>
      <c r="FJ175" s="59">
        <f ca="1">AVERAGE(OFFSET($FI$3,0,0,'Données projet'!$E$16+1,1))-AVERAGE(OFFSET($H$3,0,0,'Données projet'!$E$16+1,1))</f>
        <v>196.95467273423861</v>
      </c>
      <c r="FK175" s="59">
        <f t="shared" si="156"/>
        <v>173.8709326829258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13.852487758312433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5.8555029526400389E-13</v>
      </c>
      <c r="FT175" s="22">
        <f t="shared" si="184"/>
        <v>13.852487758313019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5.6843418860808015E-14</v>
      </c>
      <c r="GA175" s="17">
        <f>FZ175*VLOOKUP('Données projet'!$B$17,Paramètres!$A$1:$I$89,3,0)*VLOOKUP('Données projet'!$B$17,Paramètres!$A$1:$I$89,5,0)</f>
        <v>6.1186256061773749E-14</v>
      </c>
      <c r="GB175" s="13">
        <f t="shared" si="185"/>
        <v>9.7328366192051127E-13</v>
      </c>
      <c r="GC175" s="20">
        <f t="shared" si="186"/>
        <v>1.8017017738191463E-12</v>
      </c>
      <c r="GD175" s="59">
        <f t="shared" si="134"/>
        <v>293.33333333333513</v>
      </c>
      <c r="GE175" s="59">
        <f ca="1">AVERAGE(OFFSET($GD$3,0,0,'Données projet'!$E$17+1,1))-AVERAGE(OFFSET($H$3,0,0,'Données projet'!$E$17+1,1))</f>
        <v>275.5229427552884</v>
      </c>
      <c r="GF175" s="59">
        <f t="shared" si="158"/>
        <v>241.20234081716143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18.381185679299204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7.769801994849277E-13</v>
      </c>
      <c r="GO175" s="21">
        <f t="shared" si="187"/>
        <v>18.381185679299982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274.57619581652199</v>
      </c>
      <c r="T176" s="59">
        <f t="shared" si="142"/>
        <v>366.15117322598775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 t="e">
        <f>EXP(-LN(2)/35)*Z175+(1-EXP(-LN(2)/35))/(LN(2)/35)*V176*W176*VLOOKUP('Données projet'!$B$9,Paramètres!$A$1:$I$89,3,0)*0.475*44/12</f>
        <v>#VALUE!</v>
      </c>
      <c r="AA176" s="21" t="e">
        <f>EXP(-LN(2)/25)*AA175+(1-EXP(-LN(2)/25))/(LN(2)/25)*Calculateur!V176*Calculateur!X176*VLOOKUP('Données projet'!$B$9,Paramètres!$A$1:$I$89,3,0)*0.475*44/12</f>
        <v>#VALUE!</v>
      </c>
      <c r="AB176" s="21" t="e">
        <f>EXP(-LN(2)/2)*AB175+(1-EXP(-LN(2)/2))/(LN(2)/2)*V176*Y176*VLOOKUP('Données projet'!$B$9,Paramètres!$A$1:$I$89,3,0)*0.475*44/12</f>
        <v>#VALUE!</v>
      </c>
      <c r="AC176" s="22" t="e">
        <f t="shared" si="163"/>
        <v>#VALUE!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175.05987582828078</v>
      </c>
      <c r="AO176" s="59">
        <f t="shared" si="144"/>
        <v>268.54782308462387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17.95858053302053</v>
      </c>
      <c r="AV176" s="21">
        <f>EXP(-LN(2)/25)*AV175+(1-EXP(-LN(2)/25))/(LN(2)/25)*Calculateur!AQ176*Calculateur!AS176*VLOOKUP('Données projet'!$B$10,Paramètres!$A$1:$I$89,3,0)*0.475*44/12</f>
        <v>1.8369797003137021</v>
      </c>
      <c r="AW176" s="21">
        <f>EXP(-LN(2)/2)*AW175+(1-EXP(-LN(2)/2))/(LN(2)/2)*AQ176*AT176*VLOOKUP('Données projet'!$B$10,Paramètres!$A$1:$I$89,3,0)*0.475*44/12</f>
        <v>2.7927488990417742E-16</v>
      </c>
      <c r="AX176" s="21">
        <f t="shared" si="166"/>
        <v>19.795560233334232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252.70779718608964</v>
      </c>
      <c r="BJ176" s="59">
        <f t="shared" si="146"/>
        <v>187.86969111712705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56.042354274266401</v>
      </c>
      <c r="BQ176" s="21">
        <f>EXP(-LN(2)/25)*BQ175+(1-EXP(-LN(2)/25))/(LN(2)/25)*Calculateur!BL176*Calculateur!BN176*VLOOKUP('Données projet'!$B$11,Paramètres!$A$1:$I$89,3,0)*0.475*44/12</f>
        <v>7.1569168635159333</v>
      </c>
      <c r="BR176" s="21">
        <f>EXP(-LN(2)/2)*BR175+(1-EXP(-LN(2)/2))/(LN(2)/2)*BL176*BO176*VLOOKUP('Données projet'!$B$11,Paramètres!$A$1:$I$89,3,0)*0.475*44/12</f>
        <v>4.9093115286897466E-10</v>
      </c>
      <c r="BS176" s="22">
        <f t="shared" si="169"/>
        <v>63.199271138273261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-1.3596945791505279E-13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279.86432710889352</v>
      </c>
      <c r="CE176" s="59">
        <f t="shared" si="148"/>
        <v>297.01680128882509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13.537579693304952</v>
      </c>
      <c r="CL176" s="21">
        <f>EXP(-LN(2)/25)*CL175+(1-EXP(-LN(2)/25))/(LN(2)/25)*Calculateur!CG176*Calculateur!CI176*VLOOKUP('Données projet'!$B$12,Paramètres!$A$1:$I$89,3,0)*0.475*44/12</f>
        <v>4.7716954564948981</v>
      </c>
      <c r="CM176" s="21">
        <f>EXP(-LN(2)/2)*CM175+(1-EXP(-LN(2)/2))/(LN(2)/2)*CG176*CJ176*VLOOKUP('Données projet'!$B$12,Paramètres!$A$1:$I$89,3,0)*0.475*44/12</f>
        <v>4.2353134476755337E-15</v>
      </c>
      <c r="CN176" s="22">
        <f t="shared" si="172"/>
        <v>18.309275149799856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-12.000000000000284</v>
      </c>
      <c r="CU176" s="17">
        <f>CT176*VLOOKUP('Données projet'!$B$13,Paramètres!$A$1:$I$89,3,0)*VLOOKUP('Données projet'!$B$13,Paramètres!$A$1:$I$89,5,0)</f>
        <v>-9.5472000000002257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314.6300257056194</v>
      </c>
      <c r="CZ176" s="59">
        <f t="shared" si="150"/>
        <v>298.00555477466668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22.526532539718271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22.526532539718271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-12.000000000000284</v>
      </c>
      <c r="DP176" s="17">
        <f>DO176*VLOOKUP('Données projet'!$B$14,Paramètres!$A$1:$I$89,3,0)*VLOOKUP('Données projet'!$B$14,Paramètres!$A$1:$I$89,5,0)</f>
        <v>-9.5472000000002257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314.6300257056194</v>
      </c>
      <c r="DU176" s="59">
        <f t="shared" si="152"/>
        <v>298.00555477466668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22.526532539718271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22.526532539718271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441.23846153846227</v>
      </c>
      <c r="EK176" s="17">
        <f>EJ176*VLOOKUP('Données projet'!$B$15,Paramètres!$A$1:$I$89,3,0)*VLOOKUP('Données projet'!$B$15,Paramètres!$A$1:$I$89,5,0)</f>
        <v>212.23570000000035</v>
      </c>
      <c r="EL176" s="13">
        <f t="shared" si="179"/>
        <v>52.423840876495639</v>
      </c>
      <c r="EM176" s="20">
        <f t="shared" si="180"/>
        <v>460.9487003598972</v>
      </c>
      <c r="EN176" s="59">
        <f t="shared" si="128"/>
        <v>754.28203369323046</v>
      </c>
      <c r="EO176" s="59">
        <f ca="1">AVERAGE(OFFSET($EN$3,0,0,'Données projet'!$E$15+1,1))-AVERAGE(OFFSET($H$3,0,0,'Données projet'!$E$15+1,1))</f>
        <v>238.83604534181978</v>
      </c>
      <c r="EP176" s="59">
        <f t="shared" si="154"/>
        <v>114.85152559837792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5.6843418860808015E-14</v>
      </c>
      <c r="FF176" s="17">
        <f>FE176*VLOOKUP('Données projet'!$B$16,Paramètres!$A$1:$I$89,3,0)*VLOOKUP('Données projet'!$B$16,Paramètres!$A$1:$I$89,5,0)</f>
        <v>4.6111381379887463E-14</v>
      </c>
      <c r="FG176" s="13">
        <f t="shared" si="182"/>
        <v>7.5804141040779151E-13</v>
      </c>
      <c r="FH176" s="20">
        <f t="shared" si="183"/>
        <v>1.4005661123635408E-12</v>
      </c>
      <c r="FI176" s="59">
        <f t="shared" si="131"/>
        <v>293.33333333333474</v>
      </c>
      <c r="FJ176" s="59">
        <f ca="1">AVERAGE(OFFSET($FI$3,0,0,'Données projet'!$E$16+1,1))-AVERAGE(OFFSET($H$3,0,0,'Données projet'!$E$16+1,1))</f>
        <v>196.95467273423861</v>
      </c>
      <c r="FK176" s="59">
        <f t="shared" si="156"/>
        <v>173.8709326829258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13.580848922555171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4.140465845069623E-13</v>
      </c>
      <c r="FT176" s="22">
        <f t="shared" si="184"/>
        <v>13.580848922555585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5.6843418860808015E-14</v>
      </c>
      <c r="GA176" s="17">
        <f>FZ176*VLOOKUP('Données projet'!$B$17,Paramètres!$A$1:$I$89,3,0)*VLOOKUP('Données projet'!$B$17,Paramètres!$A$1:$I$89,5,0)</f>
        <v>6.1186256061773749E-14</v>
      </c>
      <c r="GB176" s="13">
        <f t="shared" si="185"/>
        <v>9.7328366192051127E-13</v>
      </c>
      <c r="GC176" s="20">
        <f t="shared" si="186"/>
        <v>1.8017017738191463E-12</v>
      </c>
      <c r="GD176" s="59">
        <f t="shared" si="134"/>
        <v>293.33333333333513</v>
      </c>
      <c r="GE176" s="59">
        <f ca="1">AVERAGE(OFFSET($GD$3,0,0,'Données projet'!$E$17+1,1))-AVERAGE(OFFSET($H$3,0,0,'Données projet'!$E$17+1,1))</f>
        <v>275.5229427552884</v>
      </c>
      <c r="GF176" s="59">
        <f t="shared" si="158"/>
        <v>241.20234081716143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18.020741839544375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5.4940796790346881E-13</v>
      </c>
      <c r="GO176" s="21">
        <f t="shared" si="187"/>
        <v>18.020741839544925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274.57619581652199</v>
      </c>
      <c r="T177" s="59">
        <f t="shared" si="142"/>
        <v>366.15117322598775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 t="e">
        <f>EXP(-LN(2)/35)*Z176+(1-EXP(-LN(2)/35))/(LN(2)/35)*V177*W177*VLOOKUP('Données projet'!$B$9,Paramètres!$A$1:$I$89,3,0)*0.475*44/12</f>
        <v>#VALUE!</v>
      </c>
      <c r="AA177" s="21" t="e">
        <f>EXP(-LN(2)/25)*AA176+(1-EXP(-LN(2)/25))/(LN(2)/25)*Calculateur!V177*Calculateur!X177*VLOOKUP('Données projet'!$B$9,Paramètres!$A$1:$I$89,3,0)*0.475*44/12</f>
        <v>#VALUE!</v>
      </c>
      <c r="AB177" s="21" t="e">
        <f>EXP(-LN(2)/2)*AB176+(1-EXP(-LN(2)/2))/(LN(2)/2)*V177*Y177*VLOOKUP('Données projet'!$B$9,Paramètres!$A$1:$I$89,3,0)*0.475*44/12</f>
        <v>#VALUE!</v>
      </c>
      <c r="AC177" s="22" t="e">
        <f t="shared" si="163"/>
        <v>#VALUE!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175.05987582828078</v>
      </c>
      <c r="AO177" s="59">
        <f t="shared" si="144"/>
        <v>268.54782308462387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17.606423722420541</v>
      </c>
      <c r="AV177" s="21">
        <f>EXP(-LN(2)/25)*AV176+(1-EXP(-LN(2)/25))/(LN(2)/25)*Calculateur!AQ177*Calculateur!AS177*VLOOKUP('Données projet'!$B$10,Paramètres!$A$1:$I$89,3,0)*0.475*44/12</f>
        <v>1.7867473938060598</v>
      </c>
      <c r="AW177" s="21">
        <f>EXP(-LN(2)/2)*AW176+(1-EXP(-LN(2)/2))/(LN(2)/2)*AQ177*AT177*VLOOKUP('Données projet'!$B$10,Paramètres!$A$1:$I$89,3,0)*0.475*44/12</f>
        <v>1.9747716846637034E-16</v>
      </c>
      <c r="AX177" s="21">
        <f t="shared" si="166"/>
        <v>19.393171116226601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252.70779718608964</v>
      </c>
      <c r="BJ177" s="59">
        <f t="shared" si="146"/>
        <v>187.86969111712705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54.943397889408907</v>
      </c>
      <c r="BQ177" s="21">
        <f>EXP(-LN(2)/25)*BQ176+(1-EXP(-LN(2)/25))/(LN(2)/25)*Calculateur!BL177*Calculateur!BN177*VLOOKUP('Données projet'!$B$11,Paramètres!$A$1:$I$89,3,0)*0.475*44/12</f>
        <v>6.9612105955171897</v>
      </c>
      <c r="BR177" s="21">
        <f>EXP(-LN(2)/2)*BR176+(1-EXP(-LN(2)/2))/(LN(2)/2)*BL177*BO177*VLOOKUP('Données projet'!$B$11,Paramètres!$A$1:$I$89,3,0)*0.475*44/12</f>
        <v>3.4714074728938159E-10</v>
      </c>
      <c r="BS177" s="22">
        <f t="shared" si="169"/>
        <v>61.904608485273236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-1.3596945791505279E-13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279.86432710889352</v>
      </c>
      <c r="CE177" s="59">
        <f t="shared" si="148"/>
        <v>297.01680128882509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13.272116012627533</v>
      </c>
      <c r="CL177" s="21">
        <f>EXP(-LN(2)/25)*CL176+(1-EXP(-LN(2)/25))/(LN(2)/25)*Calculateur!CG177*Calculateur!CI177*VLOOKUP('Données projet'!$B$12,Paramètres!$A$1:$I$89,3,0)*0.475*44/12</f>
        <v>4.6412131933044867</v>
      </c>
      <c r="CM177" s="21">
        <f>EXP(-LN(2)/2)*CM176+(1-EXP(-LN(2)/2))/(LN(2)/2)*CG177*CJ177*VLOOKUP('Données projet'!$B$12,Paramètres!$A$1:$I$89,3,0)*0.475*44/12</f>
        <v>2.9948188593019459E-15</v>
      </c>
      <c r="CN177" s="22">
        <f t="shared" si="172"/>
        <v>17.913329205932023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-12.000000000000284</v>
      </c>
      <c r="CU177" s="17">
        <f>CT177*VLOOKUP('Données projet'!$B$13,Paramètres!$A$1:$I$89,3,0)*VLOOKUP('Données projet'!$B$13,Paramètres!$A$1:$I$89,5,0)</f>
        <v>-9.5472000000002257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314.6300257056194</v>
      </c>
      <c r="CZ177" s="59">
        <f t="shared" si="150"/>
        <v>298.00555477466668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22.084800976442551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22.084800976442551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-12.000000000000284</v>
      </c>
      <c r="DP177" s="17">
        <f>DO177*VLOOKUP('Données projet'!$B$14,Paramètres!$A$1:$I$89,3,0)*VLOOKUP('Données projet'!$B$14,Paramètres!$A$1:$I$89,5,0)</f>
        <v>-9.5472000000002257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314.6300257056194</v>
      </c>
      <c r="DU177" s="59">
        <f t="shared" si="152"/>
        <v>298.00555477466668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22.084800976442551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22.084800976442551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441.23846153846227</v>
      </c>
      <c r="EK177" s="17">
        <f>EJ177*VLOOKUP('Données projet'!$B$15,Paramètres!$A$1:$I$89,3,0)*VLOOKUP('Données projet'!$B$15,Paramètres!$A$1:$I$89,5,0)</f>
        <v>212.23570000000035</v>
      </c>
      <c r="EL177" s="13">
        <f t="shared" si="179"/>
        <v>52.423840876495639</v>
      </c>
      <c r="EM177" s="20">
        <f t="shared" si="180"/>
        <v>460.9487003598972</v>
      </c>
      <c r="EN177" s="59">
        <f t="shared" si="128"/>
        <v>754.28203369323046</v>
      </c>
      <c r="EO177" s="59">
        <f ca="1">AVERAGE(OFFSET($EN$3,0,0,'Données projet'!$E$15+1,1))-AVERAGE(OFFSET($H$3,0,0,'Données projet'!$E$15+1,1))</f>
        <v>238.83604534181978</v>
      </c>
      <c r="EP177" s="59">
        <f t="shared" si="154"/>
        <v>114.85152559837792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5.6843418860808015E-14</v>
      </c>
      <c r="FF177" s="17">
        <f>FE177*VLOOKUP('Données projet'!$B$16,Paramètres!$A$1:$I$89,3,0)*VLOOKUP('Données projet'!$B$16,Paramètres!$A$1:$I$89,5,0)</f>
        <v>4.6111381379887463E-14</v>
      </c>
      <c r="FG177" s="13">
        <f t="shared" si="182"/>
        <v>7.5804141040779151E-13</v>
      </c>
      <c r="FH177" s="20">
        <f t="shared" si="183"/>
        <v>1.4005661123635408E-12</v>
      </c>
      <c r="FI177" s="59">
        <f t="shared" si="131"/>
        <v>293.33333333333474</v>
      </c>
      <c r="FJ177" s="59">
        <f ca="1">AVERAGE(OFFSET($FI$3,0,0,'Données projet'!$E$16+1,1))-AVERAGE(OFFSET($H$3,0,0,'Données projet'!$E$16+1,1))</f>
        <v>196.95467273423861</v>
      </c>
      <c r="FK177" s="59">
        <f t="shared" si="156"/>
        <v>173.8709326829258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13.314536758683779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2.9277514763200195E-13</v>
      </c>
      <c r="FT177" s="22">
        <f t="shared" si="184"/>
        <v>13.314536758684072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5.6843418860808015E-14</v>
      </c>
      <c r="GA177" s="17">
        <f>FZ177*VLOOKUP('Données projet'!$B$17,Paramètres!$A$1:$I$89,3,0)*VLOOKUP('Données projet'!$B$17,Paramètres!$A$1:$I$89,5,0)</f>
        <v>6.1186256061773749E-14</v>
      </c>
      <c r="GB177" s="13">
        <f t="shared" si="185"/>
        <v>9.7328366192051127E-13</v>
      </c>
      <c r="GC177" s="20">
        <f t="shared" si="186"/>
        <v>1.8017017738191463E-12</v>
      </c>
      <c r="GD177" s="59">
        <f t="shared" si="134"/>
        <v>293.33333333333513</v>
      </c>
      <c r="GE177" s="59">
        <f ca="1">AVERAGE(OFFSET($GD$3,0,0,'Données projet'!$E$17+1,1))-AVERAGE(OFFSET($H$3,0,0,'Données projet'!$E$17+1,1))</f>
        <v>275.5229427552884</v>
      </c>
      <c r="GF177" s="59">
        <f t="shared" si="158"/>
        <v>241.20234081716143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17.667366083638104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3.8849009974246385E-13</v>
      </c>
      <c r="GO177" s="21">
        <f t="shared" si="187"/>
        <v>17.667366083638491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274.57619581652199</v>
      </c>
      <c r="T178" s="59">
        <f t="shared" si="142"/>
        <v>366.15117322598775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 t="e">
        <f>EXP(-LN(2)/35)*Z177+(1-EXP(-LN(2)/35))/(LN(2)/35)*V178*W178*VLOOKUP('Données projet'!$B$9,Paramètres!$A$1:$I$89,3,0)*0.475*44/12</f>
        <v>#VALUE!</v>
      </c>
      <c r="AA178" s="21" t="e">
        <f>EXP(-LN(2)/25)*AA177+(1-EXP(-LN(2)/25))/(LN(2)/25)*Calculateur!V178*Calculateur!X178*VLOOKUP('Données projet'!$B$9,Paramètres!$A$1:$I$89,3,0)*0.475*44/12</f>
        <v>#VALUE!</v>
      </c>
      <c r="AB178" s="21" t="e">
        <f>EXP(-LN(2)/2)*AB177+(1-EXP(-LN(2)/2))/(LN(2)/2)*V178*Y178*VLOOKUP('Données projet'!$B$9,Paramètres!$A$1:$I$89,3,0)*0.475*44/12</f>
        <v>#VALUE!</v>
      </c>
      <c r="AC178" s="22" t="e">
        <f t="shared" si="163"/>
        <v>#VALUE!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175.05987582828078</v>
      </c>
      <c r="AO178" s="59">
        <f t="shared" si="144"/>
        <v>268.54782308462387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17.261172492081972</v>
      </c>
      <c r="AV178" s="21">
        <f>EXP(-LN(2)/25)*AV177+(1-EXP(-LN(2)/25))/(LN(2)/25)*Calculateur!AQ178*Calculateur!AS178*VLOOKUP('Données projet'!$B$10,Paramètres!$A$1:$I$89,3,0)*0.475*44/12</f>
        <v>1.7378886923614714</v>
      </c>
      <c r="AW178" s="21">
        <f>EXP(-LN(2)/2)*AW177+(1-EXP(-LN(2)/2))/(LN(2)/2)*AQ178*AT178*VLOOKUP('Données projet'!$B$10,Paramètres!$A$1:$I$89,3,0)*0.475*44/12</f>
        <v>1.3963744495208871E-16</v>
      </c>
      <c r="AX178" s="21">
        <f t="shared" si="166"/>
        <v>18.999061184443445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252.70779718608964</v>
      </c>
      <c r="BJ178" s="59">
        <f t="shared" si="146"/>
        <v>187.86969111712705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53.865991368961261</v>
      </c>
      <c r="BQ178" s="21">
        <f>EXP(-LN(2)/25)*BQ177+(1-EXP(-LN(2)/25))/(LN(2)/25)*Calculateur!BL178*Calculateur!BN178*VLOOKUP('Données projet'!$B$11,Paramètres!$A$1:$I$89,3,0)*0.475*44/12</f>
        <v>6.7708559257086174</v>
      </c>
      <c r="BR178" s="21">
        <f>EXP(-LN(2)/2)*BR177+(1-EXP(-LN(2)/2))/(LN(2)/2)*BL178*BO178*VLOOKUP('Données projet'!$B$11,Paramètres!$A$1:$I$89,3,0)*0.475*44/12</f>
        <v>2.4546557643448733E-10</v>
      </c>
      <c r="BS178" s="22">
        <f t="shared" si="169"/>
        <v>60.636847294915341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-1.3596945791505279E-13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279.86432710889352</v>
      </c>
      <c r="CE178" s="59">
        <f t="shared" si="148"/>
        <v>297.01680128882509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13.011857912811342</v>
      </c>
      <c r="CL178" s="21">
        <f>EXP(-LN(2)/25)*CL177+(1-EXP(-LN(2)/25))/(LN(2)/25)*Calculateur!CG178*Calculateur!CI178*VLOOKUP('Données projet'!$B$12,Paramètres!$A$1:$I$89,3,0)*0.475*44/12</f>
        <v>4.5142989744627817</v>
      </c>
      <c r="CM178" s="21">
        <f>EXP(-LN(2)/2)*CM177+(1-EXP(-LN(2)/2))/(LN(2)/2)*CG178*CJ178*VLOOKUP('Données projet'!$B$12,Paramètres!$A$1:$I$89,3,0)*0.475*44/12</f>
        <v>2.1176567238377669E-15</v>
      </c>
      <c r="CN178" s="22">
        <f t="shared" si="172"/>
        <v>17.526156887274126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-12.000000000000284</v>
      </c>
      <c r="CU178" s="17">
        <f>CT178*VLOOKUP('Données projet'!$B$13,Paramètres!$A$1:$I$89,3,0)*VLOOKUP('Données projet'!$B$13,Paramètres!$A$1:$I$89,5,0)</f>
        <v>-9.5472000000002257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314.6300257056194</v>
      </c>
      <c r="CZ178" s="59">
        <f t="shared" si="150"/>
        <v>298.00555477466668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21.651731499693017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21.651731499693017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-12.000000000000284</v>
      </c>
      <c r="DP178" s="17">
        <f>DO178*VLOOKUP('Données projet'!$B$14,Paramètres!$A$1:$I$89,3,0)*VLOOKUP('Données projet'!$B$14,Paramètres!$A$1:$I$89,5,0)</f>
        <v>-9.5472000000002257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314.6300257056194</v>
      </c>
      <c r="DU178" s="59">
        <f t="shared" si="152"/>
        <v>298.00555477466668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21.651731499693017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21.651731499693017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441.23846153846227</v>
      </c>
      <c r="EK178" s="17">
        <f>EJ178*VLOOKUP('Données projet'!$B$15,Paramètres!$A$1:$I$89,3,0)*VLOOKUP('Données projet'!$B$15,Paramètres!$A$1:$I$89,5,0)</f>
        <v>212.23570000000035</v>
      </c>
      <c r="EL178" s="13">
        <f t="shared" si="179"/>
        <v>52.423840876495639</v>
      </c>
      <c r="EM178" s="20">
        <f t="shared" si="180"/>
        <v>460.9487003598972</v>
      </c>
      <c r="EN178" s="59">
        <f t="shared" si="128"/>
        <v>754.28203369323046</v>
      </c>
      <c r="EO178" s="59">
        <f ca="1">AVERAGE(OFFSET($EN$3,0,0,'Données projet'!$E$15+1,1))-AVERAGE(OFFSET($H$3,0,0,'Données projet'!$E$15+1,1))</f>
        <v>238.83604534181978</v>
      </c>
      <c r="EP178" s="59">
        <f t="shared" si="154"/>
        <v>114.85152559837792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5.6843418860808015E-14</v>
      </c>
      <c r="FF178" s="17">
        <f>FE178*VLOOKUP('Données projet'!$B$16,Paramètres!$A$1:$I$89,3,0)*VLOOKUP('Données projet'!$B$16,Paramètres!$A$1:$I$89,5,0)</f>
        <v>4.6111381379887463E-14</v>
      </c>
      <c r="FG178" s="13">
        <f t="shared" si="182"/>
        <v>7.5804141040779151E-13</v>
      </c>
      <c r="FH178" s="20">
        <f t="shared" si="183"/>
        <v>1.4005661123635408E-12</v>
      </c>
      <c r="FI178" s="59">
        <f t="shared" si="131"/>
        <v>293.33333333333474</v>
      </c>
      <c r="FJ178" s="59">
        <f ca="1">AVERAGE(OFFSET($FI$3,0,0,'Données projet'!$E$16+1,1))-AVERAGE(OFFSET($H$3,0,0,'Données projet'!$E$16+1,1))</f>
        <v>196.95467273423861</v>
      </c>
      <c r="FK178" s="59">
        <f t="shared" si="156"/>
        <v>173.8709326829258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13.053446813911524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2.0702329225348115E-13</v>
      </c>
      <c r="FT178" s="22">
        <f t="shared" si="184"/>
        <v>13.053446813911732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5.6843418860808015E-14</v>
      </c>
      <c r="GA178" s="17">
        <f>FZ178*VLOOKUP('Données projet'!$B$17,Paramètres!$A$1:$I$89,3,0)*VLOOKUP('Données projet'!$B$17,Paramètres!$A$1:$I$89,5,0)</f>
        <v>6.1186256061773749E-14</v>
      </c>
      <c r="GB178" s="13">
        <f t="shared" si="185"/>
        <v>9.7328366192051127E-13</v>
      </c>
      <c r="GC178" s="20">
        <f t="shared" si="186"/>
        <v>1.8017017738191463E-12</v>
      </c>
      <c r="GD178" s="59">
        <f t="shared" si="134"/>
        <v>293.33333333333513</v>
      </c>
      <c r="GE178" s="59">
        <f ca="1">AVERAGE(OFFSET($GD$3,0,0,'Données projet'!$E$17+1,1))-AVERAGE(OFFSET($H$3,0,0,'Données projet'!$E$17+1,1))</f>
        <v>275.5229427552884</v>
      </c>
      <c r="GF178" s="59">
        <f t="shared" si="158"/>
        <v>241.20234081716143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17.320919810767226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2.7470398395173441E-13</v>
      </c>
      <c r="GO178" s="21">
        <f t="shared" si="187"/>
        <v>17.320919810767499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274.57619581652199</v>
      </c>
      <c r="T179" s="59">
        <f t="shared" si="142"/>
        <v>366.15117322598775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 t="e">
        <f>EXP(-LN(2)/35)*Z178+(1-EXP(-LN(2)/35))/(LN(2)/35)*V179*W179*VLOOKUP('Données projet'!$B$9,Paramètres!$A$1:$I$89,3,0)*0.475*44/12</f>
        <v>#VALUE!</v>
      </c>
      <c r="AA179" s="21" t="e">
        <f>EXP(-LN(2)/25)*AA178+(1-EXP(-LN(2)/25))/(LN(2)/25)*Calculateur!V179*Calculateur!X179*VLOOKUP('Données projet'!$B$9,Paramètres!$A$1:$I$89,3,0)*0.475*44/12</f>
        <v>#VALUE!</v>
      </c>
      <c r="AB179" s="21" t="e">
        <f>EXP(-LN(2)/2)*AB178+(1-EXP(-LN(2)/2))/(LN(2)/2)*V179*Y179*VLOOKUP('Données projet'!$B$9,Paramètres!$A$1:$I$89,3,0)*0.475*44/12</f>
        <v>#VALUE!</v>
      </c>
      <c r="AC179" s="22" t="e">
        <f t="shared" si="163"/>
        <v>#VALUE!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175.05987582828078</v>
      </c>
      <c r="AO179" s="59">
        <f t="shared" si="144"/>
        <v>268.54782308462387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16.922691427787882</v>
      </c>
      <c r="AV179" s="21">
        <f>EXP(-LN(2)/25)*AV178+(1-EXP(-LN(2)/25))/(LN(2)/25)*Calculateur!AQ179*Calculateur!AS179*VLOOKUP('Données projet'!$B$10,Paramètres!$A$1:$I$89,3,0)*0.475*44/12</f>
        <v>1.6903660346772527</v>
      </c>
      <c r="AW179" s="21">
        <f>EXP(-LN(2)/2)*AW178+(1-EXP(-LN(2)/2))/(LN(2)/2)*AQ179*AT179*VLOOKUP('Données projet'!$B$10,Paramètres!$A$1:$I$89,3,0)*0.475*44/12</f>
        <v>9.8738584233185168E-17</v>
      </c>
      <c r="AX179" s="21">
        <f t="shared" si="166"/>
        <v>18.613057462465136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252.70779718608964</v>
      </c>
      <c r="BJ179" s="59">
        <f t="shared" si="146"/>
        <v>187.86969111712705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52.809712133226505</v>
      </c>
      <c r="BQ179" s="21">
        <f>EXP(-LN(2)/25)*BQ178+(1-EXP(-LN(2)/25))/(LN(2)/25)*Calculateur!BL179*Calculateur!BN179*VLOOKUP('Données projet'!$B$11,Paramètres!$A$1:$I$89,3,0)*0.475*44/12</f>
        <v>6.5857065143562767</v>
      </c>
      <c r="BR179" s="21">
        <f>EXP(-LN(2)/2)*BR178+(1-EXP(-LN(2)/2))/(LN(2)/2)*BL179*BO179*VLOOKUP('Données projet'!$B$11,Paramètres!$A$1:$I$89,3,0)*0.475*44/12</f>
        <v>1.735703736446908E-10</v>
      </c>
      <c r="BS179" s="22">
        <f t="shared" si="169"/>
        <v>59.395418647756351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-1.3596945791505279E-13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279.86432710889352</v>
      </c>
      <c r="CE179" s="59">
        <f t="shared" si="148"/>
        <v>297.01680128882509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12.756703315590778</v>
      </c>
      <c r="CL179" s="21">
        <f>EXP(-LN(2)/25)*CL178+(1-EXP(-LN(2)/25))/(LN(2)/25)*Calculateur!CG179*Calculateur!CI179*VLOOKUP('Données projet'!$B$12,Paramètres!$A$1:$I$89,3,0)*0.475*44/12</f>
        <v>4.3908552316094314</v>
      </c>
      <c r="CM179" s="21">
        <f>EXP(-LN(2)/2)*CM178+(1-EXP(-LN(2)/2))/(LN(2)/2)*CG179*CJ179*VLOOKUP('Données projet'!$B$12,Paramètres!$A$1:$I$89,3,0)*0.475*44/12</f>
        <v>1.4974094296509729E-15</v>
      </c>
      <c r="CN179" s="22">
        <f t="shared" si="172"/>
        <v>17.147558547200209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-12.000000000000284</v>
      </c>
      <c r="CU179" s="17">
        <f>CT179*VLOOKUP('Données projet'!$B$13,Paramètres!$A$1:$I$89,3,0)*VLOOKUP('Données projet'!$B$13,Paramètres!$A$1:$I$89,5,0)</f>
        <v>-9.5472000000002257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314.6300257056194</v>
      </c>
      <c r="CZ179" s="59">
        <f t="shared" si="150"/>
        <v>298.00555477466668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21.227154251236243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21.227154251236243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-12.000000000000284</v>
      </c>
      <c r="DP179" s="17">
        <f>DO179*VLOOKUP('Données projet'!$B$14,Paramètres!$A$1:$I$89,3,0)*VLOOKUP('Données projet'!$B$14,Paramètres!$A$1:$I$89,5,0)</f>
        <v>-9.5472000000002257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314.6300257056194</v>
      </c>
      <c r="DU179" s="59">
        <f t="shared" si="152"/>
        <v>298.00555477466668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21.227154251236243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21.227154251236243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441.23846153846227</v>
      </c>
      <c r="EK179" s="17">
        <f>EJ179*VLOOKUP('Données projet'!$B$15,Paramètres!$A$1:$I$89,3,0)*VLOOKUP('Données projet'!$B$15,Paramètres!$A$1:$I$89,5,0)</f>
        <v>212.23570000000035</v>
      </c>
      <c r="EL179" s="13">
        <f t="shared" si="179"/>
        <v>52.423840876495639</v>
      </c>
      <c r="EM179" s="20">
        <f t="shared" si="180"/>
        <v>460.9487003598972</v>
      </c>
      <c r="EN179" s="59">
        <f t="shared" si="128"/>
        <v>754.28203369323046</v>
      </c>
      <c r="EO179" s="59">
        <f ca="1">AVERAGE(OFFSET($EN$3,0,0,'Données projet'!$E$15+1,1))-AVERAGE(OFFSET($H$3,0,0,'Données projet'!$E$15+1,1))</f>
        <v>238.83604534181978</v>
      </c>
      <c r="EP179" s="59">
        <f t="shared" si="154"/>
        <v>114.85152559837792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5.6843418860808015E-14</v>
      </c>
      <c r="FF179" s="17">
        <f>FE179*VLOOKUP('Données projet'!$B$16,Paramètres!$A$1:$I$89,3,0)*VLOOKUP('Données projet'!$B$16,Paramètres!$A$1:$I$89,5,0)</f>
        <v>4.6111381379887463E-14</v>
      </c>
      <c r="FG179" s="13">
        <f t="shared" si="182"/>
        <v>7.5804141040779151E-13</v>
      </c>
      <c r="FH179" s="20">
        <f t="shared" si="183"/>
        <v>1.4005661123635408E-12</v>
      </c>
      <c r="FI179" s="59">
        <f t="shared" si="131"/>
        <v>293.33333333333474</v>
      </c>
      <c r="FJ179" s="59">
        <f ca="1">AVERAGE(OFFSET($FI$3,0,0,'Données projet'!$E$16+1,1))-AVERAGE(OFFSET($H$3,0,0,'Données projet'!$E$16+1,1))</f>
        <v>196.95467273423861</v>
      </c>
      <c r="FK179" s="59">
        <f t="shared" si="156"/>
        <v>173.8709326829258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12.797476683707112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1.4638757381600097E-13</v>
      </c>
      <c r="FT179" s="22">
        <f t="shared" si="184"/>
        <v>12.797476683707258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5.6843418860808015E-14</v>
      </c>
      <c r="GA179" s="17">
        <f>FZ179*VLOOKUP('Données projet'!$B$17,Paramètres!$A$1:$I$89,3,0)*VLOOKUP('Données projet'!$B$17,Paramètres!$A$1:$I$89,5,0)</f>
        <v>6.1186256061773749E-14</v>
      </c>
      <c r="GB179" s="13">
        <f t="shared" si="185"/>
        <v>9.7328366192051127E-13</v>
      </c>
      <c r="GC179" s="20">
        <f t="shared" si="186"/>
        <v>1.8017017738191463E-12</v>
      </c>
      <c r="GD179" s="59">
        <f t="shared" si="134"/>
        <v>293.33333333333513</v>
      </c>
      <c r="GE179" s="59">
        <f ca="1">AVERAGE(OFFSET($GD$3,0,0,'Données projet'!$E$17+1,1))-AVERAGE(OFFSET($H$3,0,0,'Données projet'!$E$17+1,1))</f>
        <v>275.5229427552884</v>
      </c>
      <c r="GF179" s="59">
        <f t="shared" si="158"/>
        <v>241.20234081716143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16.981267137995985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1.9424504987123193E-13</v>
      </c>
      <c r="GO179" s="21">
        <f t="shared" si="187"/>
        <v>16.981267137996181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274.57619581652199</v>
      </c>
      <c r="T180" s="59">
        <f t="shared" si="142"/>
        <v>366.15117322598775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 t="e">
        <f>EXP(-LN(2)/35)*Z179+(1-EXP(-LN(2)/35))/(LN(2)/35)*V180*W180*VLOOKUP('Données projet'!$B$9,Paramètres!$A$1:$I$89,3,0)*0.475*44/12</f>
        <v>#VALUE!</v>
      </c>
      <c r="AA180" s="21" t="e">
        <f>EXP(-LN(2)/25)*AA179+(1-EXP(-LN(2)/25))/(LN(2)/25)*Calculateur!V180*Calculateur!X180*VLOOKUP('Données projet'!$B$9,Paramètres!$A$1:$I$89,3,0)*0.475*44/12</f>
        <v>#VALUE!</v>
      </c>
      <c r="AB180" s="21" t="e">
        <f>EXP(-LN(2)/2)*AB179+(1-EXP(-LN(2)/2))/(LN(2)/2)*V180*Y180*VLOOKUP('Données projet'!$B$9,Paramètres!$A$1:$I$89,3,0)*0.475*44/12</f>
        <v>#VALUE!</v>
      </c>
      <c r="AC180" s="22" t="e">
        <f t="shared" si="163"/>
        <v>#VALUE!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175.05987582828078</v>
      </c>
      <c r="AO180" s="59">
        <f t="shared" si="144"/>
        <v>268.54782308462387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16.590847770711537</v>
      </c>
      <c r="AV180" s="21">
        <f>EXP(-LN(2)/25)*AV179+(1-EXP(-LN(2)/25))/(LN(2)/25)*Calculateur!AQ180*Calculateur!AS180*VLOOKUP('Données projet'!$B$10,Paramètres!$A$1:$I$89,3,0)*0.475*44/12</f>
        <v>1.6441428865665169</v>
      </c>
      <c r="AW180" s="21">
        <f>EXP(-LN(2)/2)*AW179+(1-EXP(-LN(2)/2))/(LN(2)/2)*AQ180*AT180*VLOOKUP('Données projet'!$B$10,Paramètres!$A$1:$I$89,3,0)*0.475*44/12</f>
        <v>6.9818722476044355E-17</v>
      </c>
      <c r="AX180" s="21">
        <f t="shared" si="166"/>
        <v>18.234990657278054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252.70779718608964</v>
      </c>
      <c r="BJ180" s="59">
        <f t="shared" si="146"/>
        <v>187.86969111712705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51.77414588903779</v>
      </c>
      <c r="BQ180" s="21">
        <f>EXP(-LN(2)/25)*BQ179+(1-EXP(-LN(2)/25))/(LN(2)/25)*Calculateur!BL180*Calculateur!BN180*VLOOKUP('Données projet'!$B$11,Paramètres!$A$1:$I$89,3,0)*0.475*44/12</f>
        <v>6.4056200233939506</v>
      </c>
      <c r="BR180" s="21">
        <f>EXP(-LN(2)/2)*BR179+(1-EXP(-LN(2)/2))/(LN(2)/2)*BL180*BO180*VLOOKUP('Données projet'!$B$11,Paramètres!$A$1:$I$89,3,0)*0.475*44/12</f>
        <v>1.2273278821724367E-10</v>
      </c>
      <c r="BS180" s="22">
        <f t="shared" si="169"/>
        <v>58.179765912554473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-1.3596945791505279E-13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279.86432710889352</v>
      </c>
      <c r="CE180" s="59">
        <f t="shared" si="148"/>
        <v>297.01680128882509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12.506552144392774</v>
      </c>
      <c r="CL180" s="21">
        <f>EXP(-LN(2)/25)*CL179+(1-EXP(-LN(2)/25))/(LN(2)/25)*Calculateur!CG180*Calculateur!CI180*VLOOKUP('Données projet'!$B$12,Paramètres!$A$1:$I$89,3,0)*0.475*44/12</f>
        <v>4.2707870643960302</v>
      </c>
      <c r="CM180" s="21">
        <f>EXP(-LN(2)/2)*CM179+(1-EXP(-LN(2)/2))/(LN(2)/2)*CG180*CJ180*VLOOKUP('Données projet'!$B$12,Paramètres!$A$1:$I$89,3,0)*0.475*44/12</f>
        <v>1.0588283619188834E-15</v>
      </c>
      <c r="CN180" s="22">
        <f t="shared" si="172"/>
        <v>16.777339208788803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-12.000000000000284</v>
      </c>
      <c r="CU180" s="17">
        <f>CT180*VLOOKUP('Données projet'!$B$13,Paramètres!$A$1:$I$89,3,0)*VLOOKUP('Données projet'!$B$13,Paramètres!$A$1:$I$89,5,0)</f>
        <v>-9.5472000000002257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314.6300257056194</v>
      </c>
      <c r="CZ180" s="59">
        <f t="shared" si="150"/>
        <v>298.00555477466668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20.810902703655156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20.810902703655156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-12.000000000000284</v>
      </c>
      <c r="DP180" s="17">
        <f>DO180*VLOOKUP('Données projet'!$B$14,Paramètres!$A$1:$I$89,3,0)*VLOOKUP('Données projet'!$B$14,Paramètres!$A$1:$I$89,5,0)</f>
        <v>-9.5472000000002257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314.6300257056194</v>
      </c>
      <c r="DU180" s="59">
        <f t="shared" si="152"/>
        <v>298.00555477466668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20.810902703655156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20.810902703655156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441.23846153846227</v>
      </c>
      <c r="EK180" s="17">
        <f>EJ180*VLOOKUP('Données projet'!$B$15,Paramètres!$A$1:$I$89,3,0)*VLOOKUP('Données projet'!$B$15,Paramètres!$A$1:$I$89,5,0)</f>
        <v>212.23570000000035</v>
      </c>
      <c r="EL180" s="13">
        <f t="shared" si="179"/>
        <v>52.423840876495639</v>
      </c>
      <c r="EM180" s="20">
        <f t="shared" si="180"/>
        <v>460.9487003598972</v>
      </c>
      <c r="EN180" s="59">
        <f t="shared" si="128"/>
        <v>754.28203369323046</v>
      </c>
      <c r="EO180" s="59">
        <f ca="1">AVERAGE(OFFSET($EN$3,0,0,'Données projet'!$E$15+1,1))-AVERAGE(OFFSET($H$3,0,0,'Données projet'!$E$15+1,1))</f>
        <v>238.83604534181978</v>
      </c>
      <c r="EP180" s="59">
        <f t="shared" si="154"/>
        <v>114.85152559837792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5.6843418860808015E-14</v>
      </c>
      <c r="FF180" s="17">
        <f>FE180*VLOOKUP('Données projet'!$B$16,Paramètres!$A$1:$I$89,3,0)*VLOOKUP('Données projet'!$B$16,Paramètres!$A$1:$I$89,5,0)</f>
        <v>4.6111381379887463E-14</v>
      </c>
      <c r="FG180" s="13">
        <f t="shared" si="182"/>
        <v>7.5804141040779151E-13</v>
      </c>
      <c r="FH180" s="20">
        <f t="shared" si="183"/>
        <v>1.4005661123635408E-12</v>
      </c>
      <c r="FI180" s="59">
        <f t="shared" si="131"/>
        <v>293.33333333333474</v>
      </c>
      <c r="FJ180" s="59">
        <f ca="1">AVERAGE(OFFSET($FI$3,0,0,'Données projet'!$E$16+1,1))-AVERAGE(OFFSET($H$3,0,0,'Données projet'!$E$16+1,1))</f>
        <v>196.95467273423861</v>
      </c>
      <c r="FK180" s="59">
        <f t="shared" si="156"/>
        <v>173.8709326829258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12.546525971629645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1.0351164612674058E-13</v>
      </c>
      <c r="FT180" s="22">
        <f t="shared" si="184"/>
        <v>12.546525971629748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5.6843418860808015E-14</v>
      </c>
      <c r="GA180" s="17">
        <f>FZ180*VLOOKUP('Données projet'!$B$17,Paramètres!$A$1:$I$89,3,0)*VLOOKUP('Données projet'!$B$17,Paramètres!$A$1:$I$89,5,0)</f>
        <v>6.1186256061773749E-14</v>
      </c>
      <c r="GB180" s="13">
        <f t="shared" si="185"/>
        <v>9.7328366192051127E-13</v>
      </c>
      <c r="GC180" s="20">
        <f t="shared" si="186"/>
        <v>1.8017017738191463E-12</v>
      </c>
      <c r="GD180" s="59">
        <f t="shared" si="134"/>
        <v>293.33333333333513</v>
      </c>
      <c r="GE180" s="59">
        <f ca="1">AVERAGE(OFFSET($GD$3,0,0,'Données projet'!$E$17+1,1))-AVERAGE(OFFSET($H$3,0,0,'Données projet'!$E$17+1,1))</f>
        <v>275.5229427552884</v>
      </c>
      <c r="GF180" s="59">
        <f t="shared" si="158"/>
        <v>241.20234081716143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16.648274846970114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1.373519919758672E-13</v>
      </c>
      <c r="GO180" s="21">
        <f t="shared" si="187"/>
        <v>16.648274846970253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274.57619581652199</v>
      </c>
      <c r="T181" s="59">
        <f t="shared" si="142"/>
        <v>366.15117322598775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 t="e">
        <f>EXP(-LN(2)/35)*Z180+(1-EXP(-LN(2)/35))/(LN(2)/35)*V181*W181*VLOOKUP('Données projet'!$B$9,Paramètres!$A$1:$I$89,3,0)*0.475*44/12</f>
        <v>#VALUE!</v>
      </c>
      <c r="AA181" s="21" t="e">
        <f>EXP(-LN(2)/25)*AA180+(1-EXP(-LN(2)/25))/(LN(2)/25)*Calculateur!V181*Calculateur!X181*VLOOKUP('Données projet'!$B$9,Paramètres!$A$1:$I$89,3,0)*0.475*44/12</f>
        <v>#VALUE!</v>
      </c>
      <c r="AB181" s="21" t="e">
        <f>EXP(-LN(2)/2)*AB180+(1-EXP(-LN(2)/2))/(LN(2)/2)*V181*Y181*VLOOKUP('Données projet'!$B$9,Paramètres!$A$1:$I$89,3,0)*0.475*44/12</f>
        <v>#VALUE!</v>
      </c>
      <c r="AC181" s="22" t="e">
        <f t="shared" si="163"/>
        <v>#VALUE!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175.05987582828078</v>
      </c>
      <c r="AO181" s="59">
        <f t="shared" si="144"/>
        <v>268.54782308462387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16.265511365345816</v>
      </c>
      <c r="AV181" s="21">
        <f>EXP(-LN(2)/25)*AV180+(1-EXP(-LN(2)/25))/(LN(2)/25)*Calculateur!AQ181*Calculateur!AS181*VLOOKUP('Données projet'!$B$10,Paramètres!$A$1:$I$89,3,0)*0.475*44/12</f>
        <v>1.5991837128716389</v>
      </c>
      <c r="AW181" s="21">
        <f>EXP(-LN(2)/2)*AW180+(1-EXP(-LN(2)/2))/(LN(2)/2)*AQ181*AT181*VLOOKUP('Données projet'!$B$10,Paramètres!$A$1:$I$89,3,0)*0.475*44/12</f>
        <v>4.9369292116592584E-17</v>
      </c>
      <c r="AX181" s="21">
        <f t="shared" si="166"/>
        <v>17.864695078217455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252.70779718608964</v>
      </c>
      <c r="BJ181" s="59">
        <f t="shared" si="146"/>
        <v>187.86969111712705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50.758886467264574</v>
      </c>
      <c r="BQ181" s="21">
        <f>EXP(-LN(2)/25)*BQ180+(1-EXP(-LN(2)/25))/(LN(2)/25)*Calculateur!BL181*Calculateur!BN181*VLOOKUP('Données projet'!$B$11,Paramètres!$A$1:$I$89,3,0)*0.475*44/12</f>
        <v>6.2304580069973259</v>
      </c>
      <c r="BR181" s="21">
        <f>EXP(-LN(2)/2)*BR180+(1-EXP(-LN(2)/2))/(LN(2)/2)*BL181*BO181*VLOOKUP('Données projet'!$B$11,Paramètres!$A$1:$I$89,3,0)*0.475*44/12</f>
        <v>8.6785186822345398E-11</v>
      </c>
      <c r="BS181" s="22">
        <f t="shared" si="169"/>
        <v>56.989344474348684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-1.3596945791505279E-13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279.86432710889352</v>
      </c>
      <c r="CE181" s="59">
        <f t="shared" si="148"/>
        <v>297.01680128882509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12.261306285084814</v>
      </c>
      <c r="CL181" s="21">
        <f>EXP(-LN(2)/25)*CL180+(1-EXP(-LN(2)/25))/(LN(2)/25)*Calculateur!CG181*Calculateur!CI181*VLOOKUP('Données projet'!$B$12,Paramètres!$A$1:$I$89,3,0)*0.475*44/12</f>
        <v>4.1540021675291898</v>
      </c>
      <c r="CM181" s="21">
        <f>EXP(-LN(2)/2)*CM180+(1-EXP(-LN(2)/2))/(LN(2)/2)*CG181*CJ181*VLOOKUP('Données projet'!$B$12,Paramètres!$A$1:$I$89,3,0)*0.475*44/12</f>
        <v>7.4870471482548647E-16</v>
      </c>
      <c r="CN181" s="22">
        <f t="shared" si="172"/>
        <v>16.415308452614003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-12.000000000000284</v>
      </c>
      <c r="CU181" s="17">
        <f>CT181*VLOOKUP('Données projet'!$B$13,Paramètres!$A$1:$I$89,3,0)*VLOOKUP('Données projet'!$B$13,Paramètres!$A$1:$I$89,5,0)</f>
        <v>-9.5472000000002257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314.6300257056194</v>
      </c>
      <c r="CZ181" s="59">
        <f t="shared" si="150"/>
        <v>298.00555477466668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20.402813595033759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20.402813595033759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-12.000000000000284</v>
      </c>
      <c r="DP181" s="17">
        <f>DO181*VLOOKUP('Données projet'!$B$14,Paramètres!$A$1:$I$89,3,0)*VLOOKUP('Données projet'!$B$14,Paramètres!$A$1:$I$89,5,0)</f>
        <v>-9.5472000000002257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314.6300257056194</v>
      </c>
      <c r="DU181" s="59">
        <f t="shared" si="152"/>
        <v>298.00555477466668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20.402813595033759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20.402813595033759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441.23846153846227</v>
      </c>
      <c r="EK181" s="17">
        <f>EJ181*VLOOKUP('Données projet'!$B$15,Paramètres!$A$1:$I$89,3,0)*VLOOKUP('Données projet'!$B$15,Paramètres!$A$1:$I$89,5,0)</f>
        <v>212.23570000000035</v>
      </c>
      <c r="EL181" s="13">
        <f t="shared" si="179"/>
        <v>52.423840876495639</v>
      </c>
      <c r="EM181" s="20">
        <f t="shared" si="180"/>
        <v>460.9487003598972</v>
      </c>
      <c r="EN181" s="59">
        <f t="shared" si="128"/>
        <v>754.28203369323046</v>
      </c>
      <c r="EO181" s="59">
        <f ca="1">AVERAGE(OFFSET($EN$3,0,0,'Données projet'!$E$15+1,1))-AVERAGE(OFFSET($H$3,0,0,'Données projet'!$E$15+1,1))</f>
        <v>238.83604534181978</v>
      </c>
      <c r="EP181" s="59">
        <f t="shared" si="154"/>
        <v>114.85152559837792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5.6843418860808015E-14</v>
      </c>
      <c r="FF181" s="17">
        <f>FE181*VLOOKUP('Données projet'!$B$16,Paramètres!$A$1:$I$89,3,0)*VLOOKUP('Données projet'!$B$16,Paramètres!$A$1:$I$89,5,0)</f>
        <v>4.6111381379887463E-14</v>
      </c>
      <c r="FG181" s="13">
        <f t="shared" si="182"/>
        <v>7.5804141040779151E-13</v>
      </c>
      <c r="FH181" s="20">
        <f t="shared" si="183"/>
        <v>1.4005661123635408E-12</v>
      </c>
      <c r="FI181" s="59">
        <f t="shared" si="131"/>
        <v>293.33333333333474</v>
      </c>
      <c r="FJ181" s="59">
        <f ca="1">AVERAGE(OFFSET($FI$3,0,0,'Données projet'!$E$16+1,1))-AVERAGE(OFFSET($H$3,0,0,'Données projet'!$E$16+1,1))</f>
        <v>196.95467273423861</v>
      </c>
      <c r="FK181" s="59">
        <f t="shared" si="156"/>
        <v>173.8709326829258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12.300496249951197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7.3193786908000487E-14</v>
      </c>
      <c r="FT181" s="22">
        <f t="shared" si="184"/>
        <v>12.300496249951269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5.6843418860808015E-14</v>
      </c>
      <c r="GA181" s="17">
        <f>FZ181*VLOOKUP('Données projet'!$B$17,Paramètres!$A$1:$I$89,3,0)*VLOOKUP('Données projet'!$B$17,Paramètres!$A$1:$I$89,5,0)</f>
        <v>6.1186256061773749E-14</v>
      </c>
      <c r="GB181" s="13">
        <f t="shared" si="185"/>
        <v>9.7328366192051127E-13</v>
      </c>
      <c r="GC181" s="20">
        <f t="shared" si="186"/>
        <v>1.8017017738191463E-12</v>
      </c>
      <c r="GD181" s="59">
        <f t="shared" si="134"/>
        <v>293.33333333333513</v>
      </c>
      <c r="GE181" s="59">
        <f ca="1">AVERAGE(OFFSET($GD$3,0,0,'Données projet'!$E$17+1,1))-AVERAGE(OFFSET($H$3,0,0,'Données projet'!$E$17+1,1))</f>
        <v>275.5229427552884</v>
      </c>
      <c r="GF181" s="59">
        <f t="shared" si="158"/>
        <v>241.20234081716143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16.32181233166602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9.7122524935615963E-14</v>
      </c>
      <c r="GO181" s="21">
        <f t="shared" si="187"/>
        <v>16.321812331666116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274.57619581652199</v>
      </c>
      <c r="T182" s="59">
        <f t="shared" si="142"/>
        <v>366.15117322598775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 t="e">
        <f>EXP(-LN(2)/35)*Z181+(1-EXP(-LN(2)/35))/(LN(2)/35)*V182*W182*VLOOKUP('Données projet'!$B$9,Paramètres!$A$1:$I$89,3,0)*0.475*44/12</f>
        <v>#VALUE!</v>
      </c>
      <c r="AA182" s="21" t="e">
        <f>EXP(-LN(2)/25)*AA181+(1-EXP(-LN(2)/25))/(LN(2)/25)*Calculateur!V182*Calculateur!X182*VLOOKUP('Données projet'!$B$9,Paramètres!$A$1:$I$89,3,0)*0.475*44/12</f>
        <v>#VALUE!</v>
      </c>
      <c r="AB182" s="21" t="e">
        <f>EXP(-LN(2)/2)*AB181+(1-EXP(-LN(2)/2))/(LN(2)/2)*V182*Y182*VLOOKUP('Données projet'!$B$9,Paramètres!$A$1:$I$89,3,0)*0.475*44/12</f>
        <v>#VALUE!</v>
      </c>
      <c r="AC182" s="22" t="e">
        <f t="shared" si="163"/>
        <v>#VALUE!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175.05987582828078</v>
      </c>
      <c r="AO182" s="59">
        <f t="shared" si="144"/>
        <v>268.54782308462387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15.946554608453702</v>
      </c>
      <c r="AV182" s="21">
        <f>EXP(-LN(2)/25)*AV181+(1-EXP(-LN(2)/25))/(LN(2)/25)*Calculateur!AQ182*Calculateur!AS182*VLOOKUP('Données projet'!$B$10,Paramètres!$A$1:$I$89,3,0)*0.475*44/12</f>
        <v>1.5554539501457474</v>
      </c>
      <c r="AW182" s="21">
        <f>EXP(-LN(2)/2)*AW181+(1-EXP(-LN(2)/2))/(LN(2)/2)*AQ182*AT182*VLOOKUP('Données projet'!$B$10,Paramètres!$A$1:$I$89,3,0)*0.475*44/12</f>
        <v>3.4909361238022177E-17</v>
      </c>
      <c r="AX182" s="21">
        <f t="shared" si="166"/>
        <v>17.502008558599449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252.70779718608964</v>
      </c>
      <c r="BJ182" s="59">
        <f t="shared" si="146"/>
        <v>187.86969111712705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49.76353566350523</v>
      </c>
      <c r="BQ182" s="21">
        <f>EXP(-LN(2)/25)*BQ181+(1-EXP(-LN(2)/25))/(LN(2)/25)*Calculateur!BL182*Calculateur!BN182*VLOOKUP('Données projet'!$B$11,Paramètres!$A$1:$I$89,3,0)*0.475*44/12</f>
        <v>6.0600858051504369</v>
      </c>
      <c r="BR182" s="21">
        <f>EXP(-LN(2)/2)*BR181+(1-EXP(-LN(2)/2))/(LN(2)/2)*BL182*BO182*VLOOKUP('Données projet'!$B$11,Paramètres!$A$1:$I$89,3,0)*0.475*44/12</f>
        <v>6.1366394108621833E-11</v>
      </c>
      <c r="BS182" s="22">
        <f t="shared" si="169"/>
        <v>55.823621468717036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-1.3596945791505279E-13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279.86432710889352</v>
      </c>
      <c r="CE182" s="59">
        <f t="shared" si="148"/>
        <v>297.01680128882509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12.020869547492678</v>
      </c>
      <c r="CL182" s="21">
        <f>EXP(-LN(2)/25)*CL181+(1-EXP(-LN(2)/25))/(LN(2)/25)*Calculateur!CG182*Calculateur!CI182*VLOOKUP('Données projet'!$B$12,Paramètres!$A$1:$I$89,3,0)*0.475*44/12</f>
        <v>4.0404107598086245</v>
      </c>
      <c r="CM182" s="21">
        <f>EXP(-LN(2)/2)*CM181+(1-EXP(-LN(2)/2))/(LN(2)/2)*CG182*CJ182*VLOOKUP('Données projet'!$B$12,Paramètres!$A$1:$I$89,3,0)*0.475*44/12</f>
        <v>5.2941418095944172E-16</v>
      </c>
      <c r="CN182" s="22">
        <f t="shared" si="172"/>
        <v>16.061280307301303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-12.000000000000284</v>
      </c>
      <c r="CU182" s="17">
        <f>CT182*VLOOKUP('Données projet'!$B$13,Paramètres!$A$1:$I$89,3,0)*VLOOKUP('Données projet'!$B$13,Paramètres!$A$1:$I$89,5,0)</f>
        <v>-9.5472000000002257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314.6300257056194</v>
      </c>
      <c r="CZ182" s="59">
        <f t="shared" si="150"/>
        <v>298.00555477466668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20.00272686492265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20.00272686492265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-12.000000000000284</v>
      </c>
      <c r="DP182" s="17">
        <f>DO182*VLOOKUP('Données projet'!$B$14,Paramètres!$A$1:$I$89,3,0)*VLOOKUP('Données projet'!$B$14,Paramètres!$A$1:$I$89,5,0)</f>
        <v>-9.5472000000002257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314.6300257056194</v>
      </c>
      <c r="DU182" s="59">
        <f t="shared" si="152"/>
        <v>298.00555477466668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20.00272686492265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20.00272686492265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441.23846153846227</v>
      </c>
      <c r="EK182" s="17">
        <f>EJ182*VLOOKUP('Données projet'!$B$15,Paramètres!$A$1:$I$89,3,0)*VLOOKUP('Données projet'!$B$15,Paramètres!$A$1:$I$89,5,0)</f>
        <v>212.23570000000035</v>
      </c>
      <c r="EL182" s="13">
        <f t="shared" si="179"/>
        <v>52.423840876495639</v>
      </c>
      <c r="EM182" s="20">
        <f t="shared" si="180"/>
        <v>460.9487003598972</v>
      </c>
      <c r="EN182" s="59">
        <f t="shared" si="128"/>
        <v>754.28203369323046</v>
      </c>
      <c r="EO182" s="59">
        <f ca="1">AVERAGE(OFFSET($EN$3,0,0,'Données projet'!$E$15+1,1))-AVERAGE(OFFSET($H$3,0,0,'Données projet'!$E$15+1,1))</f>
        <v>238.83604534181978</v>
      </c>
      <c r="EP182" s="59">
        <f t="shared" si="154"/>
        <v>114.85152559837792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5.6843418860808015E-14</v>
      </c>
      <c r="FF182" s="17">
        <f>FE182*VLOOKUP('Données projet'!$B$16,Paramètres!$A$1:$I$89,3,0)*VLOOKUP('Données projet'!$B$16,Paramètres!$A$1:$I$89,5,0)</f>
        <v>4.6111381379887463E-14</v>
      </c>
      <c r="FG182" s="13">
        <f t="shared" si="182"/>
        <v>7.5804141040779151E-13</v>
      </c>
      <c r="FH182" s="20">
        <f t="shared" si="183"/>
        <v>1.4005661123635408E-12</v>
      </c>
      <c r="FI182" s="59">
        <f t="shared" si="131"/>
        <v>293.33333333333474</v>
      </c>
      <c r="FJ182" s="59">
        <f ca="1">AVERAGE(OFFSET($FI$3,0,0,'Données projet'!$E$16+1,1))-AVERAGE(OFFSET($H$3,0,0,'Données projet'!$E$16+1,1))</f>
        <v>196.95467273423861</v>
      </c>
      <c r="FK182" s="59">
        <f t="shared" si="156"/>
        <v>173.8709326829258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12.05929102105155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5.1755823063370288E-14</v>
      </c>
      <c r="FT182" s="22">
        <f t="shared" si="184"/>
        <v>12.059291021051601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5.6843418860808015E-14</v>
      </c>
      <c r="GA182" s="17">
        <f>FZ182*VLOOKUP('Données projet'!$B$17,Paramètres!$A$1:$I$89,3,0)*VLOOKUP('Données projet'!$B$17,Paramètres!$A$1:$I$89,5,0)</f>
        <v>6.1186256061773749E-14</v>
      </c>
      <c r="GB182" s="13">
        <f t="shared" si="185"/>
        <v>9.7328366192051127E-13</v>
      </c>
      <c r="GC182" s="20">
        <f t="shared" si="186"/>
        <v>1.8017017738191463E-12</v>
      </c>
      <c r="GD182" s="59">
        <f t="shared" si="134"/>
        <v>293.33333333333513</v>
      </c>
      <c r="GE182" s="59">
        <f ca="1">AVERAGE(OFFSET($GD$3,0,0,'Données projet'!$E$17+1,1))-AVERAGE(OFFSET($H$3,0,0,'Données projet'!$E$17+1,1))</f>
        <v>275.5229427552884</v>
      </c>
      <c r="GF182" s="59">
        <f t="shared" si="158"/>
        <v>241.20234081716143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16.001751547164567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6.8675995987933601E-14</v>
      </c>
      <c r="GO182" s="21">
        <f t="shared" si="187"/>
        <v>16.001751547164634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274.57619581652199</v>
      </c>
      <c r="T183" s="59">
        <f t="shared" si="142"/>
        <v>366.15117322598775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 t="e">
        <f>EXP(-LN(2)/35)*Z182+(1-EXP(-LN(2)/35))/(LN(2)/35)*V183*W183*VLOOKUP('Données projet'!$B$9,Paramètres!$A$1:$I$89,3,0)*0.475*44/12</f>
        <v>#VALUE!</v>
      </c>
      <c r="AA183" s="21" t="e">
        <f>EXP(-LN(2)/25)*AA182+(1-EXP(-LN(2)/25))/(LN(2)/25)*Calculateur!V183*Calculateur!X183*VLOOKUP('Données projet'!$B$9,Paramètres!$A$1:$I$89,3,0)*0.475*44/12</f>
        <v>#VALUE!</v>
      </c>
      <c r="AB183" s="21" t="e">
        <f>EXP(-LN(2)/2)*AB182+(1-EXP(-LN(2)/2))/(LN(2)/2)*V183*Y183*VLOOKUP('Données projet'!$B$9,Paramètres!$A$1:$I$89,3,0)*0.475*44/12</f>
        <v>#VALUE!</v>
      </c>
      <c r="AC183" s="22" t="e">
        <f t="shared" si="163"/>
        <v>#VALUE!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175.05987582828078</v>
      </c>
      <c r="AO183" s="59">
        <f t="shared" si="144"/>
        <v>268.54782308462387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15.63385239901983</v>
      </c>
      <c r="AV183" s="21">
        <f>EXP(-LN(2)/25)*AV182+(1-EXP(-LN(2)/25))/(LN(2)/25)*Calculateur!AQ183*Calculateur!AS183*VLOOKUP('Données projet'!$B$10,Paramètres!$A$1:$I$89,3,0)*0.475*44/12</f>
        <v>1.5129199800812436</v>
      </c>
      <c r="AW183" s="21">
        <f>EXP(-LN(2)/2)*AW182+(1-EXP(-LN(2)/2))/(LN(2)/2)*AQ183*AT183*VLOOKUP('Données projet'!$B$10,Paramètres!$A$1:$I$89,3,0)*0.475*44/12</f>
        <v>2.4684646058296292E-17</v>
      </c>
      <c r="AX183" s="21">
        <f t="shared" si="166"/>
        <v>17.146772379101073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252.70779718608964</v>
      </c>
      <c r="BJ183" s="59">
        <f t="shared" si="146"/>
        <v>187.86969111712705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48.787703081903558</v>
      </c>
      <c r="BQ183" s="21">
        <f>EXP(-LN(2)/25)*BQ182+(1-EXP(-LN(2)/25))/(LN(2)/25)*Calculateur!BL183*Calculateur!BN183*VLOOKUP('Données projet'!$B$11,Paramètres!$A$1:$I$89,3,0)*0.475*44/12</f>
        <v>5.8943724401225364</v>
      </c>
      <c r="BR183" s="21">
        <f>EXP(-LN(2)/2)*BR182+(1-EXP(-LN(2)/2))/(LN(2)/2)*BL183*BO183*VLOOKUP('Données projet'!$B$11,Paramètres!$A$1:$I$89,3,0)*0.475*44/12</f>
        <v>4.3392593411172699E-11</v>
      </c>
      <c r="BS183" s="22">
        <f t="shared" si="169"/>
        <v>54.682075522069489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-1.3596945791505279E-13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279.86432710889352</v>
      </c>
      <c r="CE183" s="59">
        <f t="shared" si="148"/>
        <v>297.01680128882509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11.785147627672796</v>
      </c>
      <c r="CL183" s="21">
        <f>EXP(-LN(2)/25)*CL182+(1-EXP(-LN(2)/25))/(LN(2)/25)*Calculateur!CG183*Calculateur!CI183*VLOOKUP('Données projet'!$B$12,Paramètres!$A$1:$I$89,3,0)*0.475*44/12</f>
        <v>3.9299255151056904</v>
      </c>
      <c r="CM183" s="21">
        <f>EXP(-LN(2)/2)*CM182+(1-EXP(-LN(2)/2))/(LN(2)/2)*CG183*CJ183*VLOOKUP('Données projet'!$B$12,Paramètres!$A$1:$I$89,3,0)*0.475*44/12</f>
        <v>3.7435235741274324E-16</v>
      </c>
      <c r="CN183" s="22">
        <f t="shared" si="172"/>
        <v>15.715073142778486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-12.000000000000284</v>
      </c>
      <c r="CU183" s="17">
        <f>CT183*VLOOKUP('Données projet'!$B$13,Paramètres!$A$1:$I$89,3,0)*VLOOKUP('Données projet'!$B$13,Paramètres!$A$1:$I$89,5,0)</f>
        <v>-9.5472000000002257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314.6300257056194</v>
      </c>
      <c r="CZ183" s="59">
        <f t="shared" si="150"/>
        <v>298.00555477466668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19.610485591560209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19.610485591560209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-12.000000000000284</v>
      </c>
      <c r="DP183" s="17">
        <f>DO183*VLOOKUP('Données projet'!$B$14,Paramètres!$A$1:$I$89,3,0)*VLOOKUP('Données projet'!$B$14,Paramètres!$A$1:$I$89,5,0)</f>
        <v>-9.5472000000002257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314.6300257056194</v>
      </c>
      <c r="DU183" s="59">
        <f t="shared" si="152"/>
        <v>298.00555477466668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19.610485591560209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19.610485591560209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441.23846153846227</v>
      </c>
      <c r="EK183" s="17">
        <f>EJ183*VLOOKUP('Données projet'!$B$15,Paramètres!$A$1:$I$89,3,0)*VLOOKUP('Données projet'!$B$15,Paramètres!$A$1:$I$89,5,0)</f>
        <v>212.23570000000035</v>
      </c>
      <c r="EL183" s="13">
        <f t="shared" si="179"/>
        <v>52.423840876495639</v>
      </c>
      <c r="EM183" s="20">
        <f t="shared" si="180"/>
        <v>460.9487003598972</v>
      </c>
      <c r="EN183" s="59">
        <f t="shared" si="128"/>
        <v>754.28203369323046</v>
      </c>
      <c r="EO183" s="59">
        <f ca="1">AVERAGE(OFFSET($EN$3,0,0,'Données projet'!$E$15+1,1))-AVERAGE(OFFSET($H$3,0,0,'Données projet'!$E$15+1,1))</f>
        <v>238.83604534181978</v>
      </c>
      <c r="EP183" s="59">
        <f t="shared" si="154"/>
        <v>114.85152559837792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5.6843418860808015E-14</v>
      </c>
      <c r="FF183" s="17">
        <f>FE183*VLOOKUP('Données projet'!$B$16,Paramètres!$A$1:$I$89,3,0)*VLOOKUP('Données projet'!$B$16,Paramètres!$A$1:$I$89,5,0)</f>
        <v>4.6111381379887463E-14</v>
      </c>
      <c r="FG183" s="13">
        <f t="shared" si="182"/>
        <v>7.5804141040779151E-13</v>
      </c>
      <c r="FH183" s="20">
        <f t="shared" si="183"/>
        <v>1.4005661123635408E-12</v>
      </c>
      <c r="FI183" s="59">
        <f t="shared" si="131"/>
        <v>293.33333333333474</v>
      </c>
      <c r="FJ183" s="59">
        <f ca="1">AVERAGE(OFFSET($FI$3,0,0,'Données projet'!$E$16+1,1))-AVERAGE(OFFSET($H$3,0,0,'Données projet'!$E$16+1,1))</f>
        <v>196.95467273423861</v>
      </c>
      <c r="FK183" s="59">
        <f t="shared" si="156"/>
        <v>173.8709326829258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11.822815679569961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3.6596893454000243E-14</v>
      </c>
      <c r="FT183" s="22">
        <f t="shared" si="184"/>
        <v>11.822815679569999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5.6843418860808015E-14</v>
      </c>
      <c r="GA183" s="17">
        <f>FZ183*VLOOKUP('Données projet'!$B$17,Paramètres!$A$1:$I$89,3,0)*VLOOKUP('Données projet'!$B$17,Paramètres!$A$1:$I$89,5,0)</f>
        <v>6.1186256061773749E-14</v>
      </c>
      <c r="GB183" s="13">
        <f t="shared" si="185"/>
        <v>9.7328366192051127E-13</v>
      </c>
      <c r="GC183" s="20">
        <f t="shared" si="186"/>
        <v>1.8017017738191463E-12</v>
      </c>
      <c r="GD183" s="59">
        <f t="shared" si="134"/>
        <v>293.33333333333513</v>
      </c>
      <c r="GE183" s="59">
        <f ca="1">AVERAGE(OFFSET($GD$3,0,0,'Données projet'!$E$17+1,1))-AVERAGE(OFFSET($H$3,0,0,'Données projet'!$E$17+1,1))</f>
        <v>275.5229427552884</v>
      </c>
      <c r="GF183" s="59">
        <f t="shared" si="158"/>
        <v>241.20234081716143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15.687966959429383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4.8561262467807981E-14</v>
      </c>
      <c r="GO183" s="21">
        <f t="shared" si="187"/>
        <v>15.687966959429431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274.57619581652199</v>
      </c>
      <c r="T184" s="59">
        <f t="shared" si="142"/>
        <v>366.15117322598775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 t="e">
        <f>EXP(-LN(2)/35)*Z183+(1-EXP(-LN(2)/35))/(LN(2)/35)*V184*W184*VLOOKUP('Données projet'!$B$9,Paramètres!$A$1:$I$89,3,0)*0.475*44/12</f>
        <v>#VALUE!</v>
      </c>
      <c r="AA184" s="21" t="e">
        <f>EXP(-LN(2)/25)*AA183+(1-EXP(-LN(2)/25))/(LN(2)/25)*Calculateur!V184*Calculateur!X184*VLOOKUP('Données projet'!$B$9,Paramètres!$A$1:$I$89,3,0)*0.475*44/12</f>
        <v>#VALUE!</v>
      </c>
      <c r="AB184" s="21" t="e">
        <f>EXP(-LN(2)/2)*AB183+(1-EXP(-LN(2)/2))/(LN(2)/2)*V184*Y184*VLOOKUP('Données projet'!$B$9,Paramètres!$A$1:$I$89,3,0)*0.475*44/12</f>
        <v>#VALUE!</v>
      </c>
      <c r="AC184" s="22" t="e">
        <f t="shared" si="163"/>
        <v>#VALUE!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175.05987582828078</v>
      </c>
      <c r="AO184" s="59">
        <f t="shared" si="144"/>
        <v>268.54782308462387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15.327282089183441</v>
      </c>
      <c r="AV184" s="21">
        <f>EXP(-LN(2)/25)*AV183+(1-EXP(-LN(2)/25))/(LN(2)/25)*Calculateur!AQ184*Calculateur!AS184*VLOOKUP('Données projet'!$B$10,Paramètres!$A$1:$I$89,3,0)*0.475*44/12</f>
        <v>1.471549103664918</v>
      </c>
      <c r="AW184" s="21">
        <f>EXP(-LN(2)/2)*AW183+(1-EXP(-LN(2)/2))/(LN(2)/2)*AQ184*AT184*VLOOKUP('Données projet'!$B$10,Paramètres!$A$1:$I$89,3,0)*0.475*44/12</f>
        <v>1.7454680619011089E-17</v>
      </c>
      <c r="AX184" s="21">
        <f t="shared" si="166"/>
        <v>16.798831192848361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252.70779718608964</v>
      </c>
      <c r="BJ184" s="59">
        <f t="shared" si="146"/>
        <v>187.86969111712705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47.831005982027996</v>
      </c>
      <c r="BQ184" s="21">
        <f>EXP(-LN(2)/25)*BQ183+(1-EXP(-LN(2)/25))/(LN(2)/25)*Calculateur!BL184*Calculateur!BN184*VLOOKUP('Données projet'!$B$11,Paramètres!$A$1:$I$89,3,0)*0.475*44/12</f>
        <v>5.733190515775811</v>
      </c>
      <c r="BR184" s="21">
        <f>EXP(-LN(2)/2)*BR183+(1-EXP(-LN(2)/2))/(LN(2)/2)*BL184*BO184*VLOOKUP('Données projet'!$B$11,Paramètres!$A$1:$I$89,3,0)*0.475*44/12</f>
        <v>3.0683197054310916E-11</v>
      </c>
      <c r="BS184" s="22">
        <f t="shared" si="169"/>
        <v>53.564196497834487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-1.3596945791505279E-13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279.86432710889352</v>
      </c>
      <c r="CE184" s="59">
        <f t="shared" si="148"/>
        <v>297.01680128882509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11.554048070924406</v>
      </c>
      <c r="CL184" s="21">
        <f>EXP(-LN(2)/25)*CL183+(1-EXP(-LN(2)/25))/(LN(2)/25)*Calculateur!CG184*Calculateur!CI184*VLOOKUP('Données projet'!$B$12,Paramètres!$A$1:$I$89,3,0)*0.475*44/12</f>
        <v>3.8224614952293243</v>
      </c>
      <c r="CM184" s="21">
        <f>EXP(-LN(2)/2)*CM183+(1-EXP(-LN(2)/2))/(LN(2)/2)*CG184*CJ184*VLOOKUP('Données projet'!$B$12,Paramètres!$A$1:$I$89,3,0)*0.475*44/12</f>
        <v>2.6470709047972086E-16</v>
      </c>
      <c r="CN184" s="22">
        <f t="shared" si="172"/>
        <v>15.376509566153731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-12.000000000000284</v>
      </c>
      <c r="CU184" s="17">
        <f>CT184*VLOOKUP('Données projet'!$B$13,Paramètres!$A$1:$I$89,3,0)*VLOOKUP('Données projet'!$B$13,Paramètres!$A$1:$I$89,5,0)</f>
        <v>-9.5472000000002257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314.6300257056194</v>
      </c>
      <c r="CZ184" s="59">
        <f t="shared" si="150"/>
        <v>298.00555477466668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19.225935930324852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19.225935930324852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-12.000000000000284</v>
      </c>
      <c r="DP184" s="17">
        <f>DO184*VLOOKUP('Données projet'!$B$14,Paramètres!$A$1:$I$89,3,0)*VLOOKUP('Données projet'!$B$14,Paramètres!$A$1:$I$89,5,0)</f>
        <v>-9.5472000000002257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314.6300257056194</v>
      </c>
      <c r="DU184" s="59">
        <f t="shared" si="152"/>
        <v>298.00555477466668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19.225935930324852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19.225935930324852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441.23846153846227</v>
      </c>
      <c r="EK184" s="17">
        <f>EJ184*VLOOKUP('Données projet'!$B$15,Paramètres!$A$1:$I$89,3,0)*VLOOKUP('Données projet'!$B$15,Paramètres!$A$1:$I$89,5,0)</f>
        <v>212.23570000000035</v>
      </c>
      <c r="EL184" s="13">
        <f t="shared" si="179"/>
        <v>52.423840876495639</v>
      </c>
      <c r="EM184" s="20">
        <f t="shared" si="180"/>
        <v>460.9487003598972</v>
      </c>
      <c r="EN184" s="59">
        <f t="shared" si="128"/>
        <v>754.28203369323046</v>
      </c>
      <c r="EO184" s="59">
        <f ca="1">AVERAGE(OFFSET($EN$3,0,0,'Données projet'!$E$15+1,1))-AVERAGE(OFFSET($H$3,0,0,'Données projet'!$E$15+1,1))</f>
        <v>238.83604534181978</v>
      </c>
      <c r="EP184" s="59">
        <f t="shared" si="154"/>
        <v>114.85152559837792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5.6843418860808015E-14</v>
      </c>
      <c r="FF184" s="17">
        <f>FE184*VLOOKUP('Données projet'!$B$16,Paramètres!$A$1:$I$89,3,0)*VLOOKUP('Données projet'!$B$16,Paramètres!$A$1:$I$89,5,0)</f>
        <v>4.6111381379887463E-14</v>
      </c>
      <c r="FG184" s="13">
        <f t="shared" si="182"/>
        <v>7.5804141040779151E-13</v>
      </c>
      <c r="FH184" s="20">
        <f t="shared" si="183"/>
        <v>1.4005661123635408E-12</v>
      </c>
      <c r="FI184" s="59">
        <f t="shared" si="131"/>
        <v>293.33333333333474</v>
      </c>
      <c r="FJ184" s="59">
        <f ca="1">AVERAGE(OFFSET($FI$3,0,0,'Données projet'!$E$16+1,1))-AVERAGE(OFFSET($H$3,0,0,'Données projet'!$E$16+1,1))</f>
        <v>196.95467273423861</v>
      </c>
      <c r="FK184" s="59">
        <f t="shared" si="156"/>
        <v>173.8709326829258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11.590977475299111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2.5877911531685144E-14</v>
      </c>
      <c r="FT184" s="22">
        <f t="shared" si="184"/>
        <v>11.590977475299137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5.6843418860808015E-14</v>
      </c>
      <c r="GA184" s="17">
        <f>FZ184*VLOOKUP('Données projet'!$B$17,Paramètres!$A$1:$I$89,3,0)*VLOOKUP('Données projet'!$B$17,Paramètres!$A$1:$I$89,5,0)</f>
        <v>6.1186256061773749E-14</v>
      </c>
      <c r="GB184" s="13">
        <f t="shared" si="185"/>
        <v>9.7328366192051127E-13</v>
      </c>
      <c r="GC184" s="20">
        <f t="shared" si="186"/>
        <v>1.8017017738191463E-12</v>
      </c>
      <c r="GD184" s="59">
        <f t="shared" si="134"/>
        <v>293.33333333333513</v>
      </c>
      <c r="GE184" s="59">
        <f ca="1">AVERAGE(OFFSET($GD$3,0,0,'Données projet'!$E$17+1,1))-AVERAGE(OFFSET($H$3,0,0,'Données projet'!$E$17+1,1))</f>
        <v>275.5229427552884</v>
      </c>
      <c r="GF184" s="59">
        <f t="shared" si="158"/>
        <v>241.20234081716143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15.380335496069986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3.4337997993966801E-14</v>
      </c>
      <c r="GO184" s="21">
        <f t="shared" si="187"/>
        <v>15.380335496070019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274.57619581652199</v>
      </c>
      <c r="T185" s="59">
        <f t="shared" si="142"/>
        <v>366.15117322598775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 t="e">
        <f>EXP(-LN(2)/35)*Z184+(1-EXP(-LN(2)/35))/(LN(2)/35)*V185*W185*VLOOKUP('Données projet'!$B$9,Paramètres!$A$1:$I$89,3,0)*0.475*44/12</f>
        <v>#VALUE!</v>
      </c>
      <c r="AA185" s="21" t="e">
        <f>EXP(-LN(2)/25)*AA184+(1-EXP(-LN(2)/25))/(LN(2)/25)*Calculateur!V185*Calculateur!X185*VLOOKUP('Données projet'!$B$9,Paramètres!$A$1:$I$89,3,0)*0.475*44/12</f>
        <v>#VALUE!</v>
      </c>
      <c r="AB185" s="21" t="e">
        <f>EXP(-LN(2)/2)*AB184+(1-EXP(-LN(2)/2))/(LN(2)/2)*V185*Y185*VLOOKUP('Données projet'!$B$9,Paramètres!$A$1:$I$89,3,0)*0.475*44/12</f>
        <v>#VALUE!</v>
      </c>
      <c r="AC185" s="22" t="e">
        <f t="shared" si="163"/>
        <v>#VALUE!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175.05987582828078</v>
      </c>
      <c r="AO185" s="59">
        <f t="shared" si="144"/>
        <v>268.54782308462387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15.026723436133519</v>
      </c>
      <c r="AV185" s="21">
        <f>EXP(-LN(2)/25)*AV184+(1-EXP(-LN(2)/25))/(LN(2)/25)*Calculateur!AQ185*Calculateur!AS185*VLOOKUP('Données projet'!$B$10,Paramètres!$A$1:$I$89,3,0)*0.475*44/12</f>
        <v>1.4313095160397966</v>
      </c>
      <c r="AW185" s="21">
        <f>EXP(-LN(2)/2)*AW184+(1-EXP(-LN(2)/2))/(LN(2)/2)*AQ185*AT185*VLOOKUP('Données projet'!$B$10,Paramètres!$A$1:$I$89,3,0)*0.475*44/12</f>
        <v>1.2342323029148146E-17</v>
      </c>
      <c r="AX185" s="21">
        <f t="shared" si="166"/>
        <v>16.458032952173316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252.70779718608964</v>
      </c>
      <c r="BJ185" s="59">
        <f t="shared" si="146"/>
        <v>187.86969111712705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46.893069128753382</v>
      </c>
      <c r="BQ185" s="21">
        <f>EXP(-LN(2)/25)*BQ184+(1-EXP(-LN(2)/25))/(LN(2)/25)*Calculateur!BL185*Calculateur!BN185*VLOOKUP('Données projet'!$B$11,Paramètres!$A$1:$I$89,3,0)*0.475*44/12</f>
        <v>5.5764161196265354</v>
      </c>
      <c r="BR185" s="21">
        <f>EXP(-LN(2)/2)*BR184+(1-EXP(-LN(2)/2))/(LN(2)/2)*BL185*BO185*VLOOKUP('Données projet'!$B$11,Paramètres!$A$1:$I$89,3,0)*0.475*44/12</f>
        <v>2.1696296705586349E-11</v>
      </c>
      <c r="BS185" s="22">
        <f t="shared" si="169"/>
        <v>52.469485248401611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-1.3596945791505279E-13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279.86432710889352</v>
      </c>
      <c r="CE185" s="59">
        <f t="shared" si="148"/>
        <v>297.01680128882509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11.327480235527041</v>
      </c>
      <c r="CL185" s="21">
        <f>EXP(-LN(2)/25)*CL184+(1-EXP(-LN(2)/25))/(LN(2)/25)*Calculateur!CG185*Calculateur!CI185*VLOOKUP('Données projet'!$B$12,Paramètres!$A$1:$I$89,3,0)*0.475*44/12</f>
        <v>3.7179360846277647</v>
      </c>
      <c r="CM185" s="21">
        <f>EXP(-LN(2)/2)*CM184+(1-EXP(-LN(2)/2))/(LN(2)/2)*CG185*CJ185*VLOOKUP('Données projet'!$B$12,Paramètres!$A$1:$I$89,3,0)*0.475*44/12</f>
        <v>1.8717617870637162E-16</v>
      </c>
      <c r="CN185" s="22">
        <f t="shared" si="172"/>
        <v>15.045416320154805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-12.000000000000284</v>
      </c>
      <c r="CU185" s="17">
        <f>CT185*VLOOKUP('Données projet'!$B$13,Paramètres!$A$1:$I$89,3,0)*VLOOKUP('Données projet'!$B$13,Paramètres!$A$1:$I$89,5,0)</f>
        <v>-9.5472000000002257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314.6300257056194</v>
      </c>
      <c r="CZ185" s="59">
        <f t="shared" si="150"/>
        <v>298.00555477466668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18.848927053394188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18.848927053394188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-12.000000000000284</v>
      </c>
      <c r="DP185" s="17">
        <f>DO185*VLOOKUP('Données projet'!$B$14,Paramètres!$A$1:$I$89,3,0)*VLOOKUP('Données projet'!$B$14,Paramètres!$A$1:$I$89,5,0)</f>
        <v>-9.5472000000002257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314.6300257056194</v>
      </c>
      <c r="DU185" s="59">
        <f t="shared" si="152"/>
        <v>298.00555477466668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18.848927053394188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18.848927053394188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441.23846153846227</v>
      </c>
      <c r="EK185" s="17">
        <f>EJ185*VLOOKUP('Données projet'!$B$15,Paramètres!$A$1:$I$89,3,0)*VLOOKUP('Données projet'!$B$15,Paramètres!$A$1:$I$89,5,0)</f>
        <v>212.23570000000035</v>
      </c>
      <c r="EL185" s="13">
        <f t="shared" si="179"/>
        <v>52.423840876495639</v>
      </c>
      <c r="EM185" s="20">
        <f t="shared" si="180"/>
        <v>460.9487003598972</v>
      </c>
      <c r="EN185" s="59">
        <f t="shared" si="128"/>
        <v>754.28203369323046</v>
      </c>
      <c r="EO185" s="59">
        <f ca="1">AVERAGE(OFFSET($EN$3,0,0,'Données projet'!$E$15+1,1))-AVERAGE(OFFSET($H$3,0,0,'Données projet'!$E$15+1,1))</f>
        <v>238.83604534181978</v>
      </c>
      <c r="EP185" s="59">
        <f t="shared" si="154"/>
        <v>114.85152559837792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5.6843418860808015E-14</v>
      </c>
      <c r="FF185" s="17">
        <f>FE185*VLOOKUP('Données projet'!$B$16,Paramètres!$A$1:$I$89,3,0)*VLOOKUP('Données projet'!$B$16,Paramètres!$A$1:$I$89,5,0)</f>
        <v>4.6111381379887463E-14</v>
      </c>
      <c r="FG185" s="13">
        <f t="shared" si="182"/>
        <v>7.5804141040779151E-13</v>
      </c>
      <c r="FH185" s="20">
        <f t="shared" si="183"/>
        <v>1.4005661123635408E-12</v>
      </c>
      <c r="FI185" s="59">
        <f t="shared" si="131"/>
        <v>293.33333333333474</v>
      </c>
      <c r="FJ185" s="59">
        <f ca="1">AVERAGE(OFFSET($FI$3,0,0,'Données projet'!$E$16+1,1))-AVERAGE(OFFSET($H$3,0,0,'Données projet'!$E$16+1,1))</f>
        <v>196.95467273423861</v>
      </c>
      <c r="FK185" s="59">
        <f t="shared" si="156"/>
        <v>173.8709326829258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11.363685476806671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1.8298446727000122E-14</v>
      </c>
      <c r="FT185" s="22">
        <f t="shared" si="184"/>
        <v>11.363685476806689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5.6843418860808015E-14</v>
      </c>
      <c r="GA185" s="17">
        <f>FZ185*VLOOKUP('Données projet'!$B$17,Paramètres!$A$1:$I$89,3,0)*VLOOKUP('Données projet'!$B$17,Paramètres!$A$1:$I$89,5,0)</f>
        <v>6.1186256061773749E-14</v>
      </c>
      <c r="GB185" s="13">
        <f t="shared" si="185"/>
        <v>9.7328366192051127E-13</v>
      </c>
      <c r="GC185" s="20">
        <f t="shared" si="186"/>
        <v>1.8017017738191463E-12</v>
      </c>
      <c r="GD185" s="59">
        <f t="shared" si="134"/>
        <v>293.33333333333513</v>
      </c>
      <c r="GE185" s="59">
        <f ca="1">AVERAGE(OFFSET($GD$3,0,0,'Données projet'!$E$17+1,1))-AVERAGE(OFFSET($H$3,0,0,'Données projet'!$E$17+1,1))</f>
        <v>275.5229427552884</v>
      </c>
      <c r="GF185" s="59">
        <f t="shared" si="158"/>
        <v>241.20234081716143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15.078736498070402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2.4280631233903991E-14</v>
      </c>
      <c r="GO185" s="21">
        <f t="shared" si="187"/>
        <v>15.078736498070427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274.57619581652199</v>
      </c>
      <c r="T186" s="59">
        <f t="shared" si="142"/>
        <v>366.15117322598775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 t="e">
        <f>EXP(-LN(2)/35)*Z185+(1-EXP(-LN(2)/35))/(LN(2)/35)*V186*W186*VLOOKUP('Données projet'!$B$9,Paramètres!$A$1:$I$89,3,0)*0.475*44/12</f>
        <v>#VALUE!</v>
      </c>
      <c r="AA186" s="21" t="e">
        <f>EXP(-LN(2)/25)*AA185+(1-EXP(-LN(2)/25))/(LN(2)/25)*Calculateur!V186*Calculateur!X186*VLOOKUP('Données projet'!$B$9,Paramètres!$A$1:$I$89,3,0)*0.475*44/12</f>
        <v>#VALUE!</v>
      </c>
      <c r="AB186" s="21" t="e">
        <f>EXP(-LN(2)/2)*AB185+(1-EXP(-LN(2)/2))/(LN(2)/2)*V186*Y186*VLOOKUP('Données projet'!$B$9,Paramètres!$A$1:$I$89,3,0)*0.475*44/12</f>
        <v>#VALUE!</v>
      </c>
      <c r="AC186" s="22" t="e">
        <f t="shared" si="163"/>
        <v>#VALUE!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175.05987582828078</v>
      </c>
      <c r="AO186" s="59">
        <f t="shared" si="144"/>
        <v>268.54782308462387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14.73205855494723</v>
      </c>
      <c r="AV186" s="21">
        <f>EXP(-LN(2)/25)*AV185+(1-EXP(-LN(2)/25))/(LN(2)/25)*Calculateur!AQ186*Calculateur!AS186*VLOOKUP('Données projet'!$B$10,Paramètres!$A$1:$I$89,3,0)*0.475*44/12</f>
        <v>1.3921702820543922</v>
      </c>
      <c r="AW186" s="21">
        <f>EXP(-LN(2)/2)*AW185+(1-EXP(-LN(2)/2))/(LN(2)/2)*AQ186*AT186*VLOOKUP('Données projet'!$B$10,Paramètres!$A$1:$I$89,3,0)*0.475*44/12</f>
        <v>8.7273403095055443E-18</v>
      </c>
      <c r="AX186" s="21">
        <f t="shared" si="166"/>
        <v>16.12422883700162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252.70779718608964</v>
      </c>
      <c r="BJ186" s="59">
        <f t="shared" si="146"/>
        <v>187.86969111712705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45.973524645086492</v>
      </c>
      <c r="BQ186" s="21">
        <f>EXP(-LN(2)/25)*BQ185+(1-EXP(-LN(2)/25))/(LN(2)/25)*Calculateur!BL186*Calculateur!BN186*VLOOKUP('Données projet'!$B$11,Paramètres!$A$1:$I$89,3,0)*0.475*44/12</f>
        <v>5.4239287275843688</v>
      </c>
      <c r="BR186" s="21">
        <f>EXP(-LN(2)/2)*BR185+(1-EXP(-LN(2)/2))/(LN(2)/2)*BL186*BO186*VLOOKUP('Données projet'!$B$11,Paramètres!$A$1:$I$89,3,0)*0.475*44/12</f>
        <v>1.5341598527155458E-11</v>
      </c>
      <c r="BS186" s="22">
        <f t="shared" si="169"/>
        <v>51.397453372686201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-1.3596945791505279E-13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279.86432710889352</v>
      </c>
      <c r="CE186" s="59">
        <f t="shared" si="148"/>
        <v>297.01680128882509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11.105355257189084</v>
      </c>
      <c r="CL186" s="21">
        <f>EXP(-LN(2)/25)*CL185+(1-EXP(-LN(2)/25))/(LN(2)/25)*Calculateur!CG186*Calculateur!CI186*VLOOKUP('Données projet'!$B$12,Paramètres!$A$1:$I$89,3,0)*0.475*44/12</f>
        <v>3.6162689268758572</v>
      </c>
      <c r="CM186" s="21">
        <f>EXP(-LN(2)/2)*CM185+(1-EXP(-LN(2)/2))/(LN(2)/2)*CG186*CJ186*VLOOKUP('Données projet'!$B$12,Paramètres!$A$1:$I$89,3,0)*0.475*44/12</f>
        <v>1.3235354523986043E-16</v>
      </c>
      <c r="CN186" s="22">
        <f t="shared" si="172"/>
        <v>14.721624184064941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-12.000000000000284</v>
      </c>
      <c r="CU186" s="17">
        <f>CT186*VLOOKUP('Données projet'!$B$13,Paramètres!$A$1:$I$89,3,0)*VLOOKUP('Données projet'!$B$13,Paramètres!$A$1:$I$89,5,0)</f>
        <v>-9.5472000000002257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314.6300257056194</v>
      </c>
      <c r="CZ186" s="59">
        <f t="shared" si="150"/>
        <v>298.00555477466668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18.479311090587426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18.479311090587426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-12.000000000000284</v>
      </c>
      <c r="DP186" s="17">
        <f>DO186*VLOOKUP('Données projet'!$B$14,Paramètres!$A$1:$I$89,3,0)*VLOOKUP('Données projet'!$B$14,Paramètres!$A$1:$I$89,5,0)</f>
        <v>-9.5472000000002257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314.6300257056194</v>
      </c>
      <c r="DU186" s="59">
        <f t="shared" si="152"/>
        <v>298.00555477466668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18.479311090587426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18.479311090587426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441.23846153846227</v>
      </c>
      <c r="EK186" s="17">
        <f>EJ186*VLOOKUP('Données projet'!$B$15,Paramètres!$A$1:$I$89,3,0)*VLOOKUP('Données projet'!$B$15,Paramètres!$A$1:$I$89,5,0)</f>
        <v>212.23570000000035</v>
      </c>
      <c r="EL186" s="13">
        <f t="shared" si="179"/>
        <v>52.423840876495639</v>
      </c>
      <c r="EM186" s="20">
        <f t="shared" si="180"/>
        <v>460.9487003598972</v>
      </c>
      <c r="EN186" s="59">
        <f t="shared" si="128"/>
        <v>754.28203369323046</v>
      </c>
      <c r="EO186" s="59">
        <f ca="1">AVERAGE(OFFSET($EN$3,0,0,'Données projet'!$E$15+1,1))-AVERAGE(OFFSET($H$3,0,0,'Données projet'!$E$15+1,1))</f>
        <v>238.83604534181978</v>
      </c>
      <c r="EP186" s="59">
        <f t="shared" si="154"/>
        <v>114.85152559837792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5.6843418860808015E-14</v>
      </c>
      <c r="FF186" s="17">
        <f>FE186*VLOOKUP('Données projet'!$B$16,Paramètres!$A$1:$I$89,3,0)*VLOOKUP('Données projet'!$B$16,Paramètres!$A$1:$I$89,5,0)</f>
        <v>4.6111381379887463E-14</v>
      </c>
      <c r="FG186" s="13">
        <f t="shared" si="182"/>
        <v>7.5804141040779151E-13</v>
      </c>
      <c r="FH186" s="20">
        <f t="shared" si="183"/>
        <v>1.4005661123635408E-12</v>
      </c>
      <c r="FI186" s="59">
        <f t="shared" si="131"/>
        <v>293.33333333333474</v>
      </c>
      <c r="FJ186" s="59">
        <f ca="1">AVERAGE(OFFSET($FI$3,0,0,'Données projet'!$E$16+1,1))-AVERAGE(OFFSET($H$3,0,0,'Données projet'!$E$16+1,1))</f>
        <v>196.95467273423861</v>
      </c>
      <c r="FK186" s="59">
        <f t="shared" si="156"/>
        <v>173.8709326829258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11.140850535770237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1.2938955765842572E-14</v>
      </c>
      <c r="FT186" s="22">
        <f t="shared" si="184"/>
        <v>11.14085053577025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5.6843418860808015E-14</v>
      </c>
      <c r="GA186" s="17">
        <f>FZ186*VLOOKUP('Données projet'!$B$17,Paramètres!$A$1:$I$89,3,0)*VLOOKUP('Données projet'!$B$17,Paramètres!$A$1:$I$89,5,0)</f>
        <v>6.1186256061773749E-14</v>
      </c>
      <c r="GB186" s="13">
        <f t="shared" si="185"/>
        <v>9.7328366192051127E-13</v>
      </c>
      <c r="GC186" s="20">
        <f t="shared" si="186"/>
        <v>1.8017017738191463E-12</v>
      </c>
      <c r="GD186" s="59">
        <f t="shared" si="134"/>
        <v>293.33333333333513</v>
      </c>
      <c r="GE186" s="59">
        <f ca="1">AVERAGE(OFFSET($GD$3,0,0,'Données projet'!$E$17+1,1))-AVERAGE(OFFSET($H$3,0,0,'Données projet'!$E$17+1,1))</f>
        <v>275.5229427552884</v>
      </c>
      <c r="GF186" s="59">
        <f t="shared" si="158"/>
        <v>241.20234081716143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14.783051672464365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1.71689989969834E-14</v>
      </c>
      <c r="GO186" s="21">
        <f t="shared" si="187"/>
        <v>14.783051672464383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274.57619581652199</v>
      </c>
      <c r="T187" s="59">
        <f t="shared" si="142"/>
        <v>366.15117322598775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 t="e">
        <f>EXP(-LN(2)/35)*Z186+(1-EXP(-LN(2)/35))/(LN(2)/35)*V187*W187*VLOOKUP('Données projet'!$B$9,Paramètres!$A$1:$I$89,3,0)*0.475*44/12</f>
        <v>#VALUE!</v>
      </c>
      <c r="AA187" s="21" t="e">
        <f>EXP(-LN(2)/25)*AA186+(1-EXP(-LN(2)/25))/(LN(2)/25)*Calculateur!V187*Calculateur!X187*VLOOKUP('Données projet'!$B$9,Paramètres!$A$1:$I$89,3,0)*0.475*44/12</f>
        <v>#VALUE!</v>
      </c>
      <c r="AB187" s="21" t="e">
        <f>EXP(-LN(2)/2)*AB186+(1-EXP(-LN(2)/2))/(LN(2)/2)*V187*Y187*VLOOKUP('Données projet'!$B$9,Paramètres!$A$1:$I$89,3,0)*0.475*44/12</f>
        <v>#VALUE!</v>
      </c>
      <c r="AC187" s="22" t="e">
        <f t="shared" si="163"/>
        <v>#VALUE!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175.05987582828078</v>
      </c>
      <c r="AO187" s="59">
        <f t="shared" si="144"/>
        <v>268.54782308462387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14.443171872353172</v>
      </c>
      <c r="AV187" s="21">
        <f>EXP(-LN(2)/25)*AV186+(1-EXP(-LN(2)/25))/(LN(2)/25)*Calculateur!AQ187*Calculateur!AS187*VLOOKUP('Données projet'!$B$10,Paramètres!$A$1:$I$89,3,0)*0.475*44/12</f>
        <v>1.3541013124805616</v>
      </c>
      <c r="AW187" s="21">
        <f>EXP(-LN(2)/2)*AW186+(1-EXP(-LN(2)/2))/(LN(2)/2)*AQ187*AT187*VLOOKUP('Données projet'!$B$10,Paramètres!$A$1:$I$89,3,0)*0.475*44/12</f>
        <v>6.171161514574073E-18</v>
      </c>
      <c r="AX187" s="21">
        <f t="shared" si="166"/>
        <v>15.797273184833735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252.70779718608964</v>
      </c>
      <c r="BJ187" s="59">
        <f t="shared" si="146"/>
        <v>187.86969111712705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45.072011867877549</v>
      </c>
      <c r="BQ187" s="21">
        <f>EXP(-LN(2)/25)*BQ186+(1-EXP(-LN(2)/25))/(LN(2)/25)*Calculateur!BL187*Calculateur!BN187*VLOOKUP('Données projet'!$B$11,Paramètres!$A$1:$I$89,3,0)*0.475*44/12</f>
        <v>5.2756111112965591</v>
      </c>
      <c r="BR187" s="21">
        <f>EXP(-LN(2)/2)*BR186+(1-EXP(-LN(2)/2))/(LN(2)/2)*BL187*BO187*VLOOKUP('Données projet'!$B$11,Paramètres!$A$1:$I$89,3,0)*0.475*44/12</f>
        <v>1.0848148352793175E-11</v>
      </c>
      <c r="BS187" s="22">
        <f t="shared" si="169"/>
        <v>50.347622979184955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-1.3596945791505279E-13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279.86432710889352</v>
      </c>
      <c r="CE187" s="59">
        <f t="shared" si="148"/>
        <v>297.01680128882509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10.887586014193475</v>
      </c>
      <c r="CL187" s="21">
        <f>EXP(-LN(2)/25)*CL186+(1-EXP(-LN(2)/25))/(LN(2)/25)*Calculateur!CG187*Calculateur!CI187*VLOOKUP('Données projet'!$B$12,Paramètres!$A$1:$I$89,3,0)*0.475*44/12</f>
        <v>3.5173818628991191</v>
      </c>
      <c r="CM187" s="21">
        <f>EXP(-LN(2)/2)*CM186+(1-EXP(-LN(2)/2))/(LN(2)/2)*CG187*CJ187*VLOOKUP('Données projet'!$B$12,Paramètres!$A$1:$I$89,3,0)*0.475*44/12</f>
        <v>9.3588089353185809E-17</v>
      </c>
      <c r="CN187" s="22">
        <f t="shared" si="172"/>
        <v>14.404967877092595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-12.000000000000284</v>
      </c>
      <c r="CU187" s="17">
        <f>CT187*VLOOKUP('Données projet'!$B$13,Paramètres!$A$1:$I$89,3,0)*VLOOKUP('Données projet'!$B$13,Paramètres!$A$1:$I$89,5,0)</f>
        <v>-9.5472000000002257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314.6300257056194</v>
      </c>
      <c r="CZ187" s="59">
        <f t="shared" si="150"/>
        <v>298.00555477466668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18.116943071367828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18.116943071367828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-12.000000000000284</v>
      </c>
      <c r="DP187" s="17">
        <f>DO187*VLOOKUP('Données projet'!$B$14,Paramètres!$A$1:$I$89,3,0)*VLOOKUP('Données projet'!$B$14,Paramètres!$A$1:$I$89,5,0)</f>
        <v>-9.5472000000002257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314.6300257056194</v>
      </c>
      <c r="DU187" s="59">
        <f t="shared" si="152"/>
        <v>298.00555477466668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18.116943071367828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18.116943071367828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441.23846153846227</v>
      </c>
      <c r="EK187" s="17">
        <f>EJ187*VLOOKUP('Données projet'!$B$15,Paramètres!$A$1:$I$89,3,0)*VLOOKUP('Données projet'!$B$15,Paramètres!$A$1:$I$89,5,0)</f>
        <v>212.23570000000035</v>
      </c>
      <c r="EL187" s="13">
        <f t="shared" si="179"/>
        <v>52.423840876495639</v>
      </c>
      <c r="EM187" s="20">
        <f t="shared" si="180"/>
        <v>460.9487003598972</v>
      </c>
      <c r="EN187" s="59">
        <f t="shared" si="128"/>
        <v>754.28203369323046</v>
      </c>
      <c r="EO187" s="59">
        <f ca="1">AVERAGE(OFFSET($EN$3,0,0,'Données projet'!$E$15+1,1))-AVERAGE(OFFSET($H$3,0,0,'Données projet'!$E$15+1,1))</f>
        <v>238.83604534181978</v>
      </c>
      <c r="EP187" s="59">
        <f t="shared" si="154"/>
        <v>114.85152559837792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5.6843418860808015E-14</v>
      </c>
      <c r="FF187" s="17">
        <f>FE187*VLOOKUP('Données projet'!$B$16,Paramètres!$A$1:$I$89,3,0)*VLOOKUP('Données projet'!$B$16,Paramètres!$A$1:$I$89,5,0)</f>
        <v>4.6111381379887463E-14</v>
      </c>
      <c r="FG187" s="13">
        <f t="shared" si="182"/>
        <v>7.5804141040779151E-13</v>
      </c>
      <c r="FH187" s="20">
        <f t="shared" si="183"/>
        <v>1.4005661123635408E-12</v>
      </c>
      <c r="FI187" s="59">
        <f t="shared" si="131"/>
        <v>293.33333333333474</v>
      </c>
      <c r="FJ187" s="59">
        <f ca="1">AVERAGE(OFFSET($FI$3,0,0,'Données projet'!$E$16+1,1))-AVERAGE(OFFSET($H$3,0,0,'Données projet'!$E$16+1,1))</f>
        <v>196.95467273423861</v>
      </c>
      <c r="FK187" s="59">
        <f t="shared" si="156"/>
        <v>173.8709326829258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10.922385252011635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9.1492233635000608E-15</v>
      </c>
      <c r="FT187" s="22">
        <f t="shared" si="184"/>
        <v>10.922385252011644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5.6843418860808015E-14</v>
      </c>
      <c r="GA187" s="17">
        <f>FZ187*VLOOKUP('Données projet'!$B$17,Paramètres!$A$1:$I$89,3,0)*VLOOKUP('Données projet'!$B$17,Paramètres!$A$1:$I$89,5,0)</f>
        <v>6.1186256061773749E-14</v>
      </c>
      <c r="GB187" s="13">
        <f t="shared" si="185"/>
        <v>9.7328366192051127E-13</v>
      </c>
      <c r="GC187" s="20">
        <f t="shared" si="186"/>
        <v>1.8017017738191463E-12</v>
      </c>
      <c r="GD187" s="59">
        <f t="shared" si="134"/>
        <v>293.33333333333513</v>
      </c>
      <c r="GE187" s="59">
        <f ca="1">AVERAGE(OFFSET($GD$3,0,0,'Données projet'!$E$17+1,1))-AVERAGE(OFFSET($H$3,0,0,'Données projet'!$E$17+1,1))</f>
        <v>275.5229427552884</v>
      </c>
      <c r="GF187" s="59">
        <f t="shared" si="158"/>
        <v>241.20234081716143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14.493165045938527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1.2140315616951995E-14</v>
      </c>
      <c r="GO187" s="21">
        <f t="shared" si="187"/>
        <v>14.493165045938539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274.57619581652199</v>
      </c>
      <c r="T188" s="59">
        <f t="shared" si="142"/>
        <v>366.15117322598775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 t="e">
        <f>EXP(-LN(2)/35)*Z187+(1-EXP(-LN(2)/35))/(LN(2)/35)*V188*W188*VLOOKUP('Données projet'!$B$9,Paramètres!$A$1:$I$89,3,0)*0.475*44/12</f>
        <v>#VALUE!</v>
      </c>
      <c r="AA188" s="21" t="e">
        <f>EXP(-LN(2)/25)*AA187+(1-EXP(-LN(2)/25))/(LN(2)/25)*Calculateur!V188*Calculateur!X188*VLOOKUP('Données projet'!$B$9,Paramètres!$A$1:$I$89,3,0)*0.475*44/12</f>
        <v>#VALUE!</v>
      </c>
      <c r="AB188" s="21" t="e">
        <f>EXP(-LN(2)/2)*AB187+(1-EXP(-LN(2)/2))/(LN(2)/2)*V188*Y188*VLOOKUP('Données projet'!$B$9,Paramètres!$A$1:$I$89,3,0)*0.475*44/12</f>
        <v>#VALUE!</v>
      </c>
      <c r="AC188" s="22" t="e">
        <f t="shared" si="163"/>
        <v>#VALUE!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175.05987582828078</v>
      </c>
      <c r="AO188" s="59">
        <f t="shared" si="144"/>
        <v>268.54782308462387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14.159950081401306</v>
      </c>
      <c r="AV188" s="21">
        <f>EXP(-LN(2)/25)*AV187+(1-EXP(-LN(2)/25))/(LN(2)/25)*Calculateur!AQ188*Calculateur!AS188*VLOOKUP('Données projet'!$B$10,Paramètres!$A$1:$I$89,3,0)*0.475*44/12</f>
        <v>1.3170733408816875</v>
      </c>
      <c r="AW188" s="21">
        <f>EXP(-LN(2)/2)*AW187+(1-EXP(-LN(2)/2))/(LN(2)/2)*AQ188*AT188*VLOOKUP('Données projet'!$B$10,Paramètres!$A$1:$I$89,3,0)*0.475*44/12</f>
        <v>4.3636701547527722E-18</v>
      </c>
      <c r="AX188" s="21">
        <f t="shared" si="166"/>
        <v>15.477023422282993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252.70779718608964</v>
      </c>
      <c r="BJ188" s="59">
        <f t="shared" si="146"/>
        <v>187.86969111712705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44.188177206361175</v>
      </c>
      <c r="BQ188" s="21">
        <f>EXP(-LN(2)/25)*BQ187+(1-EXP(-LN(2)/25))/(LN(2)/25)*Calculateur!BL188*Calculateur!BN188*VLOOKUP('Données projet'!$B$11,Paramètres!$A$1:$I$89,3,0)*0.475*44/12</f>
        <v>5.131349248025824</v>
      </c>
      <c r="BR188" s="21">
        <f>EXP(-LN(2)/2)*BR187+(1-EXP(-LN(2)/2))/(LN(2)/2)*BL188*BO188*VLOOKUP('Données projet'!$B$11,Paramètres!$A$1:$I$89,3,0)*0.475*44/12</f>
        <v>7.6707992635777291E-12</v>
      </c>
      <c r="BS188" s="22">
        <f t="shared" si="169"/>
        <v>49.319526454394676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-1.3596945791505279E-13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279.86432710889352</v>
      </c>
      <c r="CE188" s="59">
        <f t="shared" si="148"/>
        <v>297.01680128882509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10.674087093226888</v>
      </c>
      <c r="CL188" s="21">
        <f>EXP(-LN(2)/25)*CL187+(1-EXP(-LN(2)/25))/(LN(2)/25)*Calculateur!CG188*Calculateur!CI188*VLOOKUP('Données projet'!$B$12,Paramètres!$A$1:$I$89,3,0)*0.475*44/12</f>
        <v>3.4211988708870695</v>
      </c>
      <c r="CM188" s="21">
        <f>EXP(-LN(2)/2)*CM187+(1-EXP(-LN(2)/2))/(LN(2)/2)*CG188*CJ188*VLOOKUP('Données projet'!$B$12,Paramètres!$A$1:$I$89,3,0)*0.475*44/12</f>
        <v>6.6176772619930215E-17</v>
      </c>
      <c r="CN188" s="22">
        <f t="shared" si="172"/>
        <v>14.095285964113957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-12.000000000000284</v>
      </c>
      <c r="CU188" s="17">
        <f>CT188*VLOOKUP('Données projet'!$B$13,Paramètres!$A$1:$I$89,3,0)*VLOOKUP('Données projet'!$B$13,Paramètres!$A$1:$I$89,5,0)</f>
        <v>-9.5472000000002257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314.6300257056194</v>
      </c>
      <c r="CZ188" s="59">
        <f t="shared" si="150"/>
        <v>298.00555477466668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17.761680867982456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17.761680867982456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-12.000000000000284</v>
      </c>
      <c r="DP188" s="17">
        <f>DO188*VLOOKUP('Données projet'!$B$14,Paramètres!$A$1:$I$89,3,0)*VLOOKUP('Données projet'!$B$14,Paramètres!$A$1:$I$89,5,0)</f>
        <v>-9.5472000000002257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314.6300257056194</v>
      </c>
      <c r="DU188" s="59">
        <f t="shared" si="152"/>
        <v>298.00555477466668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17.761680867982456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17.761680867982456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441.23846153846227</v>
      </c>
      <c r="EK188" s="17">
        <f>EJ188*VLOOKUP('Données projet'!$B$15,Paramètres!$A$1:$I$89,3,0)*VLOOKUP('Données projet'!$B$15,Paramètres!$A$1:$I$89,5,0)</f>
        <v>212.23570000000035</v>
      </c>
      <c r="EL188" s="13">
        <f t="shared" si="179"/>
        <v>52.423840876495639</v>
      </c>
      <c r="EM188" s="20">
        <f t="shared" si="180"/>
        <v>460.9487003598972</v>
      </c>
      <c r="EN188" s="59">
        <f t="shared" si="128"/>
        <v>754.28203369323046</v>
      </c>
      <c r="EO188" s="59">
        <f ca="1">AVERAGE(OFFSET($EN$3,0,0,'Données projet'!$E$15+1,1))-AVERAGE(OFFSET($H$3,0,0,'Données projet'!$E$15+1,1))</f>
        <v>238.83604534181978</v>
      </c>
      <c r="EP188" s="59">
        <f t="shared" si="154"/>
        <v>114.85152559837792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5.6843418860808015E-14</v>
      </c>
      <c r="FF188" s="17">
        <f>FE188*VLOOKUP('Données projet'!$B$16,Paramètres!$A$1:$I$89,3,0)*VLOOKUP('Données projet'!$B$16,Paramètres!$A$1:$I$89,5,0)</f>
        <v>4.6111381379887463E-14</v>
      </c>
      <c r="FG188" s="13">
        <f t="shared" si="182"/>
        <v>7.5804141040779151E-13</v>
      </c>
      <c r="FH188" s="20">
        <f t="shared" si="183"/>
        <v>1.4005661123635408E-12</v>
      </c>
      <c r="FI188" s="59">
        <f t="shared" si="131"/>
        <v>293.33333333333474</v>
      </c>
      <c r="FJ188" s="59">
        <f ca="1">AVERAGE(OFFSET($FI$3,0,0,'Données projet'!$E$16+1,1))-AVERAGE(OFFSET($H$3,0,0,'Données projet'!$E$16+1,1))</f>
        <v>196.95467273423861</v>
      </c>
      <c r="FK188" s="59">
        <f t="shared" si="156"/>
        <v>173.8709326829258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10.708203939216872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6.469477882921286E-15</v>
      </c>
      <c r="FT188" s="22">
        <f t="shared" si="184"/>
        <v>10.70820393921688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5.6843418860808015E-14</v>
      </c>
      <c r="GA188" s="17">
        <f>FZ188*VLOOKUP('Données projet'!$B$17,Paramètres!$A$1:$I$89,3,0)*VLOOKUP('Données projet'!$B$17,Paramètres!$A$1:$I$89,5,0)</f>
        <v>6.1186256061773749E-14</v>
      </c>
      <c r="GB188" s="13">
        <f t="shared" si="185"/>
        <v>9.7328366192051127E-13</v>
      </c>
      <c r="GC188" s="20">
        <f t="shared" si="186"/>
        <v>1.8017017738191463E-12</v>
      </c>
      <c r="GD188" s="59">
        <f t="shared" si="134"/>
        <v>293.33333333333513</v>
      </c>
      <c r="GE188" s="59">
        <f ca="1">AVERAGE(OFFSET($GD$3,0,0,'Données projet'!$E$17+1,1))-AVERAGE(OFFSET($H$3,0,0,'Données projet'!$E$17+1,1))</f>
        <v>275.5229427552884</v>
      </c>
      <c r="GF188" s="59">
        <f t="shared" si="158"/>
        <v>241.20234081716143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14.208962919345478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8.5844994984917002E-15</v>
      </c>
      <c r="GO188" s="21">
        <f t="shared" si="187"/>
        <v>14.208962919345486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274.57619581652199</v>
      </c>
      <c r="T189" s="59">
        <f t="shared" si="142"/>
        <v>366.15117322598775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 t="e">
        <f>EXP(-LN(2)/35)*Z188+(1-EXP(-LN(2)/35))/(LN(2)/35)*V189*W189*VLOOKUP('Données projet'!$B$9,Paramètres!$A$1:$I$89,3,0)*0.475*44/12</f>
        <v>#VALUE!</v>
      </c>
      <c r="AA189" s="21" t="e">
        <f>EXP(-LN(2)/25)*AA188+(1-EXP(-LN(2)/25))/(LN(2)/25)*Calculateur!V189*Calculateur!X189*VLOOKUP('Données projet'!$B$9,Paramètres!$A$1:$I$89,3,0)*0.475*44/12</f>
        <v>#VALUE!</v>
      </c>
      <c r="AB189" s="21" t="e">
        <f>EXP(-LN(2)/2)*AB188+(1-EXP(-LN(2)/2))/(LN(2)/2)*V189*Y189*VLOOKUP('Données projet'!$B$9,Paramètres!$A$1:$I$89,3,0)*0.475*44/12</f>
        <v>#VALUE!</v>
      </c>
      <c r="AC189" s="22" t="e">
        <f t="shared" si="163"/>
        <v>#VALUE!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175.05987582828078</v>
      </c>
      <c r="AO189" s="59">
        <f t="shared" si="144"/>
        <v>268.54782308462387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13.88228209702177</v>
      </c>
      <c r="AV189" s="21">
        <f>EXP(-LN(2)/25)*AV188+(1-EXP(-LN(2)/25))/(LN(2)/25)*Calculateur!AQ189*Calculateur!AS189*VLOOKUP('Données projet'!$B$10,Paramètres!$A$1:$I$89,3,0)*0.475*44/12</f>
        <v>1.2810579011134009</v>
      </c>
      <c r="AW189" s="21">
        <f>EXP(-LN(2)/2)*AW188+(1-EXP(-LN(2)/2))/(LN(2)/2)*AQ189*AT189*VLOOKUP('Données projet'!$B$10,Paramètres!$A$1:$I$89,3,0)*0.475*44/12</f>
        <v>3.0855807572870365E-18</v>
      </c>
      <c r="AX189" s="21">
        <f t="shared" si="166"/>
        <v>15.163339998135172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252.70779718608964</v>
      </c>
      <c r="BJ189" s="59">
        <f t="shared" si="146"/>
        <v>187.86969111712705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43.321674003471223</v>
      </c>
      <c r="BQ189" s="21">
        <f>EXP(-LN(2)/25)*BQ188+(1-EXP(-LN(2)/25))/(LN(2)/25)*Calculateur!BL189*Calculateur!BN189*VLOOKUP('Données projet'!$B$11,Paramètres!$A$1:$I$89,3,0)*0.475*44/12</f>
        <v>4.9910322329926284</v>
      </c>
      <c r="BR189" s="21">
        <f>EXP(-LN(2)/2)*BR188+(1-EXP(-LN(2)/2))/(LN(2)/2)*BL189*BO189*VLOOKUP('Données projet'!$B$11,Paramètres!$A$1:$I$89,3,0)*0.475*44/12</f>
        <v>5.4240741763965873E-12</v>
      </c>
      <c r="BS189" s="22">
        <f t="shared" si="169"/>
        <v>48.312706236469275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-1.3596945791505279E-13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279.86432710889352</v>
      </c>
      <c r="CE189" s="59">
        <f t="shared" si="148"/>
        <v>297.01680128882509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10.464774755878972</v>
      </c>
      <c r="CL189" s="21">
        <f>EXP(-LN(2)/25)*CL188+(1-EXP(-LN(2)/25))/(LN(2)/25)*Calculateur!CG189*Calculateur!CI189*VLOOKUP('Données projet'!$B$12,Paramètres!$A$1:$I$89,3,0)*0.475*44/12</f>
        <v>3.327646007849633</v>
      </c>
      <c r="CM189" s="21">
        <f>EXP(-LN(2)/2)*CM188+(1-EXP(-LN(2)/2))/(LN(2)/2)*CG189*CJ189*VLOOKUP('Données projet'!$B$12,Paramètres!$A$1:$I$89,3,0)*0.475*44/12</f>
        <v>4.6794044676592904E-17</v>
      </c>
      <c r="CN189" s="22">
        <f t="shared" si="172"/>
        <v>13.792420763728606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-12.000000000000284</v>
      </c>
      <c r="CU189" s="17">
        <f>CT189*VLOOKUP('Données projet'!$B$13,Paramètres!$A$1:$I$89,3,0)*VLOOKUP('Données projet'!$B$13,Paramètres!$A$1:$I$89,5,0)</f>
        <v>-9.5472000000002257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314.6300257056194</v>
      </c>
      <c r="CZ189" s="59">
        <f t="shared" si="150"/>
        <v>298.00555477466668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17.413385139716926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17.413385139716926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-12.000000000000284</v>
      </c>
      <c r="DP189" s="17">
        <f>DO189*VLOOKUP('Données projet'!$B$14,Paramètres!$A$1:$I$89,3,0)*VLOOKUP('Données projet'!$B$14,Paramètres!$A$1:$I$89,5,0)</f>
        <v>-9.5472000000002257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314.6300257056194</v>
      </c>
      <c r="DU189" s="59">
        <f t="shared" si="152"/>
        <v>298.00555477466668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17.413385139716926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17.413385139716926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441.23846153846227</v>
      </c>
      <c r="EK189" s="17">
        <f>EJ189*VLOOKUP('Données projet'!$B$15,Paramètres!$A$1:$I$89,3,0)*VLOOKUP('Données projet'!$B$15,Paramètres!$A$1:$I$89,5,0)</f>
        <v>212.23570000000035</v>
      </c>
      <c r="EL189" s="13">
        <f t="shared" si="179"/>
        <v>52.423840876495639</v>
      </c>
      <c r="EM189" s="20">
        <f t="shared" si="180"/>
        <v>460.9487003598972</v>
      </c>
      <c r="EN189" s="59">
        <f t="shared" si="128"/>
        <v>754.28203369323046</v>
      </c>
      <c r="EO189" s="59">
        <f ca="1">AVERAGE(OFFSET($EN$3,0,0,'Données projet'!$E$15+1,1))-AVERAGE(OFFSET($H$3,0,0,'Données projet'!$E$15+1,1))</f>
        <v>238.83604534181978</v>
      </c>
      <c r="EP189" s="59">
        <f t="shared" si="154"/>
        <v>114.85152559837792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5.6843418860808015E-14</v>
      </c>
      <c r="FF189" s="17">
        <f>FE189*VLOOKUP('Données projet'!$B$16,Paramètres!$A$1:$I$89,3,0)*VLOOKUP('Données projet'!$B$16,Paramètres!$A$1:$I$89,5,0)</f>
        <v>4.6111381379887463E-14</v>
      </c>
      <c r="FG189" s="13">
        <f t="shared" si="182"/>
        <v>7.5804141040779151E-13</v>
      </c>
      <c r="FH189" s="20">
        <f t="shared" si="183"/>
        <v>1.4005661123635408E-12</v>
      </c>
      <c r="FI189" s="59">
        <f t="shared" si="131"/>
        <v>293.33333333333474</v>
      </c>
      <c r="FJ189" s="59">
        <f ca="1">AVERAGE(OFFSET($FI$3,0,0,'Données projet'!$E$16+1,1))-AVERAGE(OFFSET($H$3,0,0,'Données projet'!$E$16+1,1))</f>
        <v>196.95467273423861</v>
      </c>
      <c r="FK189" s="59">
        <f t="shared" si="156"/>
        <v>173.8709326829258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10.498222591328314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4.5746116817500304E-15</v>
      </c>
      <c r="FT189" s="22">
        <f t="shared" si="184"/>
        <v>10.49822259132832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5.6843418860808015E-14</v>
      </c>
      <c r="GA189" s="17">
        <f>FZ189*VLOOKUP('Données projet'!$B$17,Paramètres!$A$1:$I$89,3,0)*VLOOKUP('Données projet'!$B$17,Paramètres!$A$1:$I$89,5,0)</f>
        <v>6.1186256061773749E-14</v>
      </c>
      <c r="GB189" s="13">
        <f t="shared" si="185"/>
        <v>9.7328366192051127E-13</v>
      </c>
      <c r="GC189" s="20">
        <f t="shared" si="186"/>
        <v>1.8017017738191463E-12</v>
      </c>
      <c r="GD189" s="59">
        <f t="shared" si="134"/>
        <v>293.33333333333513</v>
      </c>
      <c r="GE189" s="59">
        <f ca="1">AVERAGE(OFFSET($GD$3,0,0,'Données projet'!$E$17+1,1))-AVERAGE(OFFSET($H$3,0,0,'Données projet'!$E$17+1,1))</f>
        <v>275.5229427552884</v>
      </c>
      <c r="GF189" s="59">
        <f t="shared" si="158"/>
        <v>241.20234081716143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13.930333823108736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6.0701578084759977E-15</v>
      </c>
      <c r="GO189" s="21">
        <f t="shared" si="187"/>
        <v>13.930333823108741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274.57619581652199</v>
      </c>
      <c r="T190" s="59">
        <f t="shared" si="142"/>
        <v>366.15117322598775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 t="e">
        <f>EXP(-LN(2)/35)*Z189+(1-EXP(-LN(2)/35))/(LN(2)/35)*V190*W190*VLOOKUP('Données projet'!$B$9,Paramètres!$A$1:$I$89,3,0)*0.475*44/12</f>
        <v>#VALUE!</v>
      </c>
      <c r="AA190" s="21" t="e">
        <f>EXP(-LN(2)/25)*AA189+(1-EXP(-LN(2)/25))/(LN(2)/25)*Calculateur!V190*Calculateur!X190*VLOOKUP('Données projet'!$B$9,Paramètres!$A$1:$I$89,3,0)*0.475*44/12</f>
        <v>#VALUE!</v>
      </c>
      <c r="AB190" s="21" t="e">
        <f>EXP(-LN(2)/2)*AB189+(1-EXP(-LN(2)/2))/(LN(2)/2)*V190*Y190*VLOOKUP('Données projet'!$B$9,Paramètres!$A$1:$I$89,3,0)*0.475*44/12</f>
        <v>#VALUE!</v>
      </c>
      <c r="AC190" s="22" t="e">
        <f t="shared" si="163"/>
        <v>#VALUE!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175.05987582828078</v>
      </c>
      <c r="AO190" s="59">
        <f t="shared" si="144"/>
        <v>268.54782308462387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13.610059012455171</v>
      </c>
      <c r="AV190" s="21">
        <f>EXP(-LN(2)/25)*AV189+(1-EXP(-LN(2)/25))/(LN(2)/25)*Calculateur!AQ190*Calculateur!AS190*VLOOKUP('Données projet'!$B$10,Paramètres!$A$1:$I$89,3,0)*0.475*44/12</f>
        <v>1.2460273054395479</v>
      </c>
      <c r="AW190" s="21">
        <f>EXP(-LN(2)/2)*AW189+(1-EXP(-LN(2)/2))/(LN(2)/2)*AQ190*AT190*VLOOKUP('Données projet'!$B$10,Paramètres!$A$1:$I$89,3,0)*0.475*44/12</f>
        <v>2.1818350773763861E-18</v>
      </c>
      <c r="AX190" s="21">
        <f t="shared" si="166"/>
        <v>14.856086317894718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252.70779718608964</v>
      </c>
      <c r="BJ190" s="59">
        <f t="shared" si="146"/>
        <v>187.86969111712705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42.472162399875181</v>
      </c>
      <c r="BQ190" s="21">
        <f>EXP(-LN(2)/25)*BQ189+(1-EXP(-LN(2)/25))/(LN(2)/25)*Calculateur!BL190*Calculateur!BN190*VLOOKUP('Données projet'!$B$11,Paramètres!$A$1:$I$89,3,0)*0.475*44/12</f>
        <v>4.8545521941144667</v>
      </c>
      <c r="BR190" s="21">
        <f>EXP(-LN(2)/2)*BR189+(1-EXP(-LN(2)/2))/(LN(2)/2)*BL190*BO190*VLOOKUP('Données projet'!$B$11,Paramètres!$A$1:$I$89,3,0)*0.475*44/12</f>
        <v>3.8353996317888645E-12</v>
      </c>
      <c r="BS190" s="22">
        <f t="shared" si="169"/>
        <v>47.326714593993486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-1.3596945791505279E-13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279.86432710889352</v>
      </c>
      <c r="CE190" s="59">
        <f t="shared" si="148"/>
        <v>297.01680128882509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10.259566905798529</v>
      </c>
      <c r="CL190" s="21">
        <f>EXP(-LN(2)/25)*CL189+(1-EXP(-LN(2)/25))/(LN(2)/25)*Calculateur!CG190*Calculateur!CI190*VLOOKUP('Données projet'!$B$12,Paramètres!$A$1:$I$89,3,0)*0.475*44/12</f>
        <v>3.2366513527716867</v>
      </c>
      <c r="CM190" s="21">
        <f>EXP(-LN(2)/2)*CM189+(1-EXP(-LN(2)/2))/(LN(2)/2)*CG190*CJ190*VLOOKUP('Données projet'!$B$12,Paramètres!$A$1:$I$89,3,0)*0.475*44/12</f>
        <v>3.3088386309965107E-17</v>
      </c>
      <c r="CN190" s="22">
        <f t="shared" si="172"/>
        <v>13.496218258570217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-12.000000000000284</v>
      </c>
      <c r="CU190" s="17">
        <f>CT190*VLOOKUP('Données projet'!$B$13,Paramètres!$A$1:$I$89,3,0)*VLOOKUP('Données projet'!$B$13,Paramètres!$A$1:$I$89,5,0)</f>
        <v>-9.5472000000002257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314.6300257056194</v>
      </c>
      <c r="CZ190" s="59">
        <f t="shared" si="150"/>
        <v>298.00555477466668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17.071919278243264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17.071919278243264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-12.000000000000284</v>
      </c>
      <c r="DP190" s="17">
        <f>DO190*VLOOKUP('Données projet'!$B$14,Paramètres!$A$1:$I$89,3,0)*VLOOKUP('Données projet'!$B$14,Paramètres!$A$1:$I$89,5,0)</f>
        <v>-9.5472000000002257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314.6300257056194</v>
      </c>
      <c r="DU190" s="59">
        <f t="shared" si="152"/>
        <v>298.00555477466668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17.071919278243264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17.071919278243264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441.23846153846227</v>
      </c>
      <c r="EK190" s="17">
        <f>EJ190*VLOOKUP('Données projet'!$B$15,Paramètres!$A$1:$I$89,3,0)*VLOOKUP('Données projet'!$B$15,Paramètres!$A$1:$I$89,5,0)</f>
        <v>212.23570000000035</v>
      </c>
      <c r="EL190" s="13">
        <f t="shared" si="179"/>
        <v>52.423840876495639</v>
      </c>
      <c r="EM190" s="20">
        <f t="shared" si="180"/>
        <v>460.9487003598972</v>
      </c>
      <c r="EN190" s="59">
        <f t="shared" si="128"/>
        <v>754.28203369323046</v>
      </c>
      <c r="EO190" s="59">
        <f ca="1">AVERAGE(OFFSET($EN$3,0,0,'Données projet'!$E$15+1,1))-AVERAGE(OFFSET($H$3,0,0,'Données projet'!$E$15+1,1))</f>
        <v>238.83604534181978</v>
      </c>
      <c r="EP190" s="59">
        <f t="shared" si="154"/>
        <v>114.85152559837792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5.6843418860808015E-14</v>
      </c>
      <c r="FF190" s="17">
        <f>FE190*VLOOKUP('Données projet'!$B$16,Paramètres!$A$1:$I$89,3,0)*VLOOKUP('Données projet'!$B$16,Paramètres!$A$1:$I$89,5,0)</f>
        <v>4.6111381379887463E-14</v>
      </c>
      <c r="FG190" s="13">
        <f t="shared" si="182"/>
        <v>7.5804141040779151E-13</v>
      </c>
      <c r="FH190" s="20">
        <f t="shared" si="183"/>
        <v>1.4005661123635408E-12</v>
      </c>
      <c r="FI190" s="59">
        <f t="shared" si="131"/>
        <v>293.33333333333474</v>
      </c>
      <c r="FJ190" s="59">
        <f ca="1">AVERAGE(OFFSET($FI$3,0,0,'Données projet'!$E$16+1,1))-AVERAGE(OFFSET($H$3,0,0,'Données projet'!$E$16+1,1))</f>
        <v>196.95467273423861</v>
      </c>
      <c r="FK190" s="59">
        <f t="shared" si="156"/>
        <v>173.8709326829258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10.292358849595875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3.234738941460643E-15</v>
      </c>
      <c r="FT190" s="22">
        <f t="shared" si="184"/>
        <v>10.292358849595878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5.6843418860808015E-14</v>
      </c>
      <c r="GA190" s="17">
        <f>FZ190*VLOOKUP('Données projet'!$B$17,Paramètres!$A$1:$I$89,3,0)*VLOOKUP('Données projet'!$B$17,Paramètres!$A$1:$I$89,5,0)</f>
        <v>6.1186256061773749E-14</v>
      </c>
      <c r="GB190" s="13">
        <f t="shared" si="185"/>
        <v>9.7328366192051127E-13</v>
      </c>
      <c r="GC190" s="20">
        <f t="shared" si="186"/>
        <v>1.8017017738191463E-12</v>
      </c>
      <c r="GD190" s="59">
        <f t="shared" si="134"/>
        <v>293.33333333333513</v>
      </c>
      <c r="GE190" s="59">
        <f ca="1">AVERAGE(OFFSET($GD$3,0,0,'Données projet'!$E$17+1,1))-AVERAGE(OFFSET($H$3,0,0,'Données projet'!$E$17+1,1))</f>
        <v>275.5229427552884</v>
      </c>
      <c r="GF190" s="59">
        <f t="shared" si="158"/>
        <v>241.20234081716143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13.65716847350223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4.2922497492458501E-15</v>
      </c>
      <c r="GO190" s="21">
        <f t="shared" si="187"/>
        <v>13.657168473502233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274.57619581652199</v>
      </c>
      <c r="T191" s="59">
        <f t="shared" si="142"/>
        <v>366.15117322598775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 t="e">
        <f>EXP(-LN(2)/35)*Z190+(1-EXP(-LN(2)/35))/(LN(2)/35)*V191*W191*VLOOKUP('Données projet'!$B$9,Paramètres!$A$1:$I$89,3,0)*0.475*44/12</f>
        <v>#VALUE!</v>
      </c>
      <c r="AA191" s="21" t="e">
        <f>EXP(-LN(2)/25)*AA190+(1-EXP(-LN(2)/25))/(LN(2)/25)*Calculateur!V191*Calculateur!X191*VLOOKUP('Données projet'!$B$9,Paramètres!$A$1:$I$89,3,0)*0.475*44/12</f>
        <v>#VALUE!</v>
      </c>
      <c r="AB191" s="21" t="e">
        <f>EXP(-LN(2)/2)*AB190+(1-EXP(-LN(2)/2))/(LN(2)/2)*V191*Y191*VLOOKUP('Données projet'!$B$9,Paramètres!$A$1:$I$89,3,0)*0.475*44/12</f>
        <v>#VALUE!</v>
      </c>
      <c r="AC191" s="22" t="e">
        <f t="shared" si="163"/>
        <v>#VALUE!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175.05987582828078</v>
      </c>
      <c r="AO191" s="59">
        <f t="shared" si="144"/>
        <v>268.54782308462387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13.343174056537235</v>
      </c>
      <c r="AV191" s="21">
        <f>EXP(-LN(2)/25)*AV190+(1-EXP(-LN(2)/25))/(LN(2)/25)*Calculateur!AQ191*Calculateur!AS191*VLOOKUP('Données projet'!$B$10,Paramètres!$A$1:$I$89,3,0)*0.475*44/12</f>
        <v>1.2119546232465752</v>
      </c>
      <c r="AW191" s="21">
        <f>EXP(-LN(2)/2)*AW190+(1-EXP(-LN(2)/2))/(LN(2)/2)*AQ191*AT191*VLOOKUP('Données projet'!$B$10,Paramètres!$A$1:$I$89,3,0)*0.475*44/12</f>
        <v>1.5427903786435182E-18</v>
      </c>
      <c r="AX191" s="21">
        <f t="shared" si="166"/>
        <v>14.55512867978381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252.70779718608964</v>
      </c>
      <c r="BJ191" s="59">
        <f t="shared" si="146"/>
        <v>187.86969111712705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41.639309200674738</v>
      </c>
      <c r="BQ191" s="21">
        <f>EXP(-LN(2)/25)*BQ190+(1-EXP(-LN(2)/25))/(LN(2)/25)*Calculateur!BL191*Calculateur!BN191*VLOOKUP('Données projet'!$B$11,Paramètres!$A$1:$I$89,3,0)*0.475*44/12</f>
        <v>4.7218042090766019</v>
      </c>
      <c r="BR191" s="21">
        <f>EXP(-LN(2)/2)*BR190+(1-EXP(-LN(2)/2))/(LN(2)/2)*BL191*BO191*VLOOKUP('Données projet'!$B$11,Paramètres!$A$1:$I$89,3,0)*0.475*44/12</f>
        <v>2.7120370881982937E-12</v>
      </c>
      <c r="BS191" s="22">
        <f t="shared" si="169"/>
        <v>46.361113409754054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-1.3596945791505279E-13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279.86432710889352</v>
      </c>
      <c r="CE191" s="59">
        <f t="shared" si="148"/>
        <v>297.01680128882509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10.058383056493733</v>
      </c>
      <c r="CL191" s="21">
        <f>EXP(-LN(2)/25)*CL190+(1-EXP(-LN(2)/25))/(LN(2)/25)*Calculateur!CG191*Calculateur!CI191*VLOOKUP('Données projet'!$B$12,Paramètres!$A$1:$I$89,3,0)*0.475*44/12</f>
        <v>3.1481449513220476</v>
      </c>
      <c r="CM191" s="21">
        <f>EXP(-LN(2)/2)*CM190+(1-EXP(-LN(2)/2))/(LN(2)/2)*CG191*CJ191*VLOOKUP('Données projet'!$B$12,Paramètres!$A$1:$I$89,3,0)*0.475*44/12</f>
        <v>2.3397022338296452E-17</v>
      </c>
      <c r="CN191" s="22">
        <f t="shared" si="172"/>
        <v>13.206528007815781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-12.000000000000284</v>
      </c>
      <c r="CU191" s="17">
        <f>CT191*VLOOKUP('Données projet'!$B$13,Paramètres!$A$1:$I$89,3,0)*VLOOKUP('Données projet'!$B$13,Paramètres!$A$1:$I$89,5,0)</f>
        <v>-9.5472000000002257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314.6300257056194</v>
      </c>
      <c r="CZ191" s="59">
        <f t="shared" si="150"/>
        <v>298.00555477466668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16.737149354039492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16.737149354039492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-12.000000000000284</v>
      </c>
      <c r="DP191" s="17">
        <f>DO191*VLOOKUP('Données projet'!$B$14,Paramètres!$A$1:$I$89,3,0)*VLOOKUP('Données projet'!$B$14,Paramètres!$A$1:$I$89,5,0)</f>
        <v>-9.5472000000002257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314.6300257056194</v>
      </c>
      <c r="DU191" s="59">
        <f t="shared" si="152"/>
        <v>298.00555477466668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16.737149354039492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16.737149354039492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441.23846153846227</v>
      </c>
      <c r="EK191" s="17">
        <f>EJ191*VLOOKUP('Données projet'!$B$15,Paramètres!$A$1:$I$89,3,0)*VLOOKUP('Données projet'!$B$15,Paramètres!$A$1:$I$89,5,0)</f>
        <v>212.23570000000035</v>
      </c>
      <c r="EL191" s="13">
        <f t="shared" si="179"/>
        <v>52.423840876495639</v>
      </c>
      <c r="EM191" s="20">
        <f t="shared" si="180"/>
        <v>460.9487003598972</v>
      </c>
      <c r="EN191" s="59">
        <f t="shared" si="128"/>
        <v>754.28203369323046</v>
      </c>
      <c r="EO191" s="59">
        <f ca="1">AVERAGE(OFFSET($EN$3,0,0,'Données projet'!$E$15+1,1))-AVERAGE(OFFSET($H$3,0,0,'Données projet'!$E$15+1,1))</f>
        <v>238.83604534181978</v>
      </c>
      <c r="EP191" s="59">
        <f t="shared" si="154"/>
        <v>114.85152559837792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5.6843418860808015E-14</v>
      </c>
      <c r="FF191" s="17">
        <f>FE191*VLOOKUP('Données projet'!$B$16,Paramètres!$A$1:$I$89,3,0)*VLOOKUP('Données projet'!$B$16,Paramètres!$A$1:$I$89,5,0)</f>
        <v>4.6111381379887463E-14</v>
      </c>
      <c r="FG191" s="13">
        <f t="shared" si="182"/>
        <v>7.5804141040779151E-13</v>
      </c>
      <c r="FH191" s="20">
        <f t="shared" si="183"/>
        <v>1.4005661123635408E-12</v>
      </c>
      <c r="FI191" s="59">
        <f t="shared" si="131"/>
        <v>293.33333333333474</v>
      </c>
      <c r="FJ191" s="59">
        <f ca="1">AVERAGE(OFFSET($FI$3,0,0,'Données projet'!$E$16+1,1))-AVERAGE(OFFSET($H$3,0,0,'Données projet'!$E$16+1,1))</f>
        <v>196.95467273423861</v>
      </c>
      <c r="FK191" s="59">
        <f t="shared" si="156"/>
        <v>173.8709326829258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10.090531970274325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2.2873058408750152E-15</v>
      </c>
      <c r="FT191" s="22">
        <f t="shared" si="184"/>
        <v>10.090531970274327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5.6843418860808015E-14</v>
      </c>
      <c r="GA191" s="17">
        <f>FZ191*VLOOKUP('Données projet'!$B$17,Paramètres!$A$1:$I$89,3,0)*VLOOKUP('Données projet'!$B$17,Paramètres!$A$1:$I$89,5,0)</f>
        <v>6.1186256061773749E-14</v>
      </c>
      <c r="GB191" s="13">
        <f t="shared" si="185"/>
        <v>9.7328366192051127E-13</v>
      </c>
      <c r="GC191" s="20">
        <f t="shared" si="186"/>
        <v>1.8017017738191463E-12</v>
      </c>
      <c r="GD191" s="59">
        <f t="shared" si="134"/>
        <v>293.33333333333513</v>
      </c>
      <c r="GE191" s="59">
        <f ca="1">AVERAGE(OFFSET($GD$3,0,0,'Données projet'!$E$17+1,1))-AVERAGE(OFFSET($H$3,0,0,'Données projet'!$E$17+1,1))</f>
        <v>275.5229427552884</v>
      </c>
      <c r="GF191" s="59">
        <f t="shared" si="158"/>
        <v>241.20234081716143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13.389359729787095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3.0350789042379988E-15</v>
      </c>
      <c r="GO191" s="21">
        <f t="shared" si="187"/>
        <v>13.389359729787099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274.57619581652199</v>
      </c>
      <c r="T192" s="59">
        <f t="shared" si="142"/>
        <v>366.15117322598775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 t="e">
        <f>EXP(-LN(2)/35)*Z191+(1-EXP(-LN(2)/35))/(LN(2)/35)*V192*W192*VLOOKUP('Données projet'!$B$9,Paramètres!$A$1:$I$89,3,0)*0.475*44/12</f>
        <v>#VALUE!</v>
      </c>
      <c r="AA192" s="21" t="e">
        <f>EXP(-LN(2)/25)*AA191+(1-EXP(-LN(2)/25))/(LN(2)/25)*Calculateur!V192*Calculateur!X192*VLOOKUP('Données projet'!$B$9,Paramètres!$A$1:$I$89,3,0)*0.475*44/12</f>
        <v>#VALUE!</v>
      </c>
      <c r="AB192" s="21" t="e">
        <f>EXP(-LN(2)/2)*AB191+(1-EXP(-LN(2)/2))/(LN(2)/2)*V192*Y192*VLOOKUP('Données projet'!$B$9,Paramètres!$A$1:$I$89,3,0)*0.475*44/12</f>
        <v>#VALUE!</v>
      </c>
      <c r="AC192" s="22" t="e">
        <f t="shared" si="163"/>
        <v>#VALUE!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175.05987582828078</v>
      </c>
      <c r="AO192" s="59">
        <f t="shared" si="144"/>
        <v>268.54782308462387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13.0815225518211</v>
      </c>
      <c r="AV192" s="21">
        <f>EXP(-LN(2)/25)*AV191+(1-EXP(-LN(2)/25))/(LN(2)/25)*Calculateur!AQ192*Calculateur!AS192*VLOOKUP('Données projet'!$B$10,Paramètres!$A$1:$I$89,3,0)*0.475*44/12</f>
        <v>1.1788136603399739</v>
      </c>
      <c r="AW192" s="21">
        <f>EXP(-LN(2)/2)*AW191+(1-EXP(-LN(2)/2))/(LN(2)/2)*AQ192*AT192*VLOOKUP('Données projet'!$B$10,Paramètres!$A$1:$I$89,3,0)*0.475*44/12</f>
        <v>1.090917538688193E-18</v>
      </c>
      <c r="AX192" s="21">
        <f t="shared" si="166"/>
        <v>14.260336212161075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252.70779718608964</v>
      </c>
      <c r="BJ192" s="59">
        <f t="shared" si="146"/>
        <v>187.86969111712705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40.82278774472033</v>
      </c>
      <c r="BQ192" s="21">
        <f>EXP(-LN(2)/25)*BQ191+(1-EXP(-LN(2)/25))/(LN(2)/25)*Calculateur!BL192*Calculateur!BN192*VLOOKUP('Données projet'!$B$11,Paramètres!$A$1:$I$89,3,0)*0.475*44/12</f>
        <v>4.5926862246705111</v>
      </c>
      <c r="BR192" s="21">
        <f>EXP(-LN(2)/2)*BR191+(1-EXP(-LN(2)/2))/(LN(2)/2)*BL192*BO192*VLOOKUP('Données projet'!$B$11,Paramètres!$A$1:$I$89,3,0)*0.475*44/12</f>
        <v>1.9176998158944323E-12</v>
      </c>
      <c r="BS192" s="22">
        <f t="shared" si="169"/>
        <v>45.415473969392757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-1.3596945791505279E-13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279.86432710889352</v>
      </c>
      <c r="CE192" s="59">
        <f t="shared" si="148"/>
        <v>297.01680128882509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9.8611442997637742</v>
      </c>
      <c r="CL192" s="21">
        <f>EXP(-LN(2)/25)*CL191+(1-EXP(-LN(2)/25))/(LN(2)/25)*Calculateur!CG192*Calculateur!CI192*VLOOKUP('Données projet'!$B$12,Paramètres!$A$1:$I$89,3,0)*0.475*44/12</f>
        <v>3.0620587620743986</v>
      </c>
      <c r="CM192" s="21">
        <f>EXP(-LN(2)/2)*CM191+(1-EXP(-LN(2)/2))/(LN(2)/2)*CG192*CJ192*VLOOKUP('Données projet'!$B$12,Paramètres!$A$1:$I$89,3,0)*0.475*44/12</f>
        <v>1.6544193154982554E-17</v>
      </c>
      <c r="CN192" s="22">
        <f t="shared" si="172"/>
        <v>12.923203061838173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-12.000000000000284</v>
      </c>
      <c r="CU192" s="17">
        <f>CT192*VLOOKUP('Données projet'!$B$13,Paramètres!$A$1:$I$89,3,0)*VLOOKUP('Données projet'!$B$13,Paramètres!$A$1:$I$89,5,0)</f>
        <v>-9.5472000000002257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314.6300257056194</v>
      </c>
      <c r="CZ192" s="59">
        <f t="shared" si="150"/>
        <v>298.00555477466668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16.408944063859863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16.408944063859863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-12.000000000000284</v>
      </c>
      <c r="DP192" s="17">
        <f>DO192*VLOOKUP('Données projet'!$B$14,Paramètres!$A$1:$I$89,3,0)*VLOOKUP('Données projet'!$B$14,Paramètres!$A$1:$I$89,5,0)</f>
        <v>-9.5472000000002257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314.6300257056194</v>
      </c>
      <c r="DU192" s="59">
        <f t="shared" si="152"/>
        <v>298.00555477466668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16.408944063859863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16.408944063859863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441.23846153846227</v>
      </c>
      <c r="EK192" s="17">
        <f>EJ192*VLOOKUP('Données projet'!$B$15,Paramètres!$A$1:$I$89,3,0)*VLOOKUP('Données projet'!$B$15,Paramètres!$A$1:$I$89,5,0)</f>
        <v>212.23570000000035</v>
      </c>
      <c r="EL192" s="13">
        <f t="shared" si="179"/>
        <v>52.423840876495639</v>
      </c>
      <c r="EM192" s="20">
        <f t="shared" si="180"/>
        <v>460.9487003598972</v>
      </c>
      <c r="EN192" s="59">
        <f t="shared" si="128"/>
        <v>754.28203369323046</v>
      </c>
      <c r="EO192" s="59">
        <f ca="1">AVERAGE(OFFSET($EN$3,0,0,'Données projet'!$E$15+1,1))-AVERAGE(OFFSET($H$3,0,0,'Données projet'!$E$15+1,1))</f>
        <v>238.83604534181978</v>
      </c>
      <c r="EP192" s="59">
        <f t="shared" si="154"/>
        <v>114.85152559837792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5.6843418860808015E-14</v>
      </c>
      <c r="FF192" s="17">
        <f>FE192*VLOOKUP('Données projet'!$B$16,Paramètres!$A$1:$I$89,3,0)*VLOOKUP('Données projet'!$B$16,Paramètres!$A$1:$I$89,5,0)</f>
        <v>4.6111381379887463E-14</v>
      </c>
      <c r="FG192" s="13">
        <f t="shared" si="182"/>
        <v>7.5804141040779151E-13</v>
      </c>
      <c r="FH192" s="20">
        <f t="shared" si="183"/>
        <v>1.4005661123635408E-12</v>
      </c>
      <c r="FI192" s="59">
        <f t="shared" si="131"/>
        <v>293.33333333333474</v>
      </c>
      <c r="FJ192" s="59">
        <f ca="1">AVERAGE(OFFSET($FI$3,0,0,'Données projet'!$E$16+1,1))-AVERAGE(OFFSET($H$3,0,0,'Données projet'!$E$16+1,1))</f>
        <v>196.95467273423861</v>
      </c>
      <c r="FK192" s="59">
        <f t="shared" si="156"/>
        <v>173.8709326829258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9.8926627929540292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1.6173694707303215E-15</v>
      </c>
      <c r="FT192" s="22">
        <f t="shared" si="184"/>
        <v>9.8926627929540309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5.6843418860808015E-14</v>
      </c>
      <c r="GA192" s="17">
        <f>FZ192*VLOOKUP('Données projet'!$B$17,Paramètres!$A$1:$I$89,3,0)*VLOOKUP('Données projet'!$B$17,Paramètres!$A$1:$I$89,5,0)</f>
        <v>6.1186256061773749E-14</v>
      </c>
      <c r="GB192" s="13">
        <f t="shared" si="185"/>
        <v>9.7328366192051127E-13</v>
      </c>
      <c r="GC192" s="20">
        <f t="shared" si="186"/>
        <v>1.8017017738191463E-12</v>
      </c>
      <c r="GD192" s="59">
        <f t="shared" si="134"/>
        <v>293.33333333333513</v>
      </c>
      <c r="GE192" s="59">
        <f ca="1">AVERAGE(OFFSET($GD$3,0,0,'Données projet'!$E$17+1,1))-AVERAGE(OFFSET($H$3,0,0,'Données projet'!$E$17+1,1))</f>
        <v>275.5229427552884</v>
      </c>
      <c r="GF192" s="59">
        <f t="shared" si="158"/>
        <v>241.20234081716143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13.126802552189011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2.146124874622925E-15</v>
      </c>
      <c r="GO192" s="21">
        <f t="shared" si="187"/>
        <v>13.126802552189012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274.57619581652199</v>
      </c>
      <c r="T193" s="59">
        <f t="shared" si="142"/>
        <v>366.15117322598775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 t="e">
        <f>EXP(-LN(2)/35)*Z192+(1-EXP(-LN(2)/35))/(LN(2)/35)*V193*W193*VLOOKUP('Données projet'!$B$9,Paramètres!$A$1:$I$89,3,0)*0.475*44/12</f>
        <v>#VALUE!</v>
      </c>
      <c r="AA193" s="21" t="e">
        <f>EXP(-LN(2)/25)*AA192+(1-EXP(-LN(2)/25))/(LN(2)/25)*Calculateur!V193*Calculateur!X193*VLOOKUP('Données projet'!$B$9,Paramètres!$A$1:$I$89,3,0)*0.475*44/12</f>
        <v>#VALUE!</v>
      </c>
      <c r="AB193" s="21" t="e">
        <f>EXP(-LN(2)/2)*AB192+(1-EXP(-LN(2)/2))/(LN(2)/2)*V193*Y193*VLOOKUP('Données projet'!$B$9,Paramètres!$A$1:$I$89,3,0)*0.475*44/12</f>
        <v>#VALUE!</v>
      </c>
      <c r="AC193" s="22" t="e">
        <f t="shared" si="163"/>
        <v>#VALUE!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175.05987582828078</v>
      </c>
      <c r="AO193" s="59">
        <f t="shared" si="144"/>
        <v>268.54782308462387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12.82500187352079</v>
      </c>
      <c r="AV193" s="21">
        <f>EXP(-LN(2)/25)*AV192+(1-EXP(-LN(2)/25))/(LN(2)/25)*Calculateur!AQ193*Calculateur!AS193*VLOOKUP('Données projet'!$B$10,Paramètres!$A$1:$I$89,3,0)*0.475*44/12</f>
        <v>1.1465789388068612</v>
      </c>
      <c r="AW193" s="21">
        <f>EXP(-LN(2)/2)*AW192+(1-EXP(-LN(2)/2))/(LN(2)/2)*AQ193*AT193*VLOOKUP('Données projet'!$B$10,Paramètres!$A$1:$I$89,3,0)*0.475*44/12</f>
        <v>7.7139518932175912E-19</v>
      </c>
      <c r="AX193" s="21">
        <f t="shared" si="166"/>
        <v>13.971580812327652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252.70779718608964</v>
      </c>
      <c r="BJ193" s="59">
        <f t="shared" si="146"/>
        <v>187.86969111712705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40.022277776488274</v>
      </c>
      <c r="BQ193" s="21">
        <f>EXP(-LN(2)/25)*BQ192+(1-EXP(-LN(2)/25))/(LN(2)/25)*Calculateur!BL193*Calculateur!BN193*VLOOKUP('Données projet'!$B$11,Paramètres!$A$1:$I$89,3,0)*0.475*44/12</f>
        <v>4.4670989783380239</v>
      </c>
      <c r="BR193" s="21">
        <f>EXP(-LN(2)/2)*BR192+(1-EXP(-LN(2)/2))/(LN(2)/2)*BL193*BO193*VLOOKUP('Données projet'!$B$11,Paramètres!$A$1:$I$89,3,0)*0.475*44/12</f>
        <v>1.3560185440991468E-12</v>
      </c>
      <c r="BS193" s="22">
        <f t="shared" si="169"/>
        <v>44.489376754827653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-1.3596945791505279E-13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279.86432710889352</v>
      </c>
      <c r="CE193" s="59">
        <f t="shared" si="148"/>
        <v>297.01680128882509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9.6677732747495266</v>
      </c>
      <c r="CL193" s="21">
        <f>EXP(-LN(2)/25)*CL192+(1-EXP(-LN(2)/25))/(LN(2)/25)*Calculateur!CG193*Calculateur!CI193*VLOOKUP('Données projet'!$B$12,Paramètres!$A$1:$I$89,3,0)*0.475*44/12</f>
        <v>2.9783266041988021</v>
      </c>
      <c r="CM193" s="21">
        <f>EXP(-LN(2)/2)*CM192+(1-EXP(-LN(2)/2))/(LN(2)/2)*CG193*CJ193*VLOOKUP('Données projet'!$B$12,Paramètres!$A$1:$I$89,3,0)*0.475*44/12</f>
        <v>1.1698511169148226E-17</v>
      </c>
      <c r="CN193" s="22">
        <f t="shared" si="172"/>
        <v>12.646099878948329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-12.000000000000284</v>
      </c>
      <c r="CU193" s="17">
        <f>CT193*VLOOKUP('Données projet'!$B$13,Paramètres!$A$1:$I$89,3,0)*VLOOKUP('Données projet'!$B$13,Paramètres!$A$1:$I$89,5,0)</f>
        <v>-9.5472000000002257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314.6300257056194</v>
      </c>
      <c r="CZ193" s="59">
        <f t="shared" si="150"/>
        <v>298.00555477466668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16.087174679235197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16.087174679235197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-12.000000000000284</v>
      </c>
      <c r="DP193" s="17">
        <f>DO193*VLOOKUP('Données projet'!$B$14,Paramètres!$A$1:$I$89,3,0)*VLOOKUP('Données projet'!$B$14,Paramètres!$A$1:$I$89,5,0)</f>
        <v>-9.5472000000002257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314.6300257056194</v>
      </c>
      <c r="DU193" s="59">
        <f t="shared" si="152"/>
        <v>298.00555477466668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16.087174679235197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16.087174679235197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441.23846153846227</v>
      </c>
      <c r="EK193" s="17">
        <f>EJ193*VLOOKUP('Données projet'!$B$15,Paramètres!$A$1:$I$89,3,0)*VLOOKUP('Données projet'!$B$15,Paramètres!$A$1:$I$89,5,0)</f>
        <v>212.23570000000035</v>
      </c>
      <c r="EL193" s="13">
        <f t="shared" si="179"/>
        <v>52.423840876495639</v>
      </c>
      <c r="EM193" s="20">
        <f t="shared" si="180"/>
        <v>460.9487003598972</v>
      </c>
      <c r="EN193" s="59">
        <f t="shared" si="128"/>
        <v>754.28203369323046</v>
      </c>
      <c r="EO193" s="59">
        <f ca="1">AVERAGE(OFFSET($EN$3,0,0,'Données projet'!$E$15+1,1))-AVERAGE(OFFSET($H$3,0,0,'Données projet'!$E$15+1,1))</f>
        <v>238.83604534181978</v>
      </c>
      <c r="EP193" s="59">
        <f t="shared" si="154"/>
        <v>114.85152559837792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5.6843418860808015E-14</v>
      </c>
      <c r="FF193" s="17">
        <f>FE193*VLOOKUP('Données projet'!$B$16,Paramètres!$A$1:$I$89,3,0)*VLOOKUP('Données projet'!$B$16,Paramètres!$A$1:$I$89,5,0)</f>
        <v>4.6111381379887463E-14</v>
      </c>
      <c r="FG193" s="13">
        <f t="shared" si="182"/>
        <v>7.5804141040779151E-13</v>
      </c>
      <c r="FH193" s="20">
        <f t="shared" si="183"/>
        <v>1.4005661123635408E-12</v>
      </c>
      <c r="FI193" s="59">
        <f t="shared" si="131"/>
        <v>293.33333333333474</v>
      </c>
      <c r="FJ193" s="59">
        <f ca="1">AVERAGE(OFFSET($FI$3,0,0,'Données projet'!$E$16+1,1))-AVERAGE(OFFSET($H$3,0,0,'Données projet'!$E$16+1,1))</f>
        <v>196.95467273423861</v>
      </c>
      <c r="FK193" s="59">
        <f t="shared" si="156"/>
        <v>173.8709326829258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9.698673709512704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1.1436529204375076E-15</v>
      </c>
      <c r="FT193" s="22">
        <f t="shared" si="184"/>
        <v>9.6986737095127058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5.6843418860808015E-14</v>
      </c>
      <c r="GA193" s="17">
        <f>FZ193*VLOOKUP('Données projet'!$B$17,Paramètres!$A$1:$I$89,3,0)*VLOOKUP('Données projet'!$B$17,Paramètres!$A$1:$I$89,5,0)</f>
        <v>6.1186256061773749E-14</v>
      </c>
      <c r="GB193" s="13">
        <f t="shared" si="185"/>
        <v>9.7328366192051127E-13</v>
      </c>
      <c r="GC193" s="20">
        <f t="shared" si="186"/>
        <v>1.8017017738191463E-12</v>
      </c>
      <c r="GD193" s="59">
        <f t="shared" si="134"/>
        <v>293.33333333333513</v>
      </c>
      <c r="GE193" s="59">
        <f ca="1">AVERAGE(OFFSET($GD$3,0,0,'Données projet'!$E$17+1,1))-AVERAGE(OFFSET($H$3,0,0,'Données projet'!$E$17+1,1))</f>
        <v>275.5229427552884</v>
      </c>
      <c r="GF193" s="59">
        <f t="shared" si="158"/>
        <v>241.20234081716143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12.86939396069956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1.5175394521189994E-15</v>
      </c>
      <c r="GO193" s="21">
        <f t="shared" si="187"/>
        <v>12.869393960699561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274.57619581652199</v>
      </c>
      <c r="T194" s="59">
        <f t="shared" si="142"/>
        <v>366.15117322598775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 t="e">
        <f>EXP(-LN(2)/35)*Z193+(1-EXP(-LN(2)/35))/(LN(2)/35)*V194*W194*VLOOKUP('Données projet'!$B$9,Paramètres!$A$1:$I$89,3,0)*0.475*44/12</f>
        <v>#VALUE!</v>
      </c>
      <c r="AA194" s="21" t="e">
        <f>EXP(-LN(2)/25)*AA193+(1-EXP(-LN(2)/25))/(LN(2)/25)*Calculateur!V194*Calculateur!X194*VLOOKUP('Données projet'!$B$9,Paramètres!$A$1:$I$89,3,0)*0.475*44/12</f>
        <v>#VALUE!</v>
      </c>
      <c r="AB194" s="21" t="e">
        <f>EXP(-LN(2)/2)*AB193+(1-EXP(-LN(2)/2))/(LN(2)/2)*V194*Y194*VLOOKUP('Données projet'!$B$9,Paramètres!$A$1:$I$89,3,0)*0.475*44/12</f>
        <v>#VALUE!</v>
      </c>
      <c r="AC194" s="22" t="e">
        <f t="shared" si="163"/>
        <v>#VALUE!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175.05987582828078</v>
      </c>
      <c r="AO194" s="59">
        <f t="shared" si="144"/>
        <v>268.54782308462387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12.573511409259785</v>
      </c>
      <c r="AV194" s="21">
        <f>EXP(-LN(2)/25)*AV193+(1-EXP(-LN(2)/25))/(LN(2)/25)*Calculateur!AQ194*Calculateur!AS194*VLOOKUP('Données projet'!$B$10,Paramètres!$A$1:$I$89,3,0)*0.475*44/12</f>
        <v>1.1152256774292217</v>
      </c>
      <c r="AW194" s="21">
        <f>EXP(-LN(2)/2)*AW193+(1-EXP(-LN(2)/2))/(LN(2)/2)*AQ194*AT194*VLOOKUP('Données projet'!$B$10,Paramètres!$A$1:$I$89,3,0)*0.475*44/12</f>
        <v>5.4545876934409652E-19</v>
      </c>
      <c r="AX194" s="21">
        <f t="shared" si="166"/>
        <v>13.688737086689006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252.70779718608964</v>
      </c>
      <c r="BJ194" s="59">
        <f t="shared" si="146"/>
        <v>187.86969111712705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39.237465320470378</v>
      </c>
      <c r="BQ194" s="21">
        <f>EXP(-LN(2)/25)*BQ193+(1-EXP(-LN(2)/25))/(LN(2)/25)*Calculateur!BL194*Calculateur!BN194*VLOOKUP('Données projet'!$B$11,Paramètres!$A$1:$I$89,3,0)*0.475*44/12</f>
        <v>4.3449459218608455</v>
      </c>
      <c r="BR194" s="21">
        <f>EXP(-LN(2)/2)*BR193+(1-EXP(-LN(2)/2))/(LN(2)/2)*BL194*BO194*VLOOKUP('Données projet'!$B$11,Paramètres!$A$1:$I$89,3,0)*0.475*44/12</f>
        <v>9.5884990794721613E-13</v>
      </c>
      <c r="BS194" s="22">
        <f t="shared" si="169"/>
        <v>43.582411242332185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-1.3596945791505279E-13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279.86432710889352</v>
      </c>
      <c r="CE194" s="59">
        <f t="shared" si="148"/>
        <v>297.01680128882509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9.4781941375911298</v>
      </c>
      <c r="CL194" s="21">
        <f>EXP(-LN(2)/25)*CL193+(1-EXP(-LN(2)/25))/(LN(2)/25)*Calculateur!CG194*Calculateur!CI194*VLOOKUP('Données projet'!$B$12,Paramètres!$A$1:$I$89,3,0)*0.475*44/12</f>
        <v>2.8968841065835966</v>
      </c>
      <c r="CM194" s="21">
        <f>EXP(-LN(2)/2)*CM193+(1-EXP(-LN(2)/2))/(LN(2)/2)*CG194*CJ194*VLOOKUP('Données projet'!$B$12,Paramètres!$A$1:$I$89,3,0)*0.475*44/12</f>
        <v>8.2720965774912768E-18</v>
      </c>
      <c r="CN194" s="22">
        <f t="shared" si="172"/>
        <v>12.375078244174727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-12.000000000000284</v>
      </c>
      <c r="CU194" s="17">
        <f>CT194*VLOOKUP('Données projet'!$B$13,Paramètres!$A$1:$I$89,3,0)*VLOOKUP('Données projet'!$B$13,Paramètres!$A$1:$I$89,5,0)</f>
        <v>-9.5472000000002257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314.6300257056194</v>
      </c>
      <c r="CZ194" s="59">
        <f t="shared" si="150"/>
        <v>298.00555477466668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15.771714995983075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15.771714995983075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-12.000000000000284</v>
      </c>
      <c r="DP194" s="17">
        <f>DO194*VLOOKUP('Données projet'!$B$14,Paramètres!$A$1:$I$89,3,0)*VLOOKUP('Données projet'!$B$14,Paramètres!$A$1:$I$89,5,0)</f>
        <v>-9.5472000000002257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314.6300257056194</v>
      </c>
      <c r="DU194" s="59">
        <f t="shared" si="152"/>
        <v>298.00555477466668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15.771714995983075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15.771714995983075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441.23846153846227</v>
      </c>
      <c r="EK194" s="17">
        <f>EJ194*VLOOKUP('Données projet'!$B$15,Paramètres!$A$1:$I$89,3,0)*VLOOKUP('Données projet'!$B$15,Paramètres!$A$1:$I$89,5,0)</f>
        <v>212.23570000000035</v>
      </c>
      <c r="EL194" s="13">
        <f t="shared" si="179"/>
        <v>52.423840876495639</v>
      </c>
      <c r="EM194" s="20">
        <f t="shared" si="180"/>
        <v>460.9487003598972</v>
      </c>
      <c r="EN194" s="59">
        <f t="shared" si="128"/>
        <v>754.28203369323046</v>
      </c>
      <c r="EO194" s="59">
        <f ca="1">AVERAGE(OFFSET($EN$3,0,0,'Données projet'!$E$15+1,1))-AVERAGE(OFFSET($H$3,0,0,'Données projet'!$E$15+1,1))</f>
        <v>238.83604534181978</v>
      </c>
      <c r="EP194" s="59">
        <f t="shared" si="154"/>
        <v>114.85152559837792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5.6843418860808015E-14</v>
      </c>
      <c r="FF194" s="17">
        <f>FE194*VLOOKUP('Données projet'!$B$16,Paramètres!$A$1:$I$89,3,0)*VLOOKUP('Données projet'!$B$16,Paramètres!$A$1:$I$89,5,0)</f>
        <v>4.6111381379887463E-14</v>
      </c>
      <c r="FG194" s="13">
        <f t="shared" si="182"/>
        <v>7.5804141040779151E-13</v>
      </c>
      <c r="FH194" s="20">
        <f t="shared" si="183"/>
        <v>1.4005661123635408E-12</v>
      </c>
      <c r="FI194" s="59">
        <f t="shared" si="131"/>
        <v>293.33333333333474</v>
      </c>
      <c r="FJ194" s="59">
        <f ca="1">AVERAGE(OFFSET($FI$3,0,0,'Données projet'!$E$16+1,1))-AVERAGE(OFFSET($H$3,0,0,'Données projet'!$E$16+1,1))</f>
        <v>196.95467273423861</v>
      </c>
      <c r="FK194" s="59">
        <f t="shared" si="156"/>
        <v>173.8709326829258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9.5084886336760057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8.0868473536516075E-16</v>
      </c>
      <c r="FT194" s="22">
        <f t="shared" si="184"/>
        <v>9.5084886336760057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5.6843418860808015E-14</v>
      </c>
      <c r="GA194" s="17">
        <f>FZ194*VLOOKUP('Données projet'!$B$17,Paramètres!$A$1:$I$89,3,0)*VLOOKUP('Données projet'!$B$17,Paramètres!$A$1:$I$89,5,0)</f>
        <v>6.1186256061773749E-14</v>
      </c>
      <c r="GB194" s="13">
        <f t="shared" si="185"/>
        <v>9.7328366192051127E-13</v>
      </c>
      <c r="GC194" s="20">
        <f t="shared" si="186"/>
        <v>1.8017017738191463E-12</v>
      </c>
      <c r="GD194" s="59">
        <f t="shared" si="134"/>
        <v>293.33333333333513</v>
      </c>
      <c r="GE194" s="59">
        <f ca="1">AVERAGE(OFFSET($GD$3,0,0,'Données projet'!$E$17+1,1))-AVERAGE(OFFSET($H$3,0,0,'Données projet'!$E$17+1,1))</f>
        <v>275.5229427552884</v>
      </c>
      <c r="GF194" s="59">
        <f t="shared" si="158"/>
        <v>241.20234081716143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12.617032994685477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1.0730624373114625E-15</v>
      </c>
      <c r="GO194" s="21">
        <f t="shared" si="187"/>
        <v>12.617032994685479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274.57619581652199</v>
      </c>
      <c r="T195" s="59">
        <f t="shared" si="142"/>
        <v>366.15117322598775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 t="e">
        <f>EXP(-LN(2)/35)*Z194+(1-EXP(-LN(2)/35))/(LN(2)/35)*V195*W195*VLOOKUP('Données projet'!$B$9,Paramètres!$A$1:$I$89,3,0)*0.475*44/12</f>
        <v>#VALUE!</v>
      </c>
      <c r="AA195" s="21" t="e">
        <f>EXP(-LN(2)/25)*AA194+(1-EXP(-LN(2)/25))/(LN(2)/25)*Calculateur!V195*Calculateur!X195*VLOOKUP('Données projet'!$B$9,Paramètres!$A$1:$I$89,3,0)*0.475*44/12</f>
        <v>#VALUE!</v>
      </c>
      <c r="AB195" s="21" t="e">
        <f>EXP(-LN(2)/2)*AB194+(1-EXP(-LN(2)/2))/(LN(2)/2)*V195*Y195*VLOOKUP('Données projet'!$B$9,Paramètres!$A$1:$I$89,3,0)*0.475*44/12</f>
        <v>#VALUE!</v>
      </c>
      <c r="AC195" s="22" t="e">
        <f t="shared" si="163"/>
        <v>#VALUE!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175.05987582828078</v>
      </c>
      <c r="AO195" s="59">
        <f t="shared" si="144"/>
        <v>268.54782308462387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12.3269525196089</v>
      </c>
      <c r="AV195" s="21">
        <f>EXP(-LN(2)/25)*AV194+(1-EXP(-LN(2)/25))/(LN(2)/25)*Calculateur!AQ195*Calculateur!AS195*VLOOKUP('Données projet'!$B$10,Paramètres!$A$1:$I$89,3,0)*0.475*44/12</f>
        <v>1.0847297726327503</v>
      </c>
      <c r="AW195" s="21">
        <f>EXP(-LN(2)/2)*AW194+(1-EXP(-LN(2)/2))/(LN(2)/2)*AQ195*AT195*VLOOKUP('Données projet'!$B$10,Paramètres!$A$1:$I$89,3,0)*0.475*44/12</f>
        <v>3.8569759466087956E-19</v>
      </c>
      <c r="AX195" s="21">
        <f t="shared" si="166"/>
        <v>13.41168229224165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252.70779718608964</v>
      </c>
      <c r="BJ195" s="59">
        <f t="shared" si="146"/>
        <v>187.86969111712705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38.46804255802666</v>
      </c>
      <c r="BQ195" s="21">
        <f>EXP(-LN(2)/25)*BQ194+(1-EXP(-LN(2)/25))/(LN(2)/25)*Calculateur!BL195*Calculateur!BN195*VLOOKUP('Données projet'!$B$11,Paramètres!$A$1:$I$89,3,0)*0.475*44/12</f>
        <v>4.2261331471367853</v>
      </c>
      <c r="BR195" s="21">
        <f>EXP(-LN(2)/2)*BR194+(1-EXP(-LN(2)/2))/(LN(2)/2)*BL195*BO195*VLOOKUP('Données projet'!$B$11,Paramètres!$A$1:$I$89,3,0)*0.475*44/12</f>
        <v>6.7800927204957342E-13</v>
      </c>
      <c r="BS195" s="22">
        <f t="shared" si="169"/>
        <v>42.69417570516412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-1.3596945791505279E-13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279.86432710889352</v>
      </c>
      <c r="CE195" s="59">
        <f t="shared" si="148"/>
        <v>297.01680128882509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9.2923325316805521</v>
      </c>
      <c r="CL195" s="21">
        <f>EXP(-LN(2)/25)*CL194+(1-EXP(-LN(2)/25))/(LN(2)/25)*Calculateur!CG195*Calculateur!CI195*VLOOKUP('Données projet'!$B$12,Paramètres!$A$1:$I$89,3,0)*0.475*44/12</f>
        <v>2.8176686583485537</v>
      </c>
      <c r="CM195" s="21">
        <f>EXP(-LN(2)/2)*CM194+(1-EXP(-LN(2)/2))/(LN(2)/2)*CG195*CJ195*VLOOKUP('Données projet'!$B$12,Paramètres!$A$1:$I$89,3,0)*0.475*44/12</f>
        <v>5.8492555845741131E-18</v>
      </c>
      <c r="CN195" s="22">
        <f t="shared" si="172"/>
        <v>12.110001190029106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-12.000000000000284</v>
      </c>
      <c r="CU195" s="17">
        <f>CT195*VLOOKUP('Données projet'!$B$13,Paramètres!$A$1:$I$89,3,0)*VLOOKUP('Données projet'!$B$13,Paramètres!$A$1:$I$89,5,0)</f>
        <v>-9.5472000000002257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314.6300257056194</v>
      </c>
      <c r="CZ195" s="59">
        <f t="shared" si="150"/>
        <v>298.00555477466668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15.462441284708119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15.462441284708119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-12.000000000000284</v>
      </c>
      <c r="DP195" s="17">
        <f>DO195*VLOOKUP('Données projet'!$B$14,Paramètres!$A$1:$I$89,3,0)*VLOOKUP('Données projet'!$B$14,Paramètres!$A$1:$I$89,5,0)</f>
        <v>-9.5472000000002257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314.6300257056194</v>
      </c>
      <c r="DU195" s="59">
        <f t="shared" si="152"/>
        <v>298.00555477466668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15.462441284708119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15.462441284708119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441.23846153846227</v>
      </c>
      <c r="EK195" s="17">
        <f>EJ195*VLOOKUP('Données projet'!$B$15,Paramètres!$A$1:$I$89,3,0)*VLOOKUP('Données projet'!$B$15,Paramètres!$A$1:$I$89,5,0)</f>
        <v>212.23570000000035</v>
      </c>
      <c r="EL195" s="13">
        <f t="shared" si="179"/>
        <v>52.423840876495639</v>
      </c>
      <c r="EM195" s="20">
        <f t="shared" si="180"/>
        <v>460.9487003598972</v>
      </c>
      <c r="EN195" s="59">
        <f t="shared" si="128"/>
        <v>754.28203369323046</v>
      </c>
      <c r="EO195" s="59">
        <f ca="1">AVERAGE(OFFSET($EN$3,0,0,'Données projet'!$E$15+1,1))-AVERAGE(OFFSET($H$3,0,0,'Données projet'!$E$15+1,1))</f>
        <v>238.83604534181978</v>
      </c>
      <c r="EP195" s="59">
        <f t="shared" si="154"/>
        <v>114.85152559837792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5.6843418860808015E-14</v>
      </c>
      <c r="FF195" s="17">
        <f>FE195*VLOOKUP('Données projet'!$B$16,Paramètres!$A$1:$I$89,3,0)*VLOOKUP('Données projet'!$B$16,Paramètres!$A$1:$I$89,5,0)</f>
        <v>4.6111381379887463E-14</v>
      </c>
      <c r="FG195" s="13">
        <f t="shared" si="182"/>
        <v>7.5804141040779151E-13</v>
      </c>
      <c r="FH195" s="20">
        <f t="shared" si="183"/>
        <v>1.4005661123635408E-12</v>
      </c>
      <c r="FI195" s="59">
        <f t="shared" si="131"/>
        <v>293.33333333333474</v>
      </c>
      <c r="FJ195" s="59">
        <f ca="1">AVERAGE(OFFSET($FI$3,0,0,'Données projet'!$E$16+1,1))-AVERAGE(OFFSET($H$3,0,0,'Données projet'!$E$16+1,1))</f>
        <v>196.95467273423861</v>
      </c>
      <c r="FK195" s="59">
        <f t="shared" si="156"/>
        <v>173.8709326829258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9.3220329711750232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5.718264602187538E-16</v>
      </c>
      <c r="FT195" s="22">
        <f t="shared" si="184"/>
        <v>9.3220329711750232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5.6843418860808015E-14</v>
      </c>
      <c r="GA195" s="17">
        <f>FZ195*VLOOKUP('Données projet'!$B$17,Paramètres!$A$1:$I$89,3,0)*VLOOKUP('Données projet'!$B$17,Paramètres!$A$1:$I$89,5,0)</f>
        <v>6.1186256061773749E-14</v>
      </c>
      <c r="GB195" s="13">
        <f t="shared" si="185"/>
        <v>9.7328366192051127E-13</v>
      </c>
      <c r="GC195" s="20">
        <f t="shared" si="186"/>
        <v>1.8017017738191463E-12</v>
      </c>
      <c r="GD195" s="59">
        <f t="shared" si="134"/>
        <v>293.33333333333513</v>
      </c>
      <c r="GE195" s="59">
        <f ca="1">AVERAGE(OFFSET($GD$3,0,0,'Données projet'!$E$17+1,1))-AVERAGE(OFFSET($H$3,0,0,'Données projet'!$E$17+1,1))</f>
        <v>275.5229427552884</v>
      </c>
      <c r="GF195" s="59">
        <f t="shared" si="158"/>
        <v>241.20234081716143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12.369620673289941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7.5876972605949971E-16</v>
      </c>
      <c r="GO195" s="21">
        <f t="shared" si="187"/>
        <v>12.369620673289941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274.57619581652199</v>
      </c>
      <c r="T196" s="59">
        <f t="shared" si="142"/>
        <v>366.15117322598775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 t="e">
        <f>EXP(-LN(2)/35)*Z195+(1-EXP(-LN(2)/35))/(LN(2)/35)*V196*W196*VLOOKUP('Données projet'!$B$9,Paramètres!$A$1:$I$89,3,0)*0.475*44/12</f>
        <v>#VALUE!</v>
      </c>
      <c r="AA196" s="21" t="e">
        <f>EXP(-LN(2)/25)*AA195+(1-EXP(-LN(2)/25))/(LN(2)/25)*Calculateur!V196*Calculateur!X196*VLOOKUP('Données projet'!$B$9,Paramètres!$A$1:$I$89,3,0)*0.475*44/12</f>
        <v>#VALUE!</v>
      </c>
      <c r="AB196" s="21" t="e">
        <f>EXP(-LN(2)/2)*AB195+(1-EXP(-LN(2)/2))/(LN(2)/2)*V196*Y196*VLOOKUP('Données projet'!$B$9,Paramètres!$A$1:$I$89,3,0)*0.475*44/12</f>
        <v>#VALUE!</v>
      </c>
      <c r="AC196" s="22" t="e">
        <f t="shared" si="163"/>
        <v>#VALUE!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175.05987582828078</v>
      </c>
      <c r="AO196" s="59">
        <f t="shared" si="144"/>
        <v>268.54782308462387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12.085228499397997</v>
      </c>
      <c r="AV196" s="21">
        <f>EXP(-LN(2)/25)*AV195+(1-EXP(-LN(2)/25))/(LN(2)/25)*Calculateur!AQ196*Calculateur!AS196*VLOOKUP('Données projet'!$B$10,Paramètres!$A$1:$I$89,3,0)*0.475*44/12</f>
        <v>1.0550677799566481</v>
      </c>
      <c r="AW196" s="21">
        <f>EXP(-LN(2)/2)*AW195+(1-EXP(-LN(2)/2))/(LN(2)/2)*AQ196*AT196*VLOOKUP('Données projet'!$B$10,Paramètres!$A$1:$I$89,3,0)*0.475*44/12</f>
        <v>2.7272938467204826E-19</v>
      </c>
      <c r="AX196" s="21">
        <f t="shared" si="166"/>
        <v>13.140296279354645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252.70779718608964</v>
      </c>
      <c r="BJ196" s="59">
        <f t="shared" si="146"/>
        <v>187.86969111712705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37.713707706652919</v>
      </c>
      <c r="BQ196" s="21">
        <f>EXP(-LN(2)/25)*BQ195+(1-EXP(-LN(2)/25))/(LN(2)/25)*Calculateur!BL196*Calculateur!BN196*VLOOKUP('Données projet'!$B$11,Paramètres!$A$1:$I$89,3,0)*0.475*44/12</f>
        <v>4.1105693139856463</v>
      </c>
      <c r="BR196" s="21">
        <f>EXP(-LN(2)/2)*BR195+(1-EXP(-LN(2)/2))/(LN(2)/2)*BL196*BO196*VLOOKUP('Données projet'!$B$11,Paramètres!$A$1:$I$89,3,0)*0.475*44/12</f>
        <v>4.7942495397360807E-13</v>
      </c>
      <c r="BS196" s="22">
        <f t="shared" si="169"/>
        <v>41.824277020639038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-1.3596945791505279E-13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279.86432710889352</v>
      </c>
      <c r="CE196" s="59">
        <f t="shared" si="148"/>
        <v>297.01680128882509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9.1101155584974958</v>
      </c>
      <c r="CL196" s="21">
        <f>EXP(-LN(2)/25)*CL195+(1-EXP(-LN(2)/25))/(LN(2)/25)*Calculateur!CG196*Calculateur!CI196*VLOOKUP('Données projet'!$B$12,Paramètres!$A$1:$I$89,3,0)*0.475*44/12</f>
        <v>2.7406193607112574</v>
      </c>
      <c r="CM196" s="21">
        <f>EXP(-LN(2)/2)*CM195+(1-EXP(-LN(2)/2))/(LN(2)/2)*CG196*CJ196*VLOOKUP('Données projet'!$B$12,Paramètres!$A$1:$I$89,3,0)*0.475*44/12</f>
        <v>4.1360482887456384E-18</v>
      </c>
      <c r="CN196" s="22">
        <f t="shared" si="172"/>
        <v>11.850734919208753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-12.000000000000284</v>
      </c>
      <c r="CU196" s="17">
        <f>CT196*VLOOKUP('Données projet'!$B$13,Paramètres!$A$1:$I$89,3,0)*VLOOKUP('Données projet'!$B$13,Paramètres!$A$1:$I$89,5,0)</f>
        <v>-9.5472000000002257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314.6300257056194</v>
      </c>
      <c r="CZ196" s="59">
        <f t="shared" si="150"/>
        <v>298.00555477466668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15.159232242272926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15.159232242272926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-12.000000000000284</v>
      </c>
      <c r="DP196" s="17">
        <f>DO196*VLOOKUP('Données projet'!$B$14,Paramètres!$A$1:$I$89,3,0)*VLOOKUP('Données projet'!$B$14,Paramètres!$A$1:$I$89,5,0)</f>
        <v>-9.5472000000002257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314.6300257056194</v>
      </c>
      <c r="DU196" s="59">
        <f t="shared" si="152"/>
        <v>298.00555477466668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15.159232242272926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15.159232242272926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441.23846153846227</v>
      </c>
      <c r="EK196" s="17">
        <f>EJ196*VLOOKUP('Données projet'!$B$15,Paramètres!$A$1:$I$89,3,0)*VLOOKUP('Données projet'!$B$15,Paramètres!$A$1:$I$89,5,0)</f>
        <v>212.23570000000035</v>
      </c>
      <c r="EL196" s="13">
        <f t="shared" si="179"/>
        <v>52.423840876495639</v>
      </c>
      <c r="EM196" s="20">
        <f t="shared" si="180"/>
        <v>460.9487003598972</v>
      </c>
      <c r="EN196" s="59">
        <f t="shared" ref="EN196:EN203" si="198">EM196+(EE196+EF196)*44/12</f>
        <v>754.28203369323046</v>
      </c>
      <c r="EO196" s="59">
        <f ca="1">AVERAGE(OFFSET($EN$3,0,0,'Données projet'!$E$15+1,1))-AVERAGE(OFFSET($H$3,0,0,'Données projet'!$E$15+1,1))</f>
        <v>238.83604534181978</v>
      </c>
      <c r="EP196" s="59">
        <f t="shared" si="154"/>
        <v>114.85152559837792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5.6843418860808015E-14</v>
      </c>
      <c r="FF196" s="17">
        <f>FE196*VLOOKUP('Données projet'!$B$16,Paramètres!$A$1:$I$89,3,0)*VLOOKUP('Données projet'!$B$16,Paramètres!$A$1:$I$89,5,0)</f>
        <v>4.6111381379887463E-14</v>
      </c>
      <c r="FG196" s="13">
        <f t="shared" si="182"/>
        <v>7.5804141040779151E-13</v>
      </c>
      <c r="FH196" s="20">
        <f t="shared" si="183"/>
        <v>1.4005661123635408E-12</v>
      </c>
      <c r="FI196" s="59">
        <f t="shared" ref="FI196:FI203" si="199">FH196+(EZ196+FA196)*44/12</f>
        <v>293.33333333333474</v>
      </c>
      <c r="FJ196" s="59">
        <f ca="1">AVERAGE(OFFSET($FI$3,0,0,'Données projet'!$E$16+1,1))-AVERAGE(OFFSET($H$3,0,0,'Données projet'!$E$16+1,1))</f>
        <v>196.95467273423861</v>
      </c>
      <c r="FK196" s="59">
        <f t="shared" si="156"/>
        <v>173.8709326829258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9.1392335904889599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4.0434236768258037E-16</v>
      </c>
      <c r="FT196" s="22">
        <f t="shared" si="184"/>
        <v>9.1392335904889599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5.6843418860808015E-14</v>
      </c>
      <c r="GA196" s="17">
        <f>FZ196*VLOOKUP('Données projet'!$B$17,Paramètres!$A$1:$I$89,3,0)*VLOOKUP('Données projet'!$B$17,Paramètres!$A$1:$I$89,5,0)</f>
        <v>6.1186256061773749E-14</v>
      </c>
      <c r="GB196" s="13">
        <f t="shared" si="185"/>
        <v>9.7328366192051127E-13</v>
      </c>
      <c r="GC196" s="20">
        <f t="shared" si="186"/>
        <v>1.8017017738191463E-12</v>
      </c>
      <c r="GD196" s="59">
        <f t="shared" ref="GD196:GD203" si="200">GC196+(FU196+FV196)*44/12</f>
        <v>293.33333333333513</v>
      </c>
      <c r="GE196" s="59">
        <f ca="1">AVERAGE(OFFSET($GD$3,0,0,'Données projet'!$E$17+1,1))-AVERAGE(OFFSET($H$3,0,0,'Données projet'!$E$17+1,1))</f>
        <v>275.5229427552884</v>
      </c>
      <c r="GF196" s="59">
        <f t="shared" si="158"/>
        <v>241.20234081716143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12.127059956610356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5.3653121865573126E-16</v>
      </c>
      <c r="GO196" s="21">
        <f t="shared" si="187"/>
        <v>12.127059956610356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274.57619581652199</v>
      </c>
      <c r="T197" s="59">
        <f t="shared" ref="T197:T203" si="204">$T$3</f>
        <v>366.15117322598775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 t="e">
        <f>EXP(-LN(2)/35)*Z196+(1-EXP(-LN(2)/35))/(LN(2)/35)*V197*W197*VLOOKUP('Données projet'!$B$9,Paramètres!$A$1:$I$89,3,0)*0.475*44/12</f>
        <v>#VALUE!</v>
      </c>
      <c r="AA197" s="21" t="e">
        <f>EXP(-LN(2)/25)*AA196+(1-EXP(-LN(2)/25))/(LN(2)/25)*Calculateur!V197*Calculateur!X197*VLOOKUP('Données projet'!$B$9,Paramètres!$A$1:$I$89,3,0)*0.475*44/12</f>
        <v>#VALUE!</v>
      </c>
      <c r="AB197" s="21" t="e">
        <f>EXP(-LN(2)/2)*AB196+(1-EXP(-LN(2)/2))/(LN(2)/2)*V197*Y197*VLOOKUP('Données projet'!$B$9,Paramètres!$A$1:$I$89,3,0)*0.475*44/12</f>
        <v>#VALUE!</v>
      </c>
      <c r="AC197" s="22" t="e">
        <f t="shared" si="163"/>
        <v>#VALUE!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175.05987582828078</v>
      </c>
      <c r="AO197" s="59">
        <f t="shared" ref="AO197:AO203" si="205">$AO$3</f>
        <v>268.54782308462387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11.848244539786336</v>
      </c>
      <c r="AV197" s="21">
        <f>EXP(-LN(2)/25)*AV196+(1-EXP(-LN(2)/25))/(LN(2)/25)*Calculateur!AQ197*Calculateur!AS197*VLOOKUP('Données projet'!$B$10,Paramètres!$A$1:$I$89,3,0)*0.475*44/12</f>
        <v>1.0262168960301303</v>
      </c>
      <c r="AW197" s="21">
        <f>EXP(-LN(2)/2)*AW196+(1-EXP(-LN(2)/2))/(LN(2)/2)*AQ197*AT197*VLOOKUP('Données projet'!$B$10,Paramètres!$A$1:$I$89,3,0)*0.475*44/12</f>
        <v>1.9284879733043978E-19</v>
      </c>
      <c r="AX197" s="21">
        <f t="shared" si="166"/>
        <v>12.874461435816466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252.70779718608964</v>
      </c>
      <c r="BJ197" s="59">
        <f t="shared" ref="BJ197:BJ203" si="206">$BJ$3</f>
        <v>187.86969111712705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36.974164901615787</v>
      </c>
      <c r="BQ197" s="21">
        <f>EXP(-LN(2)/25)*BQ196+(1-EXP(-LN(2)/25))/(LN(2)/25)*Calculateur!BL197*Calculateur!BN197*VLOOKUP('Données projet'!$B$11,Paramètres!$A$1:$I$89,3,0)*0.475*44/12</f>
        <v>3.9981655799292635</v>
      </c>
      <c r="BR197" s="21">
        <f>EXP(-LN(2)/2)*BR196+(1-EXP(-LN(2)/2))/(LN(2)/2)*BL197*BO197*VLOOKUP('Données projet'!$B$11,Paramètres!$A$1:$I$89,3,0)*0.475*44/12</f>
        <v>3.3900463602478671E-13</v>
      </c>
      <c r="BS197" s="22">
        <f t="shared" si="169"/>
        <v>40.972330481545391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-1.3596945791505279E-13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279.86432710889352</v>
      </c>
      <c r="CE197" s="59">
        <f t="shared" ref="CE197:CE203" si="207">$CE$3</f>
        <v>297.01680128882509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8.9314717490171791</v>
      </c>
      <c r="CL197" s="21">
        <f>EXP(-LN(2)/25)*CL196+(1-EXP(-LN(2)/25))/(LN(2)/25)*Calculateur!CG197*Calculateur!CI197*VLOOKUP('Données projet'!$B$12,Paramètres!$A$1:$I$89,3,0)*0.475*44/12</f>
        <v>2.6656769801696996</v>
      </c>
      <c r="CM197" s="21">
        <f>EXP(-LN(2)/2)*CM196+(1-EXP(-LN(2)/2))/(LN(2)/2)*CG197*CJ197*VLOOKUP('Données projet'!$B$12,Paramètres!$A$1:$I$89,3,0)*0.475*44/12</f>
        <v>2.9246277922870565E-18</v>
      </c>
      <c r="CN197" s="22">
        <f t="shared" si="172"/>
        <v>11.597148729186879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-12.000000000000284</v>
      </c>
      <c r="CU197" s="17">
        <f>CT197*VLOOKUP('Données projet'!$B$13,Paramètres!$A$1:$I$89,3,0)*VLOOKUP('Données projet'!$B$13,Paramètres!$A$1:$I$89,5,0)</f>
        <v>-9.5472000000002257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314.6300257056194</v>
      </c>
      <c r="CZ197" s="59">
        <f t="shared" ref="CZ197:CZ203" si="208">$CZ$3</f>
        <v>298.00555477466668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14.861968944220633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14.861968944220633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-12.000000000000284</v>
      </c>
      <c r="DP197" s="17">
        <f>DO197*VLOOKUP('Données projet'!$B$14,Paramètres!$A$1:$I$89,3,0)*VLOOKUP('Données projet'!$B$14,Paramètres!$A$1:$I$89,5,0)</f>
        <v>-9.5472000000002257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314.6300257056194</v>
      </c>
      <c r="DU197" s="59">
        <f t="shared" ref="DU197:DU203" si="209">$DU$3</f>
        <v>298.00555477466668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14.861968944220633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14.861968944220633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441.23846153846227</v>
      </c>
      <c r="EK197" s="17">
        <f>EJ197*VLOOKUP('Données projet'!$B$15,Paramètres!$A$1:$I$89,3,0)*VLOOKUP('Données projet'!$B$15,Paramètres!$A$1:$I$89,5,0)</f>
        <v>212.23570000000035</v>
      </c>
      <c r="EL197" s="13">
        <f t="shared" si="179"/>
        <v>52.423840876495639</v>
      </c>
      <c r="EM197" s="20">
        <f t="shared" si="180"/>
        <v>460.9487003598972</v>
      </c>
      <c r="EN197" s="59">
        <f t="shared" si="198"/>
        <v>754.28203369323046</v>
      </c>
      <c r="EO197" s="59">
        <f ca="1">AVERAGE(OFFSET($EN$3,0,0,'Données projet'!$E$15+1,1))-AVERAGE(OFFSET($H$3,0,0,'Données projet'!$E$15+1,1))</f>
        <v>238.83604534181978</v>
      </c>
      <c r="EP197" s="59">
        <f t="shared" ref="EP197:EP203" si="210">$EP$3</f>
        <v>114.85152559837792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5.6843418860808015E-14</v>
      </c>
      <c r="FF197" s="17">
        <f>FE197*VLOOKUP('Données projet'!$B$16,Paramètres!$A$1:$I$89,3,0)*VLOOKUP('Données projet'!$B$16,Paramètres!$A$1:$I$89,5,0)</f>
        <v>4.6111381379887463E-14</v>
      </c>
      <c r="FG197" s="13">
        <f t="shared" si="182"/>
        <v>7.5804141040779151E-13</v>
      </c>
      <c r="FH197" s="20">
        <f t="shared" si="183"/>
        <v>1.4005661123635408E-12</v>
      </c>
      <c r="FI197" s="59">
        <f t="shared" si="199"/>
        <v>293.33333333333474</v>
      </c>
      <c r="FJ197" s="59">
        <f ca="1">AVERAGE(OFFSET($FI$3,0,0,'Données projet'!$E$16+1,1))-AVERAGE(OFFSET($H$3,0,0,'Données projet'!$E$16+1,1))</f>
        <v>196.95467273423861</v>
      </c>
      <c r="FK197" s="59">
        <f t="shared" ref="FK197:FK203" si="211">$FK$3</f>
        <v>173.8709326829258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8.9600187941615363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2.859132301093769E-16</v>
      </c>
      <c r="FT197" s="22">
        <f t="shared" si="184"/>
        <v>8.9600187941615363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5.6843418860808015E-14</v>
      </c>
      <c r="GA197" s="17">
        <f>FZ197*VLOOKUP('Données projet'!$B$17,Paramètres!$A$1:$I$89,3,0)*VLOOKUP('Données projet'!$B$17,Paramètres!$A$1:$I$89,5,0)</f>
        <v>6.1186256061773749E-14</v>
      </c>
      <c r="GB197" s="13">
        <f t="shared" si="185"/>
        <v>9.7328366192051127E-13</v>
      </c>
      <c r="GC197" s="20">
        <f t="shared" si="186"/>
        <v>1.8017017738191463E-12</v>
      </c>
      <c r="GD197" s="59">
        <f t="shared" si="200"/>
        <v>293.33333333333513</v>
      </c>
      <c r="GE197" s="59">
        <f ca="1">AVERAGE(OFFSET($GD$3,0,0,'Données projet'!$E$17+1,1))-AVERAGE(OFFSET($H$3,0,0,'Données projet'!$E$17+1,1))</f>
        <v>275.5229427552884</v>
      </c>
      <c r="GF197" s="59">
        <f t="shared" ref="GF197:GF203" si="212">$GF$3</f>
        <v>241.20234081716143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11.88925570763743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3.7938486302974985E-16</v>
      </c>
      <c r="GO197" s="21">
        <f t="shared" si="187"/>
        <v>11.88925570763743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274.57619581652199</v>
      </c>
      <c r="T198" s="59">
        <f t="shared" si="204"/>
        <v>366.15117322598775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 t="e">
        <f>EXP(-LN(2)/35)*Z197+(1-EXP(-LN(2)/35))/(LN(2)/35)*V198*W198*VLOOKUP('Données projet'!$B$9,Paramètres!$A$1:$I$89,3,0)*0.475*44/12</f>
        <v>#VALUE!</v>
      </c>
      <c r="AA198" s="21" t="e">
        <f>EXP(-LN(2)/25)*AA197+(1-EXP(-LN(2)/25))/(LN(2)/25)*Calculateur!V198*Calculateur!X198*VLOOKUP('Données projet'!$B$9,Paramètres!$A$1:$I$89,3,0)*0.475*44/12</f>
        <v>#VALUE!</v>
      </c>
      <c r="AB198" s="21" t="e">
        <f>EXP(-LN(2)/2)*AB197+(1-EXP(-LN(2)/2))/(LN(2)/2)*V198*Y198*VLOOKUP('Données projet'!$B$9,Paramètres!$A$1:$I$89,3,0)*0.475*44/12</f>
        <v>#VALUE!</v>
      </c>
      <c r="AC198" s="22" t="e">
        <f t="shared" si="163"/>
        <v>#VALUE!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175.05987582828078</v>
      </c>
      <c r="AO198" s="59">
        <f t="shared" si="205"/>
        <v>268.54782308462387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11.615907691076716</v>
      </c>
      <c r="AV198" s="21">
        <f>EXP(-LN(2)/25)*AV197+(1-EXP(-LN(2)/25))/(LN(2)/25)*Calculateur!AQ198*Calculateur!AS198*VLOOKUP('Données projet'!$B$10,Paramètres!$A$1:$I$89,3,0)*0.475*44/12</f>
        <v>0.99815494104178526</v>
      </c>
      <c r="AW198" s="21">
        <f>EXP(-LN(2)/2)*AW197+(1-EXP(-LN(2)/2))/(LN(2)/2)*AQ198*AT198*VLOOKUP('Données projet'!$B$10,Paramètres!$A$1:$I$89,3,0)*0.475*44/12</f>
        <v>1.3636469233602413E-19</v>
      </c>
      <c r="AX198" s="21">
        <f t="shared" si="166"/>
        <v>12.6140626321185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252.70779718608964</v>
      </c>
      <c r="BJ198" s="59">
        <f t="shared" si="206"/>
        <v>187.86969111712705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36.249124079908867</v>
      </c>
      <c r="BQ198" s="21">
        <f>EXP(-LN(2)/25)*BQ197+(1-EXP(-LN(2)/25))/(LN(2)/25)*Calculateur!BL198*Calculateur!BN198*VLOOKUP('Données projet'!$B$11,Paramètres!$A$1:$I$89,3,0)*0.475*44/12</f>
        <v>3.8888355318917078</v>
      </c>
      <c r="BR198" s="21">
        <f>EXP(-LN(2)/2)*BR197+(1-EXP(-LN(2)/2))/(LN(2)/2)*BL198*BO198*VLOOKUP('Données projet'!$B$11,Paramètres!$A$1:$I$89,3,0)*0.475*44/12</f>
        <v>2.3971247698680403E-13</v>
      </c>
      <c r="BS198" s="22">
        <f t="shared" si="169"/>
        <v>40.137959611800817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-1.3596945791505279E-13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279.86432710889352</v>
      </c>
      <c r="CE198" s="59">
        <f t="shared" si="207"/>
        <v>297.01680128882509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8.7563310356788069</v>
      </c>
      <c r="CL198" s="21">
        <f>EXP(-LN(2)/25)*CL197+(1-EXP(-LN(2)/25))/(LN(2)/25)*Calculateur!CG198*Calculateur!CI198*VLOOKUP('Données projet'!$B$12,Paramètres!$A$1:$I$89,3,0)*0.475*44/12</f>
        <v>2.5927839029650994</v>
      </c>
      <c r="CM198" s="21">
        <f>EXP(-LN(2)/2)*CM197+(1-EXP(-LN(2)/2))/(LN(2)/2)*CG198*CJ198*VLOOKUP('Données projet'!$B$12,Paramètres!$A$1:$I$89,3,0)*0.475*44/12</f>
        <v>2.0680241443728192E-18</v>
      </c>
      <c r="CN198" s="22">
        <f t="shared" si="172"/>
        <v>11.349114938643906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-12.000000000000284</v>
      </c>
      <c r="CU198" s="17">
        <f>CT198*VLOOKUP('Données projet'!$B$13,Paramètres!$A$1:$I$89,3,0)*VLOOKUP('Données projet'!$B$13,Paramètres!$A$1:$I$89,5,0)</f>
        <v>-9.5472000000002257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314.6300257056194</v>
      </c>
      <c r="CZ198" s="59">
        <f t="shared" si="208"/>
        <v>298.00555477466668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14.570534798130437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14.570534798130437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-12.000000000000284</v>
      </c>
      <c r="DP198" s="17">
        <f>DO198*VLOOKUP('Données projet'!$B$14,Paramètres!$A$1:$I$89,3,0)*VLOOKUP('Données projet'!$B$14,Paramètres!$A$1:$I$89,5,0)</f>
        <v>-9.5472000000002257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314.6300257056194</v>
      </c>
      <c r="DU198" s="59">
        <f t="shared" si="209"/>
        <v>298.00555477466668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14.570534798130437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14.570534798130437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441.23846153846227</v>
      </c>
      <c r="EK198" s="17">
        <f>EJ198*VLOOKUP('Données projet'!$B$15,Paramètres!$A$1:$I$89,3,0)*VLOOKUP('Données projet'!$B$15,Paramètres!$A$1:$I$89,5,0)</f>
        <v>212.23570000000035</v>
      </c>
      <c r="EL198" s="13">
        <f t="shared" si="179"/>
        <v>52.423840876495639</v>
      </c>
      <c r="EM198" s="20">
        <f t="shared" si="180"/>
        <v>460.9487003598972</v>
      </c>
      <c r="EN198" s="59">
        <f t="shared" si="198"/>
        <v>754.28203369323046</v>
      </c>
      <c r="EO198" s="59">
        <f ca="1">AVERAGE(OFFSET($EN$3,0,0,'Données projet'!$E$15+1,1))-AVERAGE(OFFSET($H$3,0,0,'Données projet'!$E$15+1,1))</f>
        <v>238.83604534181978</v>
      </c>
      <c r="EP198" s="59">
        <f t="shared" si="210"/>
        <v>114.85152559837792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5.6843418860808015E-14</v>
      </c>
      <c r="FF198" s="17">
        <f>FE198*VLOOKUP('Données projet'!$B$16,Paramètres!$A$1:$I$89,3,0)*VLOOKUP('Données projet'!$B$16,Paramètres!$A$1:$I$89,5,0)</f>
        <v>4.6111381379887463E-14</v>
      </c>
      <c r="FG198" s="13">
        <f t="shared" si="182"/>
        <v>7.5804141040779151E-13</v>
      </c>
      <c r="FH198" s="20">
        <f t="shared" si="183"/>
        <v>1.4005661123635408E-12</v>
      </c>
      <c r="FI198" s="59">
        <f t="shared" si="199"/>
        <v>293.33333333333474</v>
      </c>
      <c r="FJ198" s="59">
        <f ca="1">AVERAGE(OFFSET($FI$3,0,0,'Données projet'!$E$16+1,1))-AVERAGE(OFFSET($H$3,0,0,'Données projet'!$E$16+1,1))</f>
        <v>196.95467273423861</v>
      </c>
      <c r="FK198" s="59">
        <f t="shared" si="211"/>
        <v>173.8709326829258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8.7843182906798614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2.0217118384129019E-16</v>
      </c>
      <c r="FT198" s="22">
        <f t="shared" si="184"/>
        <v>8.7843182906798614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5.6843418860808015E-14</v>
      </c>
      <c r="GA198" s="17">
        <f>FZ198*VLOOKUP('Données projet'!$B$17,Paramètres!$A$1:$I$89,3,0)*VLOOKUP('Données projet'!$B$17,Paramètres!$A$1:$I$89,5,0)</f>
        <v>6.1186256061773749E-14</v>
      </c>
      <c r="GB198" s="13">
        <f t="shared" si="185"/>
        <v>9.7328366192051127E-13</v>
      </c>
      <c r="GC198" s="20">
        <f t="shared" si="186"/>
        <v>1.8017017738191463E-12</v>
      </c>
      <c r="GD198" s="59">
        <f t="shared" si="200"/>
        <v>293.33333333333513</v>
      </c>
      <c r="GE198" s="59">
        <f ca="1">AVERAGE(OFFSET($GD$3,0,0,'Données projet'!$E$17+1,1))-AVERAGE(OFFSET($H$3,0,0,'Données projet'!$E$17+1,1))</f>
        <v>275.5229427552884</v>
      </c>
      <c r="GF198" s="59">
        <f t="shared" si="212"/>
        <v>241.20234081716143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11.656114654940593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2.6826560932786563E-16</v>
      </c>
      <c r="GO198" s="21">
        <f t="shared" si="187"/>
        <v>11.656114654940593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274.57619581652199</v>
      </c>
      <c r="T199" s="59">
        <f t="shared" si="204"/>
        <v>366.15117322598775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 t="e">
        <f>EXP(-LN(2)/35)*Z198+(1-EXP(-LN(2)/35))/(LN(2)/35)*V199*W199*VLOOKUP('Données projet'!$B$9,Paramètres!$A$1:$I$89,3,0)*0.475*44/12</f>
        <v>#VALUE!</v>
      </c>
      <c r="AA199" s="21" t="e">
        <f>EXP(-LN(2)/25)*AA198+(1-EXP(-LN(2)/25))/(LN(2)/25)*Calculateur!V199*Calculateur!X199*VLOOKUP('Données projet'!$B$9,Paramètres!$A$1:$I$89,3,0)*0.475*44/12</f>
        <v>#VALUE!</v>
      </c>
      <c r="AB199" s="21" t="e">
        <f>EXP(-LN(2)/2)*AB198+(1-EXP(-LN(2)/2))/(LN(2)/2)*V199*Y199*VLOOKUP('Données projet'!$B$9,Paramètres!$A$1:$I$89,3,0)*0.475*44/12</f>
        <v>#VALUE!</v>
      </c>
      <c r="AC199" s="22" t="e">
        <f t="shared" si="163"/>
        <v>#VALUE!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175.05987582828078</v>
      </c>
      <c r="AO199" s="59">
        <f t="shared" si="205"/>
        <v>268.54782308462387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11.388126826258807</v>
      </c>
      <c r="AV199" s="21">
        <f>EXP(-LN(2)/25)*AV198+(1-EXP(-LN(2)/25))/(LN(2)/25)*Calculateur!AQ199*Calculateur!AS199*VLOOKUP('Données projet'!$B$10,Paramètres!$A$1:$I$89,3,0)*0.475*44/12</f>
        <v>0.97086034168831059</v>
      </c>
      <c r="AW199" s="21">
        <f>EXP(-LN(2)/2)*AW198+(1-EXP(-LN(2)/2))/(LN(2)/2)*AQ199*AT199*VLOOKUP('Données projet'!$B$10,Paramètres!$A$1:$I$89,3,0)*0.475*44/12</f>
        <v>9.642439866521989E-20</v>
      </c>
      <c r="AX199" s="21">
        <f t="shared" si="166"/>
        <v>12.358987167947117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252.70779718608964</v>
      </c>
      <c r="BJ199" s="59">
        <f t="shared" si="206"/>
        <v>187.86969111712705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35.538300866484384</v>
      </c>
      <c r="BQ199" s="21">
        <f>EXP(-LN(2)/25)*BQ198+(1-EXP(-LN(2)/25))/(LN(2)/25)*Calculateur!BL199*Calculateur!BN199*VLOOKUP('Données projet'!$B$11,Paramètres!$A$1:$I$89,3,0)*0.475*44/12</f>
        <v>3.7824951197671566</v>
      </c>
      <c r="BR199" s="21">
        <f>EXP(-LN(2)/2)*BR198+(1-EXP(-LN(2)/2))/(LN(2)/2)*BL199*BO199*VLOOKUP('Données projet'!$B$11,Paramètres!$A$1:$I$89,3,0)*0.475*44/12</f>
        <v>1.6950231801239335E-13</v>
      </c>
      <c r="BS199" s="22">
        <f t="shared" si="169"/>
        <v>39.32079598625171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-1.3596945791505279E-13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279.86432710889352</v>
      </c>
      <c r="CE199" s="59">
        <f t="shared" si="207"/>
        <v>297.01680128882509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8.5846247249037138</v>
      </c>
      <c r="CL199" s="21">
        <f>EXP(-LN(2)/25)*CL198+(1-EXP(-LN(2)/25))/(LN(2)/25)*Calculateur!CG199*Calculateur!CI199*VLOOKUP('Données projet'!$B$12,Paramètres!$A$1:$I$89,3,0)*0.475*44/12</f>
        <v>2.5218840907899391</v>
      </c>
      <c r="CM199" s="21">
        <f>EXP(-LN(2)/2)*CM198+(1-EXP(-LN(2)/2))/(LN(2)/2)*CG199*CJ199*VLOOKUP('Données projet'!$B$12,Paramètres!$A$1:$I$89,3,0)*0.475*44/12</f>
        <v>1.4623138961435283E-18</v>
      </c>
      <c r="CN199" s="22">
        <f t="shared" si="172"/>
        <v>11.106508815693653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-12.000000000000284</v>
      </c>
      <c r="CU199" s="17">
        <f>CT199*VLOOKUP('Données projet'!$B$13,Paramètres!$A$1:$I$89,3,0)*VLOOKUP('Données projet'!$B$13,Paramètres!$A$1:$I$89,5,0)</f>
        <v>-9.5472000000002257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314.6300257056194</v>
      </c>
      <c r="CZ199" s="59">
        <f t="shared" si="208"/>
        <v>298.00555477466668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14.284815497887793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14.284815497887793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-12.000000000000284</v>
      </c>
      <c r="DP199" s="17">
        <f>DO199*VLOOKUP('Données projet'!$B$14,Paramètres!$A$1:$I$89,3,0)*VLOOKUP('Données projet'!$B$14,Paramètres!$A$1:$I$89,5,0)</f>
        <v>-9.5472000000002257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314.6300257056194</v>
      </c>
      <c r="DU199" s="59">
        <f t="shared" si="209"/>
        <v>298.00555477466668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14.284815497887793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14.284815497887793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441.23846153846227</v>
      </c>
      <c r="EK199" s="17">
        <f>EJ199*VLOOKUP('Données projet'!$B$15,Paramètres!$A$1:$I$89,3,0)*VLOOKUP('Données projet'!$B$15,Paramètres!$A$1:$I$89,5,0)</f>
        <v>212.23570000000035</v>
      </c>
      <c r="EL199" s="13">
        <f t="shared" si="179"/>
        <v>52.423840876495639</v>
      </c>
      <c r="EM199" s="20">
        <f t="shared" si="180"/>
        <v>460.9487003598972</v>
      </c>
      <c r="EN199" s="59">
        <f t="shared" si="198"/>
        <v>754.28203369323046</v>
      </c>
      <c r="EO199" s="59">
        <f ca="1">AVERAGE(OFFSET($EN$3,0,0,'Données projet'!$E$15+1,1))-AVERAGE(OFFSET($H$3,0,0,'Données projet'!$E$15+1,1))</f>
        <v>238.83604534181978</v>
      </c>
      <c r="EP199" s="59">
        <f t="shared" si="210"/>
        <v>114.85152559837792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5.6843418860808015E-14</v>
      </c>
      <c r="FF199" s="17">
        <f>FE199*VLOOKUP('Données projet'!$B$16,Paramètres!$A$1:$I$89,3,0)*VLOOKUP('Données projet'!$B$16,Paramètres!$A$1:$I$89,5,0)</f>
        <v>4.6111381379887463E-14</v>
      </c>
      <c r="FG199" s="13">
        <f t="shared" si="182"/>
        <v>7.5804141040779151E-13</v>
      </c>
      <c r="FH199" s="20">
        <f t="shared" si="183"/>
        <v>1.4005661123635408E-12</v>
      </c>
      <c r="FI199" s="59">
        <f t="shared" si="199"/>
        <v>293.33333333333474</v>
      </c>
      <c r="FJ199" s="59">
        <f ca="1">AVERAGE(OFFSET($FI$3,0,0,'Données projet'!$E$16+1,1))-AVERAGE(OFFSET($H$3,0,0,'Données projet'!$E$16+1,1))</f>
        <v>196.95467273423861</v>
      </c>
      <c r="FK199" s="59">
        <f t="shared" si="211"/>
        <v>173.8709326829258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8.6120631669047381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1.4295661505468845E-16</v>
      </c>
      <c r="FT199" s="22">
        <f t="shared" si="184"/>
        <v>8.6120631669047381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5.6843418860808015E-14</v>
      </c>
      <c r="GA199" s="17">
        <f>FZ199*VLOOKUP('Données projet'!$B$17,Paramètres!$A$1:$I$89,3,0)*VLOOKUP('Données projet'!$B$17,Paramètres!$A$1:$I$89,5,0)</f>
        <v>6.1186256061773749E-14</v>
      </c>
      <c r="GB199" s="13">
        <f t="shared" si="185"/>
        <v>9.7328366192051127E-13</v>
      </c>
      <c r="GC199" s="20">
        <f t="shared" si="186"/>
        <v>1.8017017738191463E-12</v>
      </c>
      <c r="GD199" s="59">
        <f t="shared" si="200"/>
        <v>293.33333333333513</v>
      </c>
      <c r="GE199" s="59">
        <f ca="1">AVERAGE(OFFSET($GD$3,0,0,'Données projet'!$E$17+1,1))-AVERAGE(OFFSET($H$3,0,0,'Données projet'!$E$17+1,1))</f>
        <v>275.5229427552884</v>
      </c>
      <c r="GF199" s="59">
        <f t="shared" si="212"/>
        <v>241.20234081716143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11.42754535608514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1.8969243151487493E-16</v>
      </c>
      <c r="GO199" s="21">
        <f t="shared" si="187"/>
        <v>11.42754535608514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274.57619581652199</v>
      </c>
      <c r="T200" s="59">
        <f t="shared" si="204"/>
        <v>366.15117322598775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 t="e">
        <f>EXP(-LN(2)/35)*Z199+(1-EXP(-LN(2)/35))/(LN(2)/35)*V200*W200*VLOOKUP('Données projet'!$B$9,Paramètres!$A$1:$I$89,3,0)*0.475*44/12</f>
        <v>#VALUE!</v>
      </c>
      <c r="AA200" s="21" t="e">
        <f>EXP(-LN(2)/25)*AA199+(1-EXP(-LN(2)/25))/(LN(2)/25)*Calculateur!V200*Calculateur!X200*VLOOKUP('Données projet'!$B$9,Paramètres!$A$1:$I$89,3,0)*0.475*44/12</f>
        <v>#VALUE!</v>
      </c>
      <c r="AB200" s="21" t="e">
        <f>EXP(-LN(2)/2)*AB199+(1-EXP(-LN(2)/2))/(LN(2)/2)*V200*Y200*VLOOKUP('Données projet'!$B$9,Paramètres!$A$1:$I$89,3,0)*0.475*44/12</f>
        <v>#VALUE!</v>
      </c>
      <c r="AC200" s="22" t="e">
        <f t="shared" si="163"/>
        <v>#VALUE!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175.05987582828078</v>
      </c>
      <c r="AO200" s="59">
        <f t="shared" si="205"/>
        <v>268.54782308462387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11.164812605267368</v>
      </c>
      <c r="AV200" s="21">
        <f>EXP(-LN(2)/25)*AV199+(1-EXP(-LN(2)/25))/(LN(2)/25)*Calculateur!AQ200*Calculateur!AS200*VLOOKUP('Données projet'!$B$10,Paramètres!$A$1:$I$89,3,0)*0.475*44/12</f>
        <v>0.94431211458951725</v>
      </c>
      <c r="AW200" s="21">
        <f>EXP(-LN(2)/2)*AW199+(1-EXP(-LN(2)/2))/(LN(2)/2)*AQ200*AT200*VLOOKUP('Données projet'!$B$10,Paramètres!$A$1:$I$89,3,0)*0.475*44/12</f>
        <v>6.8182346168012065E-20</v>
      </c>
      <c r="AX200" s="21">
        <f t="shared" si="166"/>
        <v>12.109124719856885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252.70779718608964</v>
      </c>
      <c r="BJ200" s="59">
        <f t="shared" si="206"/>
        <v>187.86969111712705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34.841416462715806</v>
      </c>
      <c r="BQ200" s="21">
        <f>EXP(-LN(2)/25)*BQ199+(1-EXP(-LN(2)/25))/(LN(2)/25)*Calculateur!BL200*Calculateur!BN200*VLOOKUP('Données projet'!$B$11,Paramètres!$A$1:$I$89,3,0)*0.475*44/12</f>
        <v>3.6790625918043505</v>
      </c>
      <c r="BR200" s="21">
        <f>EXP(-LN(2)/2)*BR199+(1-EXP(-LN(2)/2))/(LN(2)/2)*BL200*BO200*VLOOKUP('Données projet'!$B$11,Paramètres!$A$1:$I$89,3,0)*0.475*44/12</f>
        <v>1.1985623849340202E-13</v>
      </c>
      <c r="BS200" s="22">
        <f t="shared" si="169"/>
        <v>38.52047905452028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-1.3596945791505279E-13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279.86432710889352</v>
      </c>
      <c r="CE200" s="59">
        <f t="shared" si="207"/>
        <v>297.01680128882509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8.4162854701524115</v>
      </c>
      <c r="CL200" s="21">
        <f>EXP(-LN(2)/25)*CL199+(1-EXP(-LN(2)/25))/(LN(2)/25)*Calculateur!CG200*Calculateur!CI200*VLOOKUP('Données projet'!$B$12,Paramètres!$A$1:$I$89,3,0)*0.475*44/12</f>
        <v>2.4529230377071678</v>
      </c>
      <c r="CM200" s="21">
        <f>EXP(-LN(2)/2)*CM199+(1-EXP(-LN(2)/2))/(LN(2)/2)*CG200*CJ200*VLOOKUP('Données projet'!$B$12,Paramètres!$A$1:$I$89,3,0)*0.475*44/12</f>
        <v>1.0340120721864096E-18</v>
      </c>
      <c r="CN200" s="22">
        <f t="shared" si="172"/>
        <v>10.869208507859579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-12.000000000000284</v>
      </c>
      <c r="CU200" s="17">
        <f>CT200*VLOOKUP('Données projet'!$B$13,Paramètres!$A$1:$I$89,3,0)*VLOOKUP('Données projet'!$B$13,Paramètres!$A$1:$I$89,5,0)</f>
        <v>-9.5472000000002257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314.6300257056194</v>
      </c>
      <c r="CZ200" s="59">
        <f t="shared" si="208"/>
        <v>298.00555477466668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14.004698978851343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14.004698978851343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-12.000000000000284</v>
      </c>
      <c r="DP200" s="17">
        <f>DO200*VLOOKUP('Données projet'!$B$14,Paramètres!$A$1:$I$89,3,0)*VLOOKUP('Données projet'!$B$14,Paramètres!$A$1:$I$89,5,0)</f>
        <v>-9.5472000000002257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314.6300257056194</v>
      </c>
      <c r="DU200" s="59">
        <f t="shared" si="209"/>
        <v>298.00555477466668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14.004698978851343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14.004698978851343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441.23846153846227</v>
      </c>
      <c r="EK200" s="17">
        <f>EJ200*VLOOKUP('Données projet'!$B$15,Paramètres!$A$1:$I$89,3,0)*VLOOKUP('Données projet'!$B$15,Paramètres!$A$1:$I$89,5,0)</f>
        <v>212.23570000000035</v>
      </c>
      <c r="EL200" s="13">
        <f t="shared" si="179"/>
        <v>52.423840876495639</v>
      </c>
      <c r="EM200" s="20">
        <f t="shared" si="180"/>
        <v>460.9487003598972</v>
      </c>
      <c r="EN200" s="59">
        <f t="shared" si="198"/>
        <v>754.28203369323046</v>
      </c>
      <c r="EO200" s="59">
        <f ca="1">AVERAGE(OFFSET($EN$3,0,0,'Données projet'!$E$15+1,1))-AVERAGE(OFFSET($H$3,0,0,'Données projet'!$E$15+1,1))</f>
        <v>238.83604534181978</v>
      </c>
      <c r="EP200" s="59">
        <f t="shared" si="210"/>
        <v>114.85152559837792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5.6843418860808015E-14</v>
      </c>
      <c r="FF200" s="17">
        <f>FE200*VLOOKUP('Données projet'!$B$16,Paramètres!$A$1:$I$89,3,0)*VLOOKUP('Données projet'!$B$16,Paramètres!$A$1:$I$89,5,0)</f>
        <v>4.6111381379887463E-14</v>
      </c>
      <c r="FG200" s="13">
        <f t="shared" si="182"/>
        <v>7.5804141040779151E-13</v>
      </c>
      <c r="FH200" s="20">
        <f t="shared" si="183"/>
        <v>1.4005661123635408E-12</v>
      </c>
      <c r="FI200" s="59">
        <f t="shared" si="199"/>
        <v>293.33333333333474</v>
      </c>
      <c r="FJ200" s="59">
        <f ca="1">AVERAGE(OFFSET($FI$3,0,0,'Données projet'!$E$16+1,1))-AVERAGE(OFFSET($H$3,0,0,'Données projet'!$E$16+1,1))</f>
        <v>196.95467273423861</v>
      </c>
      <c r="FK200" s="59">
        <f t="shared" si="211"/>
        <v>173.8709326829258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8.4431858610415933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1.0108559192064509E-16</v>
      </c>
      <c r="FT200" s="22">
        <f t="shared" si="184"/>
        <v>8.4431858610415933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5.6843418860808015E-14</v>
      </c>
      <c r="GA200" s="17">
        <f>FZ200*VLOOKUP('Données projet'!$B$17,Paramètres!$A$1:$I$89,3,0)*VLOOKUP('Données projet'!$B$17,Paramètres!$A$1:$I$89,5,0)</f>
        <v>6.1186256061773749E-14</v>
      </c>
      <c r="GB200" s="13">
        <f t="shared" si="185"/>
        <v>9.7328366192051127E-13</v>
      </c>
      <c r="GC200" s="20">
        <f t="shared" si="186"/>
        <v>1.8017017738191463E-12</v>
      </c>
      <c r="GD200" s="59">
        <f t="shared" si="200"/>
        <v>293.33333333333513</v>
      </c>
      <c r="GE200" s="59">
        <f ca="1">AVERAGE(OFFSET($GD$3,0,0,'Données projet'!$E$17+1,1))-AVERAGE(OFFSET($H$3,0,0,'Données projet'!$E$17+1,1))</f>
        <v>275.5229427552884</v>
      </c>
      <c r="GF200" s="59">
        <f t="shared" si="212"/>
        <v>241.20234081716143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11.203458161766736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1.3413280466393282E-16</v>
      </c>
      <c r="GO200" s="21">
        <f t="shared" si="187"/>
        <v>11.203458161766736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274.57619581652199</v>
      </c>
      <c r="T201" s="59">
        <f t="shared" si="204"/>
        <v>366.15117322598775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 t="e">
        <f>EXP(-LN(2)/35)*Z200+(1-EXP(-LN(2)/35))/(LN(2)/35)*V201*W201*VLOOKUP('Données projet'!$B$9,Paramètres!$A$1:$I$89,3,0)*0.475*44/12</f>
        <v>#VALUE!</v>
      </c>
      <c r="AA201" s="21" t="e">
        <f>EXP(-LN(2)/25)*AA200+(1-EXP(-LN(2)/25))/(LN(2)/25)*Calculateur!V201*Calculateur!X201*VLOOKUP('Données projet'!$B$9,Paramètres!$A$1:$I$89,3,0)*0.475*44/12</f>
        <v>#VALUE!</v>
      </c>
      <c r="AB201" s="21" t="e">
        <f>EXP(-LN(2)/2)*AB200+(1-EXP(-LN(2)/2))/(LN(2)/2)*V201*Y201*VLOOKUP('Données projet'!$B$9,Paramètres!$A$1:$I$89,3,0)*0.475*44/12</f>
        <v>#VALUE!</v>
      </c>
      <c r="AC201" s="22" t="e">
        <f t="shared" si="163"/>
        <v>#VALUE!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175.05987582828078</v>
      </c>
      <c r="AO201" s="59">
        <f t="shared" si="205"/>
        <v>268.54782308462387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10.945877439941347</v>
      </c>
      <c r="AV201" s="21">
        <f>EXP(-LN(2)/25)*AV200+(1-EXP(-LN(2)/25))/(LN(2)/25)*Calculateur!AQ201*Calculateur!AS201*VLOOKUP('Données projet'!$B$10,Paramètres!$A$1:$I$89,3,0)*0.475*44/12</f>
        <v>0.91848985015685103</v>
      </c>
      <c r="AW201" s="21">
        <f>EXP(-LN(2)/2)*AW200+(1-EXP(-LN(2)/2))/(LN(2)/2)*AQ201*AT201*VLOOKUP('Données projet'!$B$10,Paramètres!$A$1:$I$89,3,0)*0.475*44/12</f>
        <v>4.8212199332609945E-20</v>
      </c>
      <c r="AX201" s="21">
        <f t="shared" si="166"/>
        <v>11.864367290098198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252.70779718608964</v>
      </c>
      <c r="BJ201" s="59">
        <f t="shared" si="206"/>
        <v>187.86969111712705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34.158197537047613</v>
      </c>
      <c r="BQ201" s="21">
        <f>EXP(-LN(2)/25)*BQ200+(1-EXP(-LN(2)/25))/(LN(2)/25)*Calculateur!BL201*Calculateur!BN201*VLOOKUP('Données projet'!$B$11,Paramètres!$A$1:$I$89,3,0)*0.475*44/12</f>
        <v>3.5784584317579675</v>
      </c>
      <c r="BR201" s="21">
        <f>EXP(-LN(2)/2)*BR200+(1-EXP(-LN(2)/2))/(LN(2)/2)*BL201*BO201*VLOOKUP('Données projet'!$B$11,Paramètres!$A$1:$I$89,3,0)*0.475*44/12</f>
        <v>8.4751159006196677E-14</v>
      </c>
      <c r="BS201" s="22">
        <f t="shared" si="169"/>
        <v>37.736655968805664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-1.3596945791505279E-13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279.86432710889352</v>
      </c>
      <c r="CE201" s="59">
        <f t="shared" si="207"/>
        <v>297.01680128882509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8.2512472455099761</v>
      </c>
      <c r="CL201" s="21">
        <f>EXP(-LN(2)/25)*CL200+(1-EXP(-LN(2)/25))/(LN(2)/25)*Calculateur!CG201*Calculateur!CI201*VLOOKUP('Données projet'!$B$12,Paramètres!$A$1:$I$89,3,0)*0.475*44/12</f>
        <v>2.3858477282474491</v>
      </c>
      <c r="CM201" s="21">
        <f>EXP(-LN(2)/2)*CM200+(1-EXP(-LN(2)/2))/(LN(2)/2)*CG201*CJ201*VLOOKUP('Données projet'!$B$12,Paramètres!$A$1:$I$89,3,0)*0.475*44/12</f>
        <v>7.3115694807176413E-19</v>
      </c>
      <c r="CN201" s="22">
        <f t="shared" si="172"/>
        <v>10.637094973757424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-12.000000000000284</v>
      </c>
      <c r="CU201" s="17">
        <f>CT201*VLOOKUP('Données projet'!$B$13,Paramètres!$A$1:$I$89,3,0)*VLOOKUP('Données projet'!$B$13,Paramètres!$A$1:$I$89,5,0)</f>
        <v>-9.5472000000002257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314.6300257056194</v>
      </c>
      <c r="CZ201" s="59">
        <f t="shared" si="208"/>
        <v>298.00555477466668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13.730075373898989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13.730075373898989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-12.000000000000284</v>
      </c>
      <c r="DP201" s="17">
        <f>DO201*VLOOKUP('Données projet'!$B$14,Paramètres!$A$1:$I$89,3,0)*VLOOKUP('Données projet'!$B$14,Paramètres!$A$1:$I$89,5,0)</f>
        <v>-9.5472000000002257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314.6300257056194</v>
      </c>
      <c r="DU201" s="59">
        <f t="shared" si="209"/>
        <v>298.00555477466668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13.730075373898989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13.730075373898989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441.23846153846227</v>
      </c>
      <c r="EK201" s="17">
        <f>EJ201*VLOOKUP('Données projet'!$B$15,Paramètres!$A$1:$I$89,3,0)*VLOOKUP('Données projet'!$B$15,Paramètres!$A$1:$I$89,5,0)</f>
        <v>212.23570000000035</v>
      </c>
      <c r="EL201" s="13">
        <f t="shared" si="179"/>
        <v>52.423840876495639</v>
      </c>
      <c r="EM201" s="20">
        <f t="shared" si="180"/>
        <v>460.9487003598972</v>
      </c>
      <c r="EN201" s="59">
        <f t="shared" si="198"/>
        <v>754.28203369323046</v>
      </c>
      <c r="EO201" s="59">
        <f ca="1">AVERAGE(OFFSET($EN$3,0,0,'Données projet'!$E$15+1,1))-AVERAGE(OFFSET($H$3,0,0,'Données projet'!$E$15+1,1))</f>
        <v>238.83604534181978</v>
      </c>
      <c r="EP201" s="59">
        <f t="shared" si="210"/>
        <v>114.85152559837792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5.6843418860808015E-14</v>
      </c>
      <c r="FF201" s="17">
        <f>FE201*VLOOKUP('Données projet'!$B$16,Paramètres!$A$1:$I$89,3,0)*VLOOKUP('Données projet'!$B$16,Paramètres!$A$1:$I$89,5,0)</f>
        <v>4.6111381379887463E-14</v>
      </c>
      <c r="FG201" s="13">
        <f t="shared" si="182"/>
        <v>7.5804141040779151E-13</v>
      </c>
      <c r="FH201" s="20">
        <f t="shared" si="183"/>
        <v>1.4005661123635408E-12</v>
      </c>
      <c r="FI201" s="59">
        <f t="shared" si="199"/>
        <v>293.33333333333474</v>
      </c>
      <c r="FJ201" s="59">
        <f ca="1">AVERAGE(OFFSET($FI$3,0,0,'Données projet'!$E$16+1,1))-AVERAGE(OFFSET($H$3,0,0,'Données projet'!$E$16+1,1))</f>
        <v>196.95467273423861</v>
      </c>
      <c r="FK201" s="59">
        <f t="shared" si="211"/>
        <v>173.8709326829258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8.2776201361414383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7.1478307527344225E-17</v>
      </c>
      <c r="FT201" s="22">
        <f t="shared" si="184"/>
        <v>8.2776201361414383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5.6843418860808015E-14</v>
      </c>
      <c r="GA201" s="17">
        <f>FZ201*VLOOKUP('Données projet'!$B$17,Paramètres!$A$1:$I$89,3,0)*VLOOKUP('Données projet'!$B$17,Paramètres!$A$1:$I$89,5,0)</f>
        <v>6.1186256061773749E-14</v>
      </c>
      <c r="GB201" s="13">
        <f t="shared" si="185"/>
        <v>9.7328366192051127E-13</v>
      </c>
      <c r="GC201" s="20">
        <f t="shared" si="186"/>
        <v>1.8017017738191463E-12</v>
      </c>
      <c r="GD201" s="59">
        <f t="shared" si="200"/>
        <v>293.33333333333513</v>
      </c>
      <c r="GE201" s="59">
        <f ca="1">AVERAGE(OFFSET($GD$3,0,0,'Données projet'!$E$17+1,1))-AVERAGE(OFFSET($H$3,0,0,'Données projet'!$E$17+1,1))</f>
        <v>275.5229427552884</v>
      </c>
      <c r="GF201" s="59">
        <f t="shared" si="212"/>
        <v>241.20234081716143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10.983765180649224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9.4846215757437463E-17</v>
      </c>
      <c r="GO201" s="21">
        <f t="shared" si="187"/>
        <v>10.983765180649224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274.57619581652199</v>
      </c>
      <c r="T202" s="59">
        <f t="shared" si="204"/>
        <v>366.15117322598775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 t="e">
        <f>EXP(-LN(2)/35)*Z201+(1-EXP(-LN(2)/35))/(LN(2)/35)*V202*W202*VLOOKUP('Données projet'!$B$9,Paramètres!$A$1:$I$89,3,0)*0.475*44/12</f>
        <v>#VALUE!</v>
      </c>
      <c r="AA202" s="21" t="e">
        <f>EXP(-LN(2)/25)*AA201+(1-EXP(-LN(2)/25))/(LN(2)/25)*Calculateur!V202*Calculateur!X202*VLOOKUP('Données projet'!$B$9,Paramètres!$A$1:$I$89,3,0)*0.475*44/12</f>
        <v>#VALUE!</v>
      </c>
      <c r="AB202" s="21" t="e">
        <f>EXP(-LN(2)/2)*AB201+(1-EXP(-LN(2)/2))/(LN(2)/2)*V202*Y202*VLOOKUP('Données projet'!$B$9,Paramètres!$A$1:$I$89,3,0)*0.475*44/12</f>
        <v>#VALUE!</v>
      </c>
      <c r="AC202" s="22" t="e">
        <f t="shared" si="163"/>
        <v>#VALUE!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175.05987582828078</v>
      </c>
      <c r="AO202" s="59">
        <f t="shared" si="205"/>
        <v>268.54782308462387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10.731235459670103</v>
      </c>
      <c r="AV202" s="21">
        <f>EXP(-LN(2)/25)*AV201+(1-EXP(-LN(2)/25))/(LN(2)/25)*Calculateur!AQ202*Calculateur!AS202*VLOOKUP('Données projet'!$B$10,Paramètres!$A$1:$I$89,3,0)*0.475*44/12</f>
        <v>0.89337369690302992</v>
      </c>
      <c r="AW202" s="21">
        <f>EXP(-LN(2)/2)*AW201+(1-EXP(-LN(2)/2))/(LN(2)/2)*AQ202*AT202*VLOOKUP('Données projet'!$B$10,Paramètres!$A$1:$I$89,3,0)*0.475*44/12</f>
        <v>3.4091173084006032E-20</v>
      </c>
      <c r="AX202" s="21">
        <f t="shared" si="166"/>
        <v>11.624609156573133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252.70779718608964</v>
      </c>
      <c r="BJ202" s="59">
        <f t="shared" si="206"/>
        <v>187.86969111712705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33.488376117789379</v>
      </c>
      <c r="BQ202" s="21">
        <f>EXP(-LN(2)/25)*BQ201+(1-EXP(-LN(2)/25))/(LN(2)/25)*Calculateur!BL202*Calculateur!BN202*VLOOKUP('Données projet'!$B$11,Paramètres!$A$1:$I$89,3,0)*0.475*44/12</f>
        <v>3.4806052977585957</v>
      </c>
      <c r="BR202" s="21">
        <f>EXP(-LN(2)/2)*BR201+(1-EXP(-LN(2)/2))/(LN(2)/2)*BL202*BO202*VLOOKUP('Données projet'!$B$11,Paramètres!$A$1:$I$89,3,0)*0.475*44/12</f>
        <v>5.9928119246701008E-14</v>
      </c>
      <c r="BS202" s="22">
        <f t="shared" si="169"/>
        <v>36.968981415548029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-1.3596945791505279E-13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279.86432710889352</v>
      </c>
      <c r="CE202" s="59">
        <f t="shared" si="207"/>
        <v>297.01680128882509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8.0894453197894016</v>
      </c>
      <c r="CL202" s="21">
        <f>EXP(-LN(2)/25)*CL201+(1-EXP(-LN(2)/25))/(LN(2)/25)*Calculateur!CG202*Calculateur!CI202*VLOOKUP('Données projet'!$B$12,Paramètres!$A$1:$I$89,3,0)*0.475*44/12</f>
        <v>2.3206065966522433</v>
      </c>
      <c r="CM202" s="21">
        <f>EXP(-LN(2)/2)*CM201+(1-EXP(-LN(2)/2))/(LN(2)/2)*CG202*CJ202*VLOOKUP('Données projet'!$B$12,Paramètres!$A$1:$I$89,3,0)*0.475*44/12</f>
        <v>5.170060360932048E-19</v>
      </c>
      <c r="CN202" s="22">
        <f t="shared" si="172"/>
        <v>10.410051916441645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-12.000000000000284</v>
      </c>
      <c r="CU202" s="17">
        <f>CT202*VLOOKUP('Données projet'!$B$13,Paramètres!$A$1:$I$89,3,0)*VLOOKUP('Données projet'!$B$13,Paramètres!$A$1:$I$89,5,0)</f>
        <v>-9.5472000000002257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314.6300257056194</v>
      </c>
      <c r="CZ202" s="59">
        <f t="shared" si="208"/>
        <v>298.00555477466668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13.460836970335894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13.460836970335894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-12.000000000000284</v>
      </c>
      <c r="DP202" s="17">
        <f>DO202*VLOOKUP('Données projet'!$B$14,Paramètres!$A$1:$I$89,3,0)*VLOOKUP('Données projet'!$B$14,Paramètres!$A$1:$I$89,5,0)</f>
        <v>-9.5472000000002257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314.6300257056194</v>
      </c>
      <c r="DU202" s="59">
        <f t="shared" si="209"/>
        <v>298.00555477466668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13.460836970335894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13.460836970335894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441.23846153846227</v>
      </c>
      <c r="EK202" s="17">
        <f>EJ202*VLOOKUP('Données projet'!$B$15,Paramètres!$A$1:$I$89,3,0)*VLOOKUP('Données projet'!$B$15,Paramètres!$A$1:$I$89,5,0)</f>
        <v>212.23570000000035</v>
      </c>
      <c r="EL202" s="13">
        <f t="shared" si="179"/>
        <v>52.423840876495639</v>
      </c>
      <c r="EM202" s="20">
        <f t="shared" si="180"/>
        <v>460.9487003598972</v>
      </c>
      <c r="EN202" s="59">
        <f t="shared" si="198"/>
        <v>754.28203369323046</v>
      </c>
      <c r="EO202" s="59">
        <f ca="1">AVERAGE(OFFSET($EN$3,0,0,'Données projet'!$E$15+1,1))-AVERAGE(OFFSET($H$3,0,0,'Données projet'!$E$15+1,1))</f>
        <v>238.83604534181978</v>
      </c>
      <c r="EP202" s="59">
        <f t="shared" si="210"/>
        <v>114.85152559837792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5.6843418860808015E-14</v>
      </c>
      <c r="FF202" s="17">
        <f>FE202*VLOOKUP('Données projet'!$B$16,Paramètres!$A$1:$I$89,3,0)*VLOOKUP('Données projet'!$B$16,Paramètres!$A$1:$I$89,5,0)</f>
        <v>4.6111381379887463E-14</v>
      </c>
      <c r="FG202" s="13">
        <f t="shared" si="182"/>
        <v>7.5804141040779151E-13</v>
      </c>
      <c r="FH202" s="20">
        <f t="shared" si="183"/>
        <v>1.4005661123635408E-12</v>
      </c>
      <c r="FI202" s="59">
        <f t="shared" si="199"/>
        <v>293.33333333333474</v>
      </c>
      <c r="FJ202" s="59">
        <f ca="1">AVERAGE(OFFSET($FI$3,0,0,'Données projet'!$E$16+1,1))-AVERAGE(OFFSET($H$3,0,0,'Données projet'!$E$16+1,1))</f>
        <v>196.95467273423861</v>
      </c>
      <c r="FK202" s="59">
        <f t="shared" si="211"/>
        <v>173.8709326829258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8.1153010541214545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5.0542795960322547E-17</v>
      </c>
      <c r="FT202" s="22">
        <f t="shared" si="184"/>
        <v>8.1153010541214545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5.6843418860808015E-14</v>
      </c>
      <c r="GA202" s="17">
        <f>FZ202*VLOOKUP('Données projet'!$B$17,Paramètres!$A$1:$I$89,3,0)*VLOOKUP('Données projet'!$B$17,Paramètres!$A$1:$I$89,5,0)</f>
        <v>6.1186256061773749E-14</v>
      </c>
      <c r="GB202" s="13">
        <f t="shared" si="185"/>
        <v>9.7328366192051127E-13</v>
      </c>
      <c r="GC202" s="20">
        <f t="shared" si="186"/>
        <v>1.8017017738191463E-12</v>
      </c>
      <c r="GD202" s="59">
        <f t="shared" si="200"/>
        <v>293.33333333333513</v>
      </c>
      <c r="GE202" s="59">
        <f ca="1">AVERAGE(OFFSET($GD$3,0,0,'Données projet'!$E$17+1,1))-AVERAGE(OFFSET($H$3,0,0,'Données projet'!$E$17+1,1))</f>
        <v>275.5229427552884</v>
      </c>
      <c r="GF202" s="59">
        <f t="shared" si="212"/>
        <v>241.20234081716143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10.768380244891938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6.7066402331966408E-17</v>
      </c>
      <c r="GO202" s="21">
        <f t="shared" si="187"/>
        <v>10.768380244891938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274.57619581652199</v>
      </c>
      <c r="T203" s="59">
        <f t="shared" si="204"/>
        <v>366.15117322598775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 t="e">
        <f>EXP(-LN(2)/35)*Z202+(1-EXP(-LN(2)/35))/(LN(2)/35)*V203*W203*VLOOKUP('Données projet'!$B$9,Paramètres!$A$1:$I$89,3,0)*0.475*44/12</f>
        <v>#VALUE!</v>
      </c>
      <c r="AA203" s="21" t="e">
        <f>EXP(-LN(2)/25)*AA202+(1-EXP(-LN(2)/25))/(LN(2)/25)*Calculateur!V203*Calculateur!X203*VLOOKUP('Données projet'!$B$9,Paramètres!$A$1:$I$89,3,0)*0.475*44/12</f>
        <v>#VALUE!</v>
      </c>
      <c r="AB203" s="21" t="e">
        <f>EXP(-LN(2)/2)*AB202+(1-EXP(-LN(2)/2))/(LN(2)/2)*V203*Y203*VLOOKUP('Données projet'!$B$9,Paramètres!$A$1:$I$89,3,0)*0.475*44/12</f>
        <v>#VALUE!</v>
      </c>
      <c r="AC203" s="22" t="e">
        <f t="shared" si="163"/>
        <v>#VALUE!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175.05987582828078</v>
      </c>
      <c r="AO203" s="59">
        <f t="shared" si="205"/>
        <v>268.54782308462387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10.520802477713296</v>
      </c>
      <c r="AV203" s="21">
        <f>EXP(-LN(2)/25)*AV202+(1-EXP(-LN(2)/25))/(LN(2)/25)*Calculateur!AQ203*Calculateur!AS203*VLOOKUP('Données projet'!$B$10,Paramètres!$A$1:$I$89,3,0)*0.475*44/12</f>
        <v>0.86894434618073568</v>
      </c>
      <c r="AW203" s="21">
        <f>EXP(-LN(2)/2)*AW202+(1-EXP(-LN(2)/2))/(LN(2)/2)*AQ203*AT203*VLOOKUP('Données projet'!$B$10,Paramètres!$A$1:$I$89,3,0)*0.475*44/12</f>
        <v>2.4106099666304973E-20</v>
      </c>
      <c r="AX203" s="21">
        <f t="shared" si="166"/>
        <v>11.389746823894033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252.70779718608964</v>
      </c>
      <c r="BJ203" s="59">
        <f t="shared" si="206"/>
        <v>187.86969111712705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32.831689488012074</v>
      </c>
      <c r="BQ203" s="21">
        <f>EXP(-LN(2)/25)*BQ202+(1-EXP(-LN(2)/25))/(LN(2)/25)*Calculateur!BL203*Calculateur!BN203*VLOOKUP('Données projet'!$B$11,Paramètres!$A$1:$I$89,3,0)*0.475*44/12</f>
        <v>3.3854279628543091</v>
      </c>
      <c r="BR203" s="21">
        <f>EXP(-LN(2)/2)*BR202+(1-EXP(-LN(2)/2))/(LN(2)/2)*BL203*BO203*VLOOKUP('Données projet'!$B$11,Paramètres!$A$1:$I$89,3,0)*0.475*44/12</f>
        <v>4.2375579503098339E-14</v>
      </c>
      <c r="BS203" s="22">
        <f t="shared" si="169"/>
        <v>36.217117450866425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-1.3596945791505279E-13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279.86432710889352</v>
      </c>
      <c r="CE203" s="59">
        <f t="shared" si="207"/>
        <v>297.01680128882509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7.930816231142777</v>
      </c>
      <c r="CL203" s="21">
        <f>EXP(-LN(2)/25)*CL202+(1-EXP(-LN(2)/25))/(LN(2)/25)*Calculateur!CG203*Calculateur!CI203*VLOOKUP('Données projet'!$B$12,Paramètres!$A$1:$I$89,3,0)*0.475*44/12</f>
        <v>2.2571494872313909</v>
      </c>
      <c r="CM203" s="21">
        <f>EXP(-LN(2)/2)*CM202+(1-EXP(-LN(2)/2))/(LN(2)/2)*CG203*CJ203*VLOOKUP('Données projet'!$B$12,Paramètres!$A$1:$I$89,3,0)*0.475*44/12</f>
        <v>3.6557847403588207E-19</v>
      </c>
      <c r="CN203" s="22">
        <f t="shared" si="172"/>
        <v>10.187965718374167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-12.000000000000284</v>
      </c>
      <c r="CU203" s="17">
        <f>CT203*VLOOKUP('Données projet'!$B$13,Paramètres!$A$1:$I$89,3,0)*VLOOKUP('Données projet'!$B$13,Paramètres!$A$1:$I$89,5,0)</f>
        <v>-9.5472000000002257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314.6300257056194</v>
      </c>
      <c r="CZ203" s="59">
        <f t="shared" si="208"/>
        <v>298.00555477466668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13.196878167647458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13.196878167647458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-12.000000000000284</v>
      </c>
      <c r="DP203" s="17">
        <f>DO203*VLOOKUP('Données projet'!$B$14,Paramètres!$A$1:$I$89,3,0)*VLOOKUP('Données projet'!$B$14,Paramètres!$A$1:$I$89,5,0)</f>
        <v>-9.5472000000002257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314.6300257056194</v>
      </c>
      <c r="DU203" s="59">
        <f t="shared" si="209"/>
        <v>298.00555477466668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13.196878167647458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13.196878167647458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441.23846153846227</v>
      </c>
      <c r="EK203" s="17">
        <f>EJ203*VLOOKUP('Données projet'!$B$15,Paramètres!$A$1:$I$89,3,0)*VLOOKUP('Données projet'!$B$15,Paramètres!$A$1:$I$89,5,0)</f>
        <v>212.23570000000035</v>
      </c>
      <c r="EL203" s="13">
        <f t="shared" si="179"/>
        <v>52.423840876495639</v>
      </c>
      <c r="EM203" s="20">
        <f t="shared" si="180"/>
        <v>460.9487003598972</v>
      </c>
      <c r="EN203" s="59">
        <f t="shared" si="198"/>
        <v>754.28203369323046</v>
      </c>
      <c r="EO203" s="59">
        <f ca="1">AVERAGE(OFFSET($EN$3,0,0,'Données projet'!$E$15+1,1))-AVERAGE(OFFSET($H$3,0,0,'Données projet'!$E$15+1,1))</f>
        <v>238.83604534181978</v>
      </c>
      <c r="EP203" s="59">
        <f t="shared" si="210"/>
        <v>114.85152559837792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5.6843418860808015E-14</v>
      </c>
      <c r="FF203" s="17">
        <f>FE203*VLOOKUP('Données projet'!$B$16,Paramètres!$A$1:$I$89,3,0)*VLOOKUP('Données projet'!$B$16,Paramètres!$A$1:$I$89,5,0)</f>
        <v>4.6111381379887463E-14</v>
      </c>
      <c r="FG203" s="13">
        <f t="shared" si="182"/>
        <v>7.5804141040779151E-13</v>
      </c>
      <c r="FH203" s="20">
        <f t="shared" si="183"/>
        <v>1.4005661123635408E-12</v>
      </c>
      <c r="FI203" s="59">
        <f t="shared" si="199"/>
        <v>293.33333333333474</v>
      </c>
      <c r="FJ203" s="59">
        <f ca="1">AVERAGE(OFFSET($FI$3,0,0,'Données projet'!$E$16+1,1))-AVERAGE(OFFSET($H$3,0,0,'Données projet'!$E$16+1,1))</f>
        <v>196.95467273423861</v>
      </c>
      <c r="FK203" s="59">
        <f t="shared" si="211"/>
        <v>173.8709326829258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7.9561649502950189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3.5739153763672113E-17</v>
      </c>
      <c r="FT203" s="22">
        <f t="shared" si="184"/>
        <v>7.9561649502950189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5.6843418860808015E-14</v>
      </c>
      <c r="GA203" s="17">
        <f>FZ203*VLOOKUP('Données projet'!$B$17,Paramètres!$A$1:$I$89,3,0)*VLOOKUP('Données projet'!$B$17,Paramètres!$A$1:$I$89,5,0)</f>
        <v>6.1186256061773749E-14</v>
      </c>
      <c r="GB203" s="13">
        <f t="shared" si="185"/>
        <v>9.7328366192051127E-13</v>
      </c>
      <c r="GC203" s="20">
        <f t="shared" si="186"/>
        <v>1.8017017738191463E-12</v>
      </c>
      <c r="GD203" s="59">
        <f t="shared" si="200"/>
        <v>293.33333333333513</v>
      </c>
      <c r="GE203" s="59">
        <f ca="1">AVERAGE(OFFSET($GD$3,0,0,'Données projet'!$E$17+1,1))-AVERAGE(OFFSET($H$3,0,0,'Données projet'!$E$17+1,1))</f>
        <v>275.5229427552884</v>
      </c>
      <c r="GF203" s="59">
        <f t="shared" si="212"/>
        <v>241.20234081716143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10.557218876353014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4.7423107878718732E-17</v>
      </c>
      <c r="GO203" s="21">
        <f t="shared" si="187"/>
        <v>10.557218876353014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1.3356034260773062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1.2997069632623315</v>
      </c>
      <c r="BA205" s="82">
        <f>EXP(LN('Données projet'!B88)/'Données projet'!A88)</f>
        <v>1.2880503926580862</v>
      </c>
      <c r="BV205" s="82">
        <f>EXP(LN('Données projet'!B114)/'Données projet'!A114)</f>
        <v>1.3239616704988877</v>
      </c>
      <c r="CQ205" s="82" t="e">
        <f>EXP(LN('Données projet'!B140)/'Données projet'!A140)</f>
        <v>#DIV/0!</v>
      </c>
      <c r="DL205" s="82" t="e">
        <f>EXP(LN('Données projet'!B166)/'Données projet'!A166)</f>
        <v>#DIV/0!</v>
      </c>
      <c r="EG205" s="82">
        <f>EXP(LN('Données projet'!B192)/'Données projet'!A192)</f>
        <v>1.1797243348509765</v>
      </c>
      <c r="FB205" s="82">
        <f>EXP(LN('Données projet'!B218)/'Données projet'!A218)</f>
        <v>1.2288386014896442</v>
      </c>
      <c r="FW205" s="82">
        <f>EXP(LN('Données projet'!B244)/'Données projet'!A244)</f>
        <v>1.2288386014896442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40" zoomScaleNormal="140" workbookViewId="0">
      <selection activeCell="K24" sqref="K24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Douglas</v>
      </c>
      <c r="B6" s="146">
        <f>'Données projet'!D9</f>
        <v>6.2000004400000002</v>
      </c>
      <c r="C6" s="147">
        <f ca="1">IF(OR('Données projet'!B9="",'Données projet'!C9="",'Données projet'!C9=0%),0,Calculateur!S3)</f>
        <v>274.57619581652199</v>
      </c>
      <c r="D6" s="147">
        <f>IF(OR('Données projet'!B9="",'Données projet'!C9="",'Données projet'!C9=0%),0,Calculateur!T3)</f>
        <v>366.15117322598775</v>
      </c>
      <c r="E6" s="147">
        <f ca="1">MIN(C6,D6)</f>
        <v>274.57619581652199</v>
      </c>
      <c r="F6" s="147">
        <f ca="1">E6*B6</f>
        <v>1702.3725348759626</v>
      </c>
      <c r="G6" s="147">
        <f ca="1">F6*(100%-'Données projet'!$C$24)*(100%-'Données projet'!$C$25)*(100%-'Données projet'!$C$26)*(100%-'Données projet'!$C$27)</f>
        <v>1532.1352813883664</v>
      </c>
      <c r="H6" s="148">
        <f>IF(OR('Données projet'!B9="",'Données projet'!C9="",'Données projet'!C9=0%),0,AVERAGE(Calculateur!$AC$3:$AC$33)*B6)</f>
        <v>43.160112116543146</v>
      </c>
      <c r="I6" s="149">
        <f>H6*(100%-'Données projet'!$C$24)*(100%-'Données projet'!$C$25)*(100%-'Données projet'!$C$26)*(100%-'Données projet'!$C$27)</f>
        <v>38.844100904888833</v>
      </c>
      <c r="J6" s="150">
        <f>IF(OR('Données projet'!B9="",'Données projet'!C9="",'Données projet'!C9=0%),0,SUM(Calculateur!$V$3:$V$33)*VLOOKUP('Données projet'!$B$9,Paramètres!$A$1:$I$89,9,0)*B6)</f>
        <v>473.52264898944605</v>
      </c>
      <c r="K6" s="151">
        <f>J6*(100%-'Données projet'!$C$24)*(100%-'Données projet'!$C$25)*(100%-'Données projet'!$C$26)*(100%-'Données projet'!$C$27)</f>
        <v>426.17038409050144</v>
      </c>
      <c r="L6" s="152">
        <f ca="1">G6+I6+K6</f>
        <v>1997.1497663837567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Mélèze d'Europe</v>
      </c>
      <c r="B7" s="154">
        <f>'Données projet'!D10</f>
        <v>6.2000004400000002</v>
      </c>
      <c r="C7" s="147">
        <f ca="1">IF(OR('Données projet'!B10="",'Données projet'!C10="",'Données projet'!C10=0%),0,Calculateur!AN3)</f>
        <v>175.05987582828078</v>
      </c>
      <c r="D7" s="147">
        <f>IF(OR('Données projet'!B10="",'Données projet'!C10="",'Données projet'!C10=0%),0,Calculateur!AO3)</f>
        <v>268.54782308462387</v>
      </c>
      <c r="E7" s="147">
        <f t="shared" ref="E7:E15" ca="1" si="0">MIN(C7,D7)</f>
        <v>175.05987582828078</v>
      </c>
      <c r="F7" s="147">
        <f t="shared" ref="F7:F15" ca="1" si="1">E7*B7</f>
        <v>1085.3713071616862</v>
      </c>
      <c r="G7" s="147">
        <f ca="1">F7*(100%-'Données projet'!$C$24)*(100%-'Données projet'!$C$25)*(100%-'Données projet'!$C$26)*(100%-'Données projet'!$C$27)</f>
        <v>976.83417644551764</v>
      </c>
      <c r="H7" s="155">
        <f>IF(OR('Données projet'!B10="",'Données projet'!C10="",'Données projet'!C10=0%),0,AVERAGE(Calculateur!$AX$3:$AX$33)*B7)</f>
        <v>58.225215806844155</v>
      </c>
      <c r="I7" s="149">
        <f>H7*(100%-'Données projet'!$C$24)*(100%-'Données projet'!$C$25)*(100%-'Données projet'!$C$26)*(100%-'Données projet'!$C$27)</f>
        <v>52.402694226159738</v>
      </c>
      <c r="J7" s="150">
        <f>IF(OR('Données projet'!B10="",'Données projet'!C10="",'Données projet'!C10=0%),0,SUM(Calculateur!$AQ$3:$AQ$33)*VLOOKUP('Données projet'!$B$10,Paramètres!$A$1:$I$89,9,0)*B7)</f>
        <v>341.2480242176</v>
      </c>
      <c r="K7" s="151">
        <f>J7*(100%-'Données projet'!$C$24)*(100%-'Données projet'!$C$25)*(100%-'Données projet'!$C$26)*(100%-'Données projet'!$C$27)</f>
        <v>307.12322179584004</v>
      </c>
      <c r="L7" s="152">
        <f t="shared" ref="L7:L15" ca="1" si="2">G7+I7+K7</f>
        <v>1336.3600924675175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Cèdre de l'Atlas</v>
      </c>
      <c r="B8" s="154">
        <f>'Données projet'!D11</f>
        <v>6.2000004400000002</v>
      </c>
      <c r="C8" s="147">
        <f ca="1">IF(OR('Données projet'!B11="",'Données projet'!C11="",'Données projet'!C11=0%),0,Calculateur!BI3)</f>
        <v>252.70779718608964</v>
      </c>
      <c r="D8" s="147">
        <f>IF(OR('Données projet'!B11="",'Données projet'!C11="",'Données projet'!C11=0%),0,Calculateur!BJ3)</f>
        <v>187.86969111712705</v>
      </c>
      <c r="E8" s="147">
        <f t="shared" ca="1" si="0"/>
        <v>187.86969111712705</v>
      </c>
      <c r="F8" s="147">
        <f t="shared" ca="1" si="1"/>
        <v>1164.7921675888517</v>
      </c>
      <c r="G8" s="147">
        <f ca="1">F8*(100%-'Données projet'!$C$24)*(100%-'Données projet'!$C$25)*(100%-'Données projet'!$C$26)*(100%-'Données projet'!$C$27)</f>
        <v>1048.3129508299667</v>
      </c>
      <c r="H8" s="155">
        <f>IF(OR('Données projet'!B11="",'Données projet'!C11="",'Données projet'!C11=0%),0,AVERAGE(Calculateur!$BS$3:$BS$33)*B8)</f>
        <v>19.68930610448907</v>
      </c>
      <c r="I8" s="149">
        <f>H8*(100%-'Données projet'!$C$24)*(100%-'Données projet'!$C$25)*(100%-'Données projet'!$C$26)*(100%-'Données projet'!$C$27)</f>
        <v>17.720375494040162</v>
      </c>
      <c r="J8" s="150">
        <f>IF(OR('Données projet'!B11="",'Données projet'!C11="",'Données projet'!C11=0%),0,SUM(Calculateur!$BL$3:$BL$33)*VLOOKUP('Données projet'!$B$11,Paramètres!$A$1:$I$89,9,0)*B8)</f>
        <v>200.69649424297597</v>
      </c>
      <c r="K8" s="151">
        <f>J8*(100%-'Données projet'!$C$24)*(100%-'Données projet'!$C$25)*(100%-'Données projet'!$C$26)*(100%-'Données projet'!$C$27)</f>
        <v>180.62684481867839</v>
      </c>
      <c r="L8" s="152">
        <f t="shared" ca="1" si="2"/>
        <v>1246.6601711426852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Pin laricio</v>
      </c>
      <c r="B9" s="154">
        <f>'Données projet'!D12</f>
        <v>6.2000004400000002</v>
      </c>
      <c r="C9" s="147">
        <f ca="1">IF(OR('Données projet'!B12="",'Données projet'!C12="",'Données projet'!C12=0%),0,Calculateur!CD3)</f>
        <v>279.86432710889352</v>
      </c>
      <c r="D9" s="147">
        <f>IF(OR('Données projet'!B12="",'Données projet'!C12="",'Données projet'!C12=0%),0,Calculateur!CE3)</f>
        <v>297.01680128882509</v>
      </c>
      <c r="E9" s="147">
        <f t="shared" ca="1" si="0"/>
        <v>279.86432710889352</v>
      </c>
      <c r="F9" s="147">
        <f t="shared" ca="1" si="1"/>
        <v>1735.1589512154437</v>
      </c>
      <c r="G9" s="147">
        <f ca="1">F9*(100%-'Données projet'!$C$24)*(100%-'Données projet'!$C$25)*(100%-'Données projet'!$C$26)*(100%-'Données projet'!$C$27)</f>
        <v>1561.6430560938993</v>
      </c>
      <c r="H9" s="155">
        <f>IF(OR('Données projet'!B12="",'Données projet'!C12="",'Données projet'!C12=0%),0,AVERAGE(Calculateur!$CN$3:$CN$33)*B9)</f>
        <v>38.810599473858083</v>
      </c>
      <c r="I9" s="149">
        <f>H9*(100%-'Données projet'!$C$24)*(100%-'Données projet'!$C$25)*(100%-'Données projet'!$C$26)*(100%-'Données projet'!$C$27)</f>
        <v>34.929539526472276</v>
      </c>
      <c r="J9" s="150">
        <f>IF(OR('Données projet'!B12="",'Données projet'!C12="",'Données projet'!C12=0%),0,SUM(Calculateur!$CG$3:$CG$33)*VLOOKUP('Données projet'!$B$12,Paramètres!$A$1:$I$89,9,0)*B9)</f>
        <v>319.92002270400002</v>
      </c>
      <c r="K9" s="151">
        <f>J9*(100%-'Données projet'!$C$24)*(100%-'Données projet'!$C$25)*(100%-'Données projet'!$C$26)*(100%-'Données projet'!$C$27)</f>
        <v>287.92802043360001</v>
      </c>
      <c r="L9" s="152">
        <f t="shared" ca="1" si="2"/>
        <v>1884.5006160539717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Erable sycomore</v>
      </c>
      <c r="B10" s="154">
        <f>'Données projet'!D13</f>
        <v>0.25000112000000002</v>
      </c>
      <c r="C10" s="147">
        <f ca="1">IF(OR('Données projet'!B13="",'Données projet'!C13="",'Données projet'!C13=0%),0,Calculateur!CY3)</f>
        <v>314.6300257056194</v>
      </c>
      <c r="D10" s="147">
        <f>IF(OR('Données projet'!B13="",'Données projet'!C13="",'Données projet'!C13=0%),0,Calculateur!CZ3)</f>
        <v>298.00555477466668</v>
      </c>
      <c r="E10" s="147">
        <f t="shared" ca="1" si="0"/>
        <v>298.00555477466668</v>
      </c>
      <c r="F10" s="147">
        <f t="shared" ca="1" si="1"/>
        <v>74.501722459888029</v>
      </c>
      <c r="G10" s="147">
        <f ca="1">F10*(100%-'Données projet'!$C$24)*(100%-'Données projet'!$C$25)*(100%-'Données projet'!$C$26)*(100%-'Données projet'!$C$27)</f>
        <v>67.051550213899233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10.50004704</v>
      </c>
      <c r="K10" s="151">
        <f>J10*(100%-'Données projet'!$C$24)*(100%-'Données projet'!$C$25)*(100%-'Données projet'!$C$26)*(100%-'Données projet'!$C$27)</f>
        <v>9.450042336000001</v>
      </c>
      <c r="L10" s="152">
        <f t="shared" ca="1" si="2"/>
        <v>76.501592549899229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Erable plane</v>
      </c>
      <c r="B11" s="154">
        <f>'Données projet'!D14</f>
        <v>0.25000112000000002</v>
      </c>
      <c r="C11" s="147">
        <f ca="1">IF(OR('Données projet'!B14="",'Données projet'!C14="",'Données projet'!C14=0%),0,Calculateur!DT3)</f>
        <v>314.6300257056194</v>
      </c>
      <c r="D11" s="147">
        <f>IF(OR('Données projet'!B14="",'Données projet'!C14="",'Données projet'!C14=0%),0,Calculateur!DU3)</f>
        <v>298.00555477466668</v>
      </c>
      <c r="E11" s="147">
        <f t="shared" ca="1" si="0"/>
        <v>298.00555477466668</v>
      </c>
      <c r="F11" s="147">
        <f t="shared" ca="1" si="1"/>
        <v>74.501722459888029</v>
      </c>
      <c r="G11" s="147">
        <f ca="1">F11*(100%-'Données projet'!$C$24)*(100%-'Données projet'!$C$25)*(100%-'Données projet'!$C$26)*(100%-'Données projet'!$C$27)</f>
        <v>67.051550213899233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10.50004704</v>
      </c>
      <c r="K11" s="151">
        <f>J11*(100%-'Données projet'!$C$24)*(100%-'Données projet'!$C$25)*(100%-'Données projet'!$C$26)*(100%-'Données projet'!$C$27)</f>
        <v>9.450042336000001</v>
      </c>
      <c r="L11" s="152">
        <f t="shared" ca="1" si="2"/>
        <v>76.501592549899229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Sapin méditerranéen</v>
      </c>
      <c r="B12" s="154">
        <f>'Données projet'!D15</f>
        <v>0.49999955999999995</v>
      </c>
      <c r="C12" s="147">
        <f ca="1">IF(OR('Données projet'!B15="",'Données projet'!C15="",'Données projet'!C15=0%),0,Calculateur!EO3)</f>
        <v>238.83604534181978</v>
      </c>
      <c r="D12" s="147">
        <f>IF(OR('Données projet'!B15="",'Données projet'!C15="",'Données projet'!C15=0%),0,Calculateur!EP3)</f>
        <v>114.85152559837792</v>
      </c>
      <c r="E12" s="147">
        <f t="shared" ca="1" si="0"/>
        <v>114.85152559837792</v>
      </c>
      <c r="F12" s="147">
        <f t="shared" ca="1" si="1"/>
        <v>57.425712264517692</v>
      </c>
      <c r="G12" s="147">
        <f ca="1">F12*(100%-'Données projet'!$C$24)*(100%-'Données projet'!$C$25)*(100%-'Données projet'!$C$26)*(100%-'Données projet'!$C$27)</f>
        <v>51.683141038065926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51.683141038065926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Bouleau verruqueux</v>
      </c>
      <c r="B13" s="154">
        <f>'Données projet'!D16</f>
        <v>0.49999955999999995</v>
      </c>
      <c r="C13" s="147">
        <f ca="1">IF(OR('Données projet'!B16="",'Données projet'!C16="",'Données projet'!C16=0%),0,Calculateur!FJ3)</f>
        <v>196.95467273423861</v>
      </c>
      <c r="D13" s="147">
        <f>IF(OR('Données projet'!B16="",'Données projet'!C16="",'Données projet'!C16=0%),0,Calculateur!FK3)</f>
        <v>173.8709326829258</v>
      </c>
      <c r="E13" s="147">
        <f t="shared" ca="1" si="0"/>
        <v>173.8709326829258</v>
      </c>
      <c r="F13" s="147">
        <f t="shared" ca="1" si="1"/>
        <v>86.935389838252505</v>
      </c>
      <c r="G13" s="147">
        <f ca="1">F13*(100%-'Données projet'!$C$24)*(100%-'Données projet'!$C$25)*(100%-'Données projet'!$C$26)*(100%-'Données projet'!$C$27)</f>
        <v>78.241850854427256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12.37498911</v>
      </c>
      <c r="K13" s="151">
        <f>J13*(100%-'Données projet'!$C$24)*(100%-'Données projet'!$C$25)*(100%-'Données projet'!$C$26)*(100%-'Données projet'!$C$27)</f>
        <v>11.137490199</v>
      </c>
      <c r="L13" s="152">
        <f t="shared" ca="1" si="2"/>
        <v>89.379341053427254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>Cormier</v>
      </c>
      <c r="B14" s="154">
        <f>'Données projet'!D17</f>
        <v>0.49579999999999996</v>
      </c>
      <c r="C14" s="147">
        <f ca="1">IF(OR('Données projet'!B17="",'Données projet'!C17="",'Données projet'!C17=0%),0,Calculateur!GE3)</f>
        <v>275.5229427552884</v>
      </c>
      <c r="D14" s="147">
        <f>IF(OR('Données projet'!B17="",'Données projet'!C17="",'Données projet'!C17=0%),0,Calculateur!GF3)</f>
        <v>241.20234081716143</v>
      </c>
      <c r="E14" s="147">
        <f t="shared" ca="1" si="0"/>
        <v>241.20234081716143</v>
      </c>
      <c r="F14" s="147">
        <f t="shared" ca="1" si="1"/>
        <v>119.58812057714863</v>
      </c>
      <c r="G14" s="147">
        <f ca="1">F14*(100%-'Données projet'!$C$24)*(100%-'Données projet'!$C$25)*(100%-'Données projet'!$C$26)*(100%-'Données projet'!$C$27)</f>
        <v>107.62930851943376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12.271049999999999</v>
      </c>
      <c r="K14" s="151">
        <f>J14*(100%-'Données projet'!$C$24)*(100%-'Données projet'!$C$25)*(100%-'Données projet'!$C$26)*(100%-'Données projet'!$C$27)</f>
        <v>11.043944999999999</v>
      </c>
      <c r="L14" s="152">
        <f t="shared" ca="1" si="2"/>
        <v>118.67325351943376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6100.6476284416376</v>
      </c>
      <c r="G16" s="166">
        <f t="shared" ca="1" si="3"/>
        <v>5490.5828655974756</v>
      </c>
      <c r="H16" s="167">
        <f t="shared" si="3"/>
        <v>159.88523350173446</v>
      </c>
      <c r="I16" s="167">
        <f t="shared" si="3"/>
        <v>143.896710151561</v>
      </c>
      <c r="J16" s="168">
        <f t="shared" si="3"/>
        <v>1381.0333233440219</v>
      </c>
      <c r="K16" s="168">
        <f t="shared" si="3"/>
        <v>1242.9299910096199</v>
      </c>
      <c r="L16" s="169">
        <f t="shared" ca="1" si="3"/>
        <v>6877.4095667586562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Erable plane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Sapin méditerranéen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Bouleau verruqueux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>Cormier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1" zoomScale="110" zoomScaleNormal="110" workbookViewId="0">
      <selection activeCell="E296" sqref="E296:E300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-1799.0201760266204</v>
      </c>
      <c r="U10" s="178">
        <f>'Données projet'!D9</f>
        <v>6.2000004400000002</v>
      </c>
      <c r="V10" s="177">
        <f>U10*T10</f>
        <v>-11153.925882933925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-2637.2099032348488</v>
      </c>
      <c r="U11" s="178">
        <f>'Données projet'!D10</f>
        <v>6.2000004400000002</v>
      </c>
      <c r="V11" s="177">
        <f t="shared" ref="V11" si="0">U11*T11</f>
        <v>-16350.702560428421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-4452.8642523987701</v>
      </c>
      <c r="U12" s="178">
        <f>'Données projet'!D11</f>
        <v>6.2000004400000002</v>
      </c>
      <c r="V12" s="177">
        <f t="shared" ref="V12:V19" si="1">U12*T12</f>
        <v>-27607.760324132647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-664.82376365458276</v>
      </c>
      <c r="U13" s="178">
        <f>'Données projet'!D12</f>
        <v>6.2000004400000002</v>
      </c>
      <c r="V13" s="177">
        <f t="shared" si="1"/>
        <v>-4121.907627180869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-5080.0392455199244</v>
      </c>
      <c r="U14" s="178">
        <f>'Données projet'!D13</f>
        <v>0.25000112000000002</v>
      </c>
      <c r="V14" s="177">
        <f t="shared" si="1"/>
        <v>-1270.0155010239362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Erable plane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-5885.8816026088189</v>
      </c>
      <c r="U15" s="178">
        <f>'Données projet'!D14</f>
        <v>0.25000112000000002</v>
      </c>
      <c r="V15" s="177">
        <f t="shared" si="1"/>
        <v>-1471.4769928395997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50</v>
      </c>
      <c r="O16" s="23"/>
      <c r="P16" s="23"/>
      <c r="Q16" s="234"/>
      <c r="R16" s="23"/>
      <c r="S16" s="36" t="str">
        <f>B200</f>
        <v>Sapin méditerranéen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-5885.8816026088189</v>
      </c>
      <c r="U16" s="178">
        <f>'Données projet'!D15</f>
        <v>0.49999955999999995</v>
      </c>
      <c r="V16" s="177">
        <f t="shared" si="1"/>
        <v>-2942.938211516504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3500</v>
      </c>
      <c r="F17" s="230"/>
      <c r="G17" s="289"/>
      <c r="J17" s="202"/>
      <c r="K17" s="208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>Bouleau verruqueux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-5885.8816026088189</v>
      </c>
      <c r="U17" s="178">
        <f>'Données projet'!D16</f>
        <v>0.49999955999999995</v>
      </c>
      <c r="V17" s="177">
        <f t="shared" si="1"/>
        <v>-2942.938211516504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>
        <v>880</v>
      </c>
      <c r="F18" s="230"/>
      <c r="G18" s="289"/>
      <c r="J18" s="202"/>
      <c r="K18" s="208"/>
      <c r="L18" s="258" t="s">
        <v>255</v>
      </c>
      <c r="M18" s="260"/>
      <c r="N18" s="192">
        <v>2</v>
      </c>
      <c r="O18" s="23"/>
      <c r="P18" s="23"/>
      <c r="Q18" s="234"/>
      <c r="R18" s="23"/>
      <c r="S18" s="36" t="str">
        <f>B262</f>
        <v>Cormier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-5885.8816026088189</v>
      </c>
      <c r="U18" s="178">
        <f>'Données projet'!D17</f>
        <v>0.49579999999999996</v>
      </c>
      <c r="V18" s="177">
        <f t="shared" si="1"/>
        <v>-2918.2200985734521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>
        <v>880</v>
      </c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99.999999999999929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>
        <v>0</v>
      </c>
      <c r="F20" s="230"/>
      <c r="G20" s="289"/>
      <c r="H20" s="190">
        <v>1</v>
      </c>
      <c r="I20" s="191">
        <f>3000+1500</f>
        <v>4500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>
        <v>880</v>
      </c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18</v>
      </c>
      <c r="B23" s="181">
        <f>'Données projet'!D36</f>
        <v>69.284615384615378</v>
      </c>
      <c r="C23" s="193">
        <v>10</v>
      </c>
      <c r="D23" s="182">
        <f>B23*C23</f>
        <v>692.84615384615381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-186186.58397473919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24</v>
      </c>
      <c r="B24" s="181">
        <f>'Données projet'!D37</f>
        <v>42.661538461538463</v>
      </c>
      <c r="C24" s="193">
        <v>15</v>
      </c>
      <c r="D24" s="182">
        <f t="shared" ref="D24:D42" si="2">B24*C24</f>
        <v>639.92307692307691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296.70186190794755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65.669230769230765</v>
      </c>
      <c r="C25" s="193">
        <v>20</v>
      </c>
      <c r="D25" s="182">
        <f t="shared" si="2"/>
        <v>1313.3846153846152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-186483.28583664715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36</v>
      </c>
      <c r="B26" s="181">
        <f>'Données projet'!D39</f>
        <v>69.3</v>
      </c>
      <c r="C26" s="193">
        <v>25</v>
      </c>
      <c r="D26" s="182">
        <f t="shared" si="2"/>
        <v>1732.5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42</v>
      </c>
      <c r="B27" s="181">
        <f>'Données projet'!D40</f>
        <v>73.392307692307682</v>
      </c>
      <c r="C27" s="193">
        <v>30</v>
      </c>
      <c r="D27" s="182">
        <f t="shared" si="2"/>
        <v>2201.7692307692305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48</v>
      </c>
      <c r="B28" s="181">
        <f>'Données projet'!D41</f>
        <v>81.330769230769235</v>
      </c>
      <c r="C28" s="193">
        <v>40</v>
      </c>
      <c r="D28" s="182">
        <f t="shared" si="2"/>
        <v>3253.2307692307695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54</v>
      </c>
      <c r="B29" s="181">
        <f>'Données projet'!D42</f>
        <v>566.79999999999995</v>
      </c>
      <c r="C29" s="193">
        <v>40</v>
      </c>
      <c r="D29" s="182">
        <f t="shared" si="2"/>
        <v>22672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>
        <v>60</v>
      </c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>
        <v>60</v>
      </c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>
        <v>3500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>
        <v>880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>
        <v>880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>
        <v>0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>
        <v>880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18</v>
      </c>
      <c r="B54" s="181">
        <f>'Données projet'!D62</f>
        <v>20</v>
      </c>
      <c r="C54" s="191">
        <v>10</v>
      </c>
      <c r="D54" s="179">
        <f>B54*C54</f>
        <v>200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21</v>
      </c>
      <c r="B55" s="181">
        <f>'Données projet'!D63</f>
        <v>26</v>
      </c>
      <c r="C55" s="191">
        <v>15</v>
      </c>
      <c r="D55" s="179">
        <f t="shared" ref="D55:D73" si="4">B55*C55</f>
        <v>390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24</v>
      </c>
      <c r="B56" s="181">
        <f>'Données projet'!D64</f>
        <v>29</v>
      </c>
      <c r="C56" s="191">
        <v>25</v>
      </c>
      <c r="D56" s="179">
        <f t="shared" si="4"/>
        <v>725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30</v>
      </c>
      <c r="B57" s="181">
        <f>'Données projet'!D65</f>
        <v>53</v>
      </c>
      <c r="C57" s="191">
        <v>30</v>
      </c>
      <c r="D57" s="179">
        <f t="shared" si="4"/>
        <v>1590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36</v>
      </c>
      <c r="B58" s="181">
        <f>'Données projet'!D66</f>
        <v>62</v>
      </c>
      <c r="C58" s="191">
        <v>35</v>
      </c>
      <c r="D58" s="179">
        <f t="shared" si="4"/>
        <v>2170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42</v>
      </c>
      <c r="B59" s="181">
        <f>'Données projet'!D67</f>
        <v>67</v>
      </c>
      <c r="C59" s="191">
        <v>40</v>
      </c>
      <c r="D59" s="179">
        <f t="shared" si="4"/>
        <v>2680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48</v>
      </c>
      <c r="B60" s="181">
        <f>'Données projet'!D68</f>
        <v>65</v>
      </c>
      <c r="C60" s="191">
        <v>40</v>
      </c>
      <c r="D60" s="179">
        <f t="shared" si="4"/>
        <v>2600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60</v>
      </c>
      <c r="B61" s="181">
        <f>'Données projet'!D69</f>
        <v>304</v>
      </c>
      <c r="C61" s="191">
        <v>60</v>
      </c>
      <c r="D61" s="179">
        <f t="shared" si="4"/>
        <v>18240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>
        <v>3500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>
        <v>880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>
        <v>880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>
        <v>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>
        <v>880</v>
      </c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20</v>
      </c>
      <c r="B85" s="181">
        <f>'Données projet'!D88</f>
        <v>31.6</v>
      </c>
      <c r="C85" s="191">
        <v>12</v>
      </c>
      <c r="D85" s="179">
        <f>B85*C85</f>
        <v>379.20000000000005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30</v>
      </c>
      <c r="B86" s="181">
        <f>'Données projet'!D89</f>
        <v>43.680000000000007</v>
      </c>
      <c r="C86" s="191">
        <v>12</v>
      </c>
      <c r="D86" s="179">
        <f t="shared" ref="D86:D104" si="6">B86*C86</f>
        <v>524.16000000000008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40</v>
      </c>
      <c r="B87" s="181">
        <f>'Données projet'!D90</f>
        <v>54.94400000000001</v>
      </c>
      <c r="C87" s="191">
        <v>20</v>
      </c>
      <c r="D87" s="179">
        <f t="shared" si="6"/>
        <v>1098.8800000000001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50</v>
      </c>
      <c r="B88" s="181">
        <f>'Données projet'!D91</f>
        <v>66.955200000000005</v>
      </c>
      <c r="C88" s="191">
        <v>20</v>
      </c>
      <c r="D88" s="179">
        <f t="shared" si="6"/>
        <v>1339.104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60</v>
      </c>
      <c r="B89" s="181">
        <f>'Données projet'!D92</f>
        <v>80.564160000000015</v>
      </c>
      <c r="C89" s="191">
        <v>25</v>
      </c>
      <c r="D89" s="179">
        <f t="shared" si="6"/>
        <v>2014.1040000000003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70</v>
      </c>
      <c r="B90" s="181">
        <f>'Données projet'!D93</f>
        <v>95.451328000000004</v>
      </c>
      <c r="C90" s="191">
        <v>25</v>
      </c>
      <c r="D90" s="179">
        <f t="shared" si="6"/>
        <v>2386.2832000000003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80</v>
      </c>
      <c r="B91" s="181">
        <f>'Données projet'!D94</f>
        <v>110.36106239999999</v>
      </c>
      <c r="C91" s="191">
        <v>30</v>
      </c>
      <c r="D91" s="179">
        <f t="shared" si="6"/>
        <v>3310.8318719999997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90</v>
      </c>
      <c r="B92" s="181">
        <f>'Données projet'!D95</f>
        <v>123.28884991999999</v>
      </c>
      <c r="C92" s="191">
        <v>42</v>
      </c>
      <c r="D92" s="179">
        <f t="shared" si="6"/>
        <v>5178.13169664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100</v>
      </c>
      <c r="B93" s="181">
        <f>'Données projet'!D96</f>
        <v>678.15539967999996</v>
      </c>
      <c r="C93" s="191">
        <v>42</v>
      </c>
      <c r="D93" s="179">
        <f t="shared" si="6"/>
        <v>28482.52678656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3500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v>880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v>880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v>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>
        <v>880</v>
      </c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17</v>
      </c>
      <c r="B116" s="181">
        <f>'Données projet'!D114</f>
        <v>15</v>
      </c>
      <c r="C116" s="191">
        <v>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20</v>
      </c>
      <c r="B117" s="181">
        <f>'Données projet'!D115</f>
        <v>15</v>
      </c>
      <c r="C117" s="191">
        <v>0</v>
      </c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25</v>
      </c>
      <c r="B118" s="181">
        <f>'Données projet'!D116</f>
        <v>36</v>
      </c>
      <c r="C118" s="191">
        <v>12</v>
      </c>
      <c r="D118" s="179">
        <f t="shared" si="8"/>
        <v>432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30</v>
      </c>
      <c r="B119" s="181">
        <f>'Données projet'!D117</f>
        <v>54</v>
      </c>
      <c r="C119" s="191">
        <v>20</v>
      </c>
      <c r="D119" s="179">
        <f t="shared" si="8"/>
        <v>1080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35</v>
      </c>
      <c r="B120" s="181">
        <f>'Données projet'!D118</f>
        <v>55</v>
      </c>
      <c r="C120" s="191">
        <v>20</v>
      </c>
      <c r="D120" s="179">
        <f t="shared" si="8"/>
        <v>1100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40</v>
      </c>
      <c r="B121" s="181">
        <f>'Données projet'!D119</f>
        <v>48</v>
      </c>
      <c r="C121" s="191">
        <v>25</v>
      </c>
      <c r="D121" s="179">
        <f t="shared" si="8"/>
        <v>1200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45</v>
      </c>
      <c r="B122" s="181">
        <f>'Données projet'!D120</f>
        <v>57</v>
      </c>
      <c r="C122" s="191">
        <v>25</v>
      </c>
      <c r="D122" s="179">
        <f t="shared" si="8"/>
        <v>1425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50</v>
      </c>
      <c r="B123" s="181">
        <f>'Données projet'!D121</f>
        <v>47</v>
      </c>
      <c r="C123" s="191">
        <v>30</v>
      </c>
      <c r="D123" s="179">
        <f t="shared" si="8"/>
        <v>1410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55</v>
      </c>
      <c r="B124" s="181">
        <f>'Données projet'!D122</f>
        <v>48</v>
      </c>
      <c r="C124" s="191">
        <v>42</v>
      </c>
      <c r="D124" s="179">
        <f t="shared" si="8"/>
        <v>2016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60</v>
      </c>
      <c r="B125" s="181">
        <f>'Données projet'!D123</f>
        <v>32</v>
      </c>
      <c r="C125" s="191">
        <v>42</v>
      </c>
      <c r="D125" s="179">
        <f t="shared" si="8"/>
        <v>1344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65</v>
      </c>
      <c r="B126" s="181">
        <f>'Données projet'!D124</f>
        <v>555</v>
      </c>
      <c r="C126" s="191">
        <v>42</v>
      </c>
      <c r="D126" s="179">
        <f t="shared" si="8"/>
        <v>23310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3500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v>880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v>880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>
        <v>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>
        <v>880</v>
      </c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7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15</v>
      </c>
      <c r="B148" s="175">
        <f>'Données projet'!D141</f>
        <v>42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20</v>
      </c>
      <c r="B149" s="175">
        <f>'Données projet'!D142</f>
        <v>42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25</v>
      </c>
      <c r="B150" s="175">
        <f>'Données projet'!D143</f>
        <v>42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30</v>
      </c>
      <c r="B151" s="175">
        <f>'Données projet'!D144</f>
        <v>42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35</v>
      </c>
      <c r="B152" s="175">
        <f>'Données projet'!D145</f>
        <v>42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40</v>
      </c>
      <c r="B153" s="175">
        <f>'Données projet'!D146</f>
        <v>40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45</v>
      </c>
      <c r="B154" s="175">
        <f>'Données projet'!D147</f>
        <v>26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50</v>
      </c>
      <c r="B155" s="175">
        <f>'Données projet'!D148</f>
        <v>21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55</v>
      </c>
      <c r="B156" s="175">
        <f>'Données projet'!D149</f>
        <v>18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60</v>
      </c>
      <c r="B157" s="175">
        <f>'Données projet'!D150</f>
        <v>17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65</v>
      </c>
      <c r="B158" s="175">
        <f>'Données projet'!D151</f>
        <v>16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70</v>
      </c>
      <c r="B159" s="175">
        <f>'Données projet'!D152</f>
        <v>15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75</v>
      </c>
      <c r="B160" s="175">
        <f>'Données projet'!D153</f>
        <v>14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80</v>
      </c>
      <c r="B161" s="175">
        <f>'Données projet'!D154</f>
        <v>381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Erable plane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3500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>
        <v>880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v>880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>
        <v>0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>
        <v>880</v>
      </c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7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15</v>
      </c>
      <c r="B179" s="181">
        <f>'Données projet'!D167</f>
        <v>42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20</v>
      </c>
      <c r="B180" s="181">
        <f>'Données projet'!D168</f>
        <v>42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25</v>
      </c>
      <c r="B181" s="181">
        <f>'Données projet'!D169</f>
        <v>42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30</v>
      </c>
      <c r="B182" s="181">
        <f>'Données projet'!D170</f>
        <v>42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35</v>
      </c>
      <c r="B183" s="181">
        <f>'Données projet'!D171</f>
        <v>42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40</v>
      </c>
      <c r="B184" s="181">
        <f>'Données projet'!D172</f>
        <v>40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45</v>
      </c>
      <c r="B185" s="181">
        <f>'Données projet'!D173</f>
        <v>26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50</v>
      </c>
      <c r="B186" s="181">
        <f>'Données projet'!D174</f>
        <v>21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55</v>
      </c>
      <c r="B187" s="181">
        <f>'Données projet'!D175</f>
        <v>18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60</v>
      </c>
      <c r="B188" s="181">
        <f>'Données projet'!D176</f>
        <v>17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65</v>
      </c>
      <c r="B189" s="181">
        <f>'Données projet'!D177</f>
        <v>16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70</v>
      </c>
      <c r="B190" s="181">
        <f>'Données projet'!D178</f>
        <v>15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75</v>
      </c>
      <c r="B191" s="181">
        <f>'Données projet'!D179</f>
        <v>14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80</v>
      </c>
      <c r="B192" s="181">
        <f>'Données projet'!D180</f>
        <v>381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Sapin méditerranéen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3500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>
        <v>880</v>
      </c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>
        <v>880</v>
      </c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>
        <v>0</v>
      </c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>
        <v>880</v>
      </c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30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45</v>
      </c>
      <c r="B210" s="181">
        <f>'Données projet'!D193</f>
        <v>146.27692307692308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52</v>
      </c>
      <c r="B211" s="181">
        <f>'Données projet'!D194</f>
        <v>75.523076923076928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59</v>
      </c>
      <c r="B212" s="181">
        <f>'Données projet'!D195</f>
        <v>93.91538461538461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63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67</v>
      </c>
      <c r="B214" s="181">
        <f>'Données projet'!D197</f>
        <v>92.107692307692304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72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75</v>
      </c>
      <c r="B216" s="181">
        <f>'Données projet'!D199</f>
        <v>86.946153846153848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81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83</v>
      </c>
      <c r="B218" s="181">
        <f>'Données projet'!D201</f>
        <v>91.153846153846146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85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91</v>
      </c>
      <c r="B220" s="181">
        <f>'Données projet'!D203</f>
        <v>87.884615384615387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94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99</v>
      </c>
      <c r="B222" s="181">
        <f>'Données projet'!D205</f>
        <v>69.692307692307679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103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107</v>
      </c>
      <c r="B224" s="181">
        <f>'Données projet'!D207</f>
        <v>76.292307692307702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112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116</v>
      </c>
      <c r="B226" s="181">
        <f>'Données projet'!D209</f>
        <v>78.146153846153851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121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125</v>
      </c>
      <c r="B228" s="181">
        <f>'Données projet'!D211</f>
        <v>66.315384615384602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Bouleau verruqueux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3500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>
        <v>880</v>
      </c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>
        <v>880</v>
      </c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>
        <v>0</v>
      </c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>
        <v>880</v>
      </c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15</v>
      </c>
      <c r="B240" s="181">
        <f>'Données projet'!D218</f>
        <v>15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20</v>
      </c>
      <c r="B241" s="181">
        <f>'Données projet'!D219</f>
        <v>28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25</v>
      </c>
      <c r="B242" s="181">
        <f>'Données projet'!D220</f>
        <v>28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30</v>
      </c>
      <c r="B243" s="181">
        <f>'Données projet'!D221</f>
        <v>28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35</v>
      </c>
      <c r="B244" s="181">
        <f>'Données projet'!D222</f>
        <v>28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40</v>
      </c>
      <c r="B245" s="181">
        <f>'Données projet'!D223</f>
        <v>28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45</v>
      </c>
      <c r="B246" s="181">
        <f>'Données projet'!D224</f>
        <v>22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50</v>
      </c>
      <c r="B247" s="181">
        <f>'Données projet'!D225</f>
        <v>17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55</v>
      </c>
      <c r="B248" s="181">
        <f>'Données projet'!D226</f>
        <v>13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60</v>
      </c>
      <c r="B249" s="181">
        <f>'Données projet'!D227</f>
        <v>12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65</v>
      </c>
      <c r="B250" s="181">
        <f>'Données projet'!D228</f>
        <v>11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70</v>
      </c>
      <c r="B251" s="181">
        <f>'Données projet'!D229</f>
        <v>10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75</v>
      </c>
      <c r="B252" s="181">
        <f>'Données projet'!D230</f>
        <v>9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80</v>
      </c>
      <c r="B253" s="181">
        <f>'Données projet'!D231</f>
        <v>267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>Cormier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3500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>
        <v>880</v>
      </c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>
        <v>880</v>
      </c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>
        <v>0</v>
      </c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>
        <v>880</v>
      </c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15</v>
      </c>
      <c r="B271" s="181">
        <f>'Données projet'!D244</f>
        <v>15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20</v>
      </c>
      <c r="B272" s="181">
        <f>'Données projet'!D245</f>
        <v>28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25</v>
      </c>
      <c r="B273" s="181">
        <f>'Données projet'!D246</f>
        <v>28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30</v>
      </c>
      <c r="B274" s="181">
        <f>'Données projet'!D247</f>
        <v>28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35</v>
      </c>
      <c r="B275" s="181">
        <f>'Données projet'!D248</f>
        <v>28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40</v>
      </c>
      <c r="B276" s="181">
        <f>'Données projet'!D249</f>
        <v>28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45</v>
      </c>
      <c r="B277" s="181">
        <f>'Données projet'!D250</f>
        <v>22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50</v>
      </c>
      <c r="B278" s="181">
        <f>'Données projet'!D251</f>
        <v>17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55</v>
      </c>
      <c r="B279" s="181">
        <f>'Données projet'!D252</f>
        <v>13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60</v>
      </c>
      <c r="B280" s="181">
        <f>'Données projet'!D253</f>
        <v>12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65</v>
      </c>
      <c r="B281" s="181">
        <f>'Données projet'!D254</f>
        <v>11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70</v>
      </c>
      <c r="B282" s="181">
        <f>'Données projet'!D255</f>
        <v>10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75</v>
      </c>
      <c r="B283" s="181">
        <f>'Données projet'!D256</f>
        <v>9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80</v>
      </c>
      <c r="B284" s="181">
        <f>'Données projet'!D257</f>
        <v>267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20" ma:contentTypeDescription="Crée un document." ma:contentTypeScope="" ma:versionID="44378e30ffc33ceaceb698f71f0ad4fd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d783a8b46903babddccf7b10d28b0363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Acce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7bdd42d-bd6b-4b7f-bb03-8625edd76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cces" ma:index="25" nillable="true" ma:displayName="Acces" ma:format="Dropdown" ma:list="UserInfo" ma:SharePointGroup="0" ma:internalName="Acce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aab27c-1ada-43c2-9a6a-e5006b256cb5}" ma:internalName="TaxCatchAll" ma:showField="CatchAllData" ma:web="1cca48d1-260d-4848-9875-be9a6e463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 xmlns="8c1d9445-5ca3-48db-a349-49511c70e687">
      <UserInfo>
        <DisplayName/>
        <AccountId xsi:nil="true"/>
        <AccountType/>
      </UserInfo>
    </Acces>
    <lcf76f155ced4ddcb4097134ff3c332f xmlns="8c1d9445-5ca3-48db-a349-49511c70e687">
      <Terms xmlns="http://schemas.microsoft.com/office/infopath/2007/PartnerControls"/>
    </lcf76f155ced4ddcb4097134ff3c332f>
    <TaxCatchAll xmlns="1cca48d1-260d-4848-9875-be9a6e4631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A97840-8C8A-473A-A327-AC1B96E277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d9445-5ca3-48db-a349-49511c70e687"/>
    <ds:schemaRef ds:uri="1cca48d1-260d-4848-9875-be9a6e463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BCD643-697F-4E2A-94E0-1DD5A378D471}">
  <ds:schemaRefs>
    <ds:schemaRef ds:uri="8c1d9445-5ca3-48db-a349-49511c70e687"/>
    <ds:schemaRef ds:uri="1cca48d1-260d-4848-9875-be9a6e463188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5822F0-3BCC-498E-A99B-8B7DA378F6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Charlène Cornet</cp:lastModifiedBy>
  <dcterms:created xsi:type="dcterms:W3CDTF">2021-02-01T08:22:39Z</dcterms:created>
  <dcterms:modified xsi:type="dcterms:W3CDTF">2026-03-18T15:45:05Z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0x010100D7B4EDD96029174C893F76668C19DF97</vt:lpwstr>
  </property>
  <property fmtid="{D5CDD505-2E9C-101B-9397-08002B2CF9AE}" pid="3" name="MediaServiceImageTags">
    <vt:lpwstr/>
  </property>
</Properties>
</file>