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\\Bureautique\agences et bureaux\AGENCE NORD AUVERGNE BOURBONNAIS\_TIERS\_PROPRIETAIRES_\HOVIUS Taco--AD18428\03 CHAVROCHES--AD18428P1\LBC Boisement--2023-VM-410\LBC Montage dossier\Documents techniques\"/>
    </mc:Choice>
  </mc:AlternateContent>
  <xr:revisionPtr revIDLastSave="0" documentId="13_ncr:1_{EDDBD900-0CC0-4A5C-BA40-8915009C7E6C}" xr6:coauthVersionLast="47" xr6:coauthVersionMax="47" xr10:uidLastSave="{00000000-0000-0000-0000-000000000000}"/>
  <bookViews>
    <workbookView xWindow="-108" yWindow="-108" windowWidth="23256" windowHeight="12576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EC4" i="2"/>
  <c r="FQ4" i="2"/>
  <c r="BQ4" i="2"/>
  <c r="GL4" i="2"/>
  <c r="EA4" i="2"/>
  <c r="F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B7" i="2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B10" i="2"/>
  <c r="EA10" i="2"/>
  <c r="HH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B14" i="2"/>
  <c r="HH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FS18" i="2"/>
  <c r="EA18" i="2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HH20" i="2"/>
  <c r="EW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B22" i="2"/>
  <c r="EW22" i="2"/>
  <c r="HH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HI28" i="2"/>
  <c r="EV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V33" i="2"/>
  <c r="EW33" i="2"/>
  <c r="EB33" i="2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FQ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FS38" i="2"/>
  <c r="HI38" i="2"/>
  <c r="EA38" i="2"/>
  <c r="EW38" i="2"/>
  <c r="HH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DG43" i="2"/>
  <c r="EA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H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I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EB57" i="2"/>
  <c r="HG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A59" i="2"/>
  <c r="EB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EV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B70" i="2"/>
  <c r="EW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H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EA75" i="2"/>
  <c r="EB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B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B78" i="2"/>
  <c r="EV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H79" i="2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HG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FS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B105" i="2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A107" i="2"/>
  <c r="EB107" i="2"/>
  <c r="HG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HI112" i="2"/>
  <c r="EB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X113" i="2"/>
  <c r="FS113" i="2"/>
  <c r="EB113" i="2"/>
  <c r="EW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A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S118" i="2"/>
  <c r="FQ118" i="2"/>
  <c r="HH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HI120" i="2"/>
  <c r="FQ120" i="2"/>
  <c r="HH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EA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HI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EW124" i="2"/>
  <c r="HH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FS130" i="2"/>
  <c r="HI130" i="2"/>
  <c r="EB130" i="2"/>
  <c r="EW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A139" i="2"/>
  <c r="EB139" i="2"/>
  <c r="EW139" i="2"/>
  <c r="HH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EX140" i="2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EB141" i="2"/>
  <c r="HG141" i="2"/>
  <c r="HH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EA144" i="2"/>
  <c r="FR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EA145" i="2"/>
  <c r="EB145" i="2"/>
  <c r="FR145" i="2"/>
  <c r="HG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I146" i="2"/>
  <c r="EA146" i="2"/>
  <c r="FR146" i="2"/>
  <c r="HH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EV150" i="2"/>
  <c r="HH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B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X155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HI156" i="2" l="1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B161" i="2" l="1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X164" i="2" l="1"/>
  <c r="EA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C167" i="2" l="1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EW172" i="2"/>
  <c r="HI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W175" i="2" l="1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V179" i="2" l="1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FS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HI195" i="2" l="1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HI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EB201" i="2" l="1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<sst xmlns="http://schemas.openxmlformats.org/spreadsheetml/2006/main" count="1197" uniqueCount="326">
  <si>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</si>
  <si>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</si>
  <si>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</si>
  <si>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</si>
  <si>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</si>
  <si>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</si>
  <si>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</si>
  <si>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</si>
  <si>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</si>
  <si>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</si>
  <si>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</si>
  <si>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</si>
  <si>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</si>
  <si>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</si>
  <si>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</si>
  <si>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</si>
  <si>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</si>
  <si>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</si>
  <si>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</si>
  <si>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</si>
  <si>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</si>
  <si>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</si>
  <si>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</si>
  <si>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</si>
  <si>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</si>
  <si>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</si>
  <si>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</si>
  <si>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</si>
  <si>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</si>
  <si>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</si>
  <si>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</si>
  <si>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</si>
  <si>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</si>
  <si>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</si>
  <si>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</si>
  <si>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</si>
  <si>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</si>
  <si>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</si>
  <si>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</si>
  <si>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</si>
  <si>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</si>
  <si>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</si>
  <si>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</si>
  <si>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</si>
  <si>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</si>
  <si>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</si>
  <si>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</si>
  <si>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</si>
  <si>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</si>
  <si>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</si>
  <si>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</si>
  <si>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</si>
  <si>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</si>
  <si>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</si>
  <si>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</si>
  <si>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</si>
  <si>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</si>
  <si>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</si>
  <si>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</si>
  <si>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</si>
  <si>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</si>
  <si>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</si>
  <si>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</si>
  <si>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</si>
  <si>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</si>
  <si>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</si>
  <si>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</si>
  <si>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</si>
  <si>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</si>
  <si>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</si>
  <si>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</si>
  <si>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</si>
  <si>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</si>
  <si>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</si>
  <si>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</si>
  <si>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</si>
  <si>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</si>
  <si>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</si>
  <si>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</si>
  <si>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</si>
  <si>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</si>
  <si>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</si>
  <si>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</si>
  <si>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</si>
  <si>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</si>
  <si>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</si>
  <si>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</si>
  <si>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</si>
  <si>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</si>
  <si>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</si>
  <si>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</si>
  <si>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</si>
  <si>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</si>
  <si>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</si>
  <si>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</si>
  <si>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</si>
  <si>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</si>
  <si>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</si>
  <si>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</si>
  <si>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</si>
  <si>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</si>
  <si>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</si>
  <si>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</si>
  <si>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</si>
  <si>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</si>
  <si>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</si>
  <si>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</si>
  <si>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</si>
  <si>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</si>
  <si>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</si>
  <si>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</si>
  <si>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</si>
  <si>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</si>
  <si>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</si>
  <si>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</si>
  <si>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</si>
  <si>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</si>
  <si>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</si>
  <si>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</si>
  <si>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</si>
  <si>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</si>
  <si>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</si>
  <si>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</si>
  <si>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</si>
  <si>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</si>
  <si>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</si>
  <si>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</si>
  <si>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</si>
  <si>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</si>
  <si>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</si>
  <si>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</si>
  <si>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</si>
  <si>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</si>
  <si>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</si>
  <si>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</si>
  <si>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</si>
  <si>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</si>
  <si>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</si>
  <si>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</si>
  <si>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</si>
  <si>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</si>
  <si>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</si>
  <si>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</si>
  <si>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</si>
  <si>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</si>
  <si>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</si>
  <si>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</si>
  <si>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</si>
  <si>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</si>
  <si>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</si>
  <si>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</si>
  <si>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</si>
  <si>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</si>
  <si>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</si>
  <si>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</si>
  <si>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</si>
  <si>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</si>
  <si>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</si>
  <si>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</si>
  <si>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</si>
  <si>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</si>
  <si>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</si>
  <si>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</si>
  <si>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</si>
  <si>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</si>
  <si>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</si>
  <si>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</si>
  <si>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</si>
  <si>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</si>
  <si>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</si>
  <si>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</si>
  <si>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</si>
  <si>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</si>
  <si>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</si>
  <si>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</si>
  <si>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</si>
  <si>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</si>
  <si>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</si>
  <si>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</si>
  <si>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</si>
  <si>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</si>
  <si>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</si>
  <si>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</si>
  <si>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</si>
  <si>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</si>
  <si>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</si>
  <si>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</si>
  <si>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</si>
  <si>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</si>
  <si>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</si>
  <si>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</si>
  <si>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</si>
  <si>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</si>
  <si>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</si>
  <si>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</si>
  <si>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</si>
  <si>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</si>
  <si>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</si>
  <si>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</si>
  <si>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</si>
  <si>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</si>
  <si>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</si>
  <si>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</si>
  <si>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</si>
  <si>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</si>
  <si>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</si>
  <si>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</si>
  <si>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</si>
  <si>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</si>
  <si>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</si>
  <si>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</si>
  <si>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</si>
  <si>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</si>
  <si>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</si>
  <si>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</si>
  <si>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</si>
  <si>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</si>
  <si>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</si>
  <si>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</si>
  <si>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</si>
  <si>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</si>
  <si>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</si>
  <si>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</si>
  <si>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</si>
  <si>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</si>
  <si>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</si>
  <si>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</si>
  <si>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</si>
  <si>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</si>
  <si>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</si>
  <si>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</si>
  <si>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</si>
  <si>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</si>
  <si>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</si>
  <si>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</si>
  <si>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</si>
  <si>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</si>
  <si>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</si>
  <si>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</si>
  <si>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</si>
  <si>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</si>
  <si>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</si>
  <si>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</si>
  <si>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</si>
  <si>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</si>
  <si>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</si>
  <si>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</si>
  <si>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</si>
  <si>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</si>
  <si>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</si>
  <si>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</si>
  <si>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</si>
  <si>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</si>
  <si>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</si>
  <si>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</si>
  <si>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</si>
  <si>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</si>
  <si>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</si>
  <si>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</si>
  <si>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</si>
  <si>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</si>
  <si>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</si>
  <si>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</si>
  <si>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</si>
  <si>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</si>
  <si>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</si>
  <si>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</si>
  <si>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</si>
  <si>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</si>
  <si>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</si>
  <si>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</si>
  <si>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</si>
  <si>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</si>
  <si>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</si>
  <si>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</si>
  <si>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</si>
  <si>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</si>
  <si>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</si>
  <si>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</si>
  <si>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</si>
  <si>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</si>
  <si>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</si>
  <si>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</si>
  <si>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</si>
  <si>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</si>
  <si>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</si>
  <si>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</si>
  <si>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</si>
  <si>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</si>
  <si>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</si>
  <si>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</si>
  <si>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</si>
  <si>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</si>
  <si>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</si>
  <si>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</si>
  <si>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</si>
  <si>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</si>
  <si>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</si>
  <si>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</si>
  <si>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</si>
  <si>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</si>
  <si>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</si>
  <si>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</si>
  <si>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</si>
  <si>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</si>
  <si>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</si>
  <si>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</si>
  <si>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</si>
  <si>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</si>
  <si>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</si>
  <si>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</si>
  <si>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</si>
  <si>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</si>
  <si>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</si>
  <si>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</si>
  <si>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</si>
  <si>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</si>
  <si>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</si>
  <si>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</si>
  <si>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</si>
  <si>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</si>
  <si>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</si>
  <si>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</si>
  <si>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</si>
  <si>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CR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</si>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</sst>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8" fillId="4" borderId="0" xfId="0" applyFont="1" applyFill="1" applyAlignment="1">
      <alignment horizontal="left" vertical="center" wrapText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97.318927922969635</c:v>
                </c:pt>
                <c:pt idx="22">
                  <c:v>108.4475019129206</c:v>
                </c:pt>
                <c:pt idx="23">
                  <c:v>119.54796628555846</c:v>
                </c:pt>
                <c:pt idx="24">
                  <c:v>130.62330272297189</c:v>
                </c:pt>
                <c:pt idx="25">
                  <c:v>141.67594470663133</c:v>
                </c:pt>
                <c:pt idx="26">
                  <c:v>139.70382844505221</c:v>
                </c:pt>
                <c:pt idx="27">
                  <c:v>153.49516770691636</c:v>
                </c:pt>
                <c:pt idx="28">
                  <c:v>167.25702755094335</c:v>
                </c:pt>
                <c:pt idx="29">
                  <c:v>180.99217685858619</c:v>
                </c:pt>
                <c:pt idx="30">
                  <c:v>194.7029293179402</c:v>
                </c:pt>
                <c:pt idx="31">
                  <c:v>169.613452288893</c:v>
                </c:pt>
                <c:pt idx="32">
                  <c:v>185.69564922944699</c:v>
                </c:pt>
                <c:pt idx="33">
                  <c:v>201.74532528316698</c:v>
                </c:pt>
                <c:pt idx="34">
                  <c:v>217.76543262779288</c:v>
                </c:pt>
                <c:pt idx="35">
                  <c:v>233.75845318467347</c:v>
                </c:pt>
                <c:pt idx="36">
                  <c:v>249.7265012785368</c:v>
                </c:pt>
                <c:pt idx="37">
                  <c:v>265.67139861401199</c:v>
                </c:pt>
                <c:pt idx="38">
                  <c:v>281.5947302821483</c:v>
                </c:pt>
                <c:pt idx="39">
                  <c:v>297.49788742006405</c:v>
                </c:pt>
                <c:pt idx="40">
                  <c:v>313.38210026249618</c:v>
                </c:pt>
                <c:pt idx="41">
                  <c:v>247.97507238738754</c:v>
                </c:pt>
                <c:pt idx="42">
                  <c:v>264.11677214797504</c:v>
                </c:pt>
                <c:pt idx="43">
                  <c:v>280.23622755830667</c:v>
                </c:pt>
                <c:pt idx="44">
                  <c:v>296.33489822464173</c:v>
                </c:pt>
                <c:pt idx="45">
                  <c:v>312.4140721854024</c:v>
                </c:pt>
                <c:pt idx="46">
                  <c:v>328.47489405645246</c:v>
                </c:pt>
                <c:pt idx="47">
                  <c:v>344.51838738035786</c:v>
                </c:pt>
                <c:pt idx="48">
                  <c:v>360.54547259299108</c:v>
                </c:pt>
                <c:pt idx="49">
                  <c:v>376.55698162745358</c:v>
                </c:pt>
                <c:pt idx="50">
                  <c:v>392.55366990377735</c:v>
                </c:pt>
                <c:pt idx="51">
                  <c:v>326.54079262774457</c:v>
                </c:pt>
                <c:pt idx="52">
                  <c:v>341.6202011551116</c:v>
                </c:pt>
                <c:pt idx="53">
                  <c:v>356.68497890922032</c:v>
                </c:pt>
                <c:pt idx="54">
                  <c:v>371.73583079258918</c:v>
                </c:pt>
                <c:pt idx="55">
                  <c:v>386.77339997206718</c:v>
                </c:pt>
                <c:pt idx="56">
                  <c:v>401.79827552592525</c:v>
                </c:pt>
                <c:pt idx="57">
                  <c:v>416.81099888731995</c:v>
                </c:pt>
                <c:pt idx="58">
                  <c:v>431.81206931097466</c:v>
                </c:pt>
                <c:pt idx="59">
                  <c:v>446.80194854062023</c:v>
                </c:pt>
                <c:pt idx="60">
                  <c:v>461.78106481747767</c:v>
                </c:pt>
                <c:pt idx="61">
                  <c:v>394.48001486506865</c:v>
                </c:pt>
                <c:pt idx="62">
                  <c:v>407.95878231757479</c:v>
                </c:pt>
                <c:pt idx="63">
                  <c:v>421.42793186976132</c:v>
                </c:pt>
                <c:pt idx="64">
                  <c:v>434.88781420496684</c:v>
                </c:pt>
                <c:pt idx="65">
                  <c:v>448.33875652973529</c:v>
                </c:pt>
                <c:pt idx="66">
                  <c:v>461.78106481747767</c:v>
                </c:pt>
                <c:pt idx="67">
                  <c:v>475.2150257772908</c:v>
                </c:pt>
                <c:pt idx="68">
                  <c:v>488.64090858857736</c:v>
                </c:pt>
                <c:pt idx="69">
                  <c:v>502.05896643512602</c:v>
                </c:pt>
                <c:pt idx="70">
                  <c:v>515.46943786668078</c:v>
                </c:pt>
                <c:pt idx="71">
                  <c:v>446.60983959217293</c:v>
                </c:pt>
                <c:pt idx="72">
                  <c:v>458.32527966923976</c:v>
                </c:pt>
                <c:pt idx="73">
                  <c:v>470.03432649602991</c:v>
                </c:pt>
                <c:pt idx="74">
                  <c:v>481.73716178290942</c:v>
                </c:pt>
                <c:pt idx="75">
                  <c:v>493.43395769164994</c:v>
                </c:pt>
                <c:pt idx="76">
                  <c:v>505.1248775564427</c:v>
                </c:pt>
                <c:pt idx="77">
                  <c:v>516.81007653469237</c:v>
                </c:pt>
                <c:pt idx="78">
                  <c:v>528.48970219589762</c:v>
                </c:pt>
                <c:pt idx="79">
                  <c:v>540.16389505577172</c:v>
                </c:pt>
                <c:pt idx="80">
                  <c:v>551.83278906179783</c:v>
                </c:pt>
                <c:pt idx="81">
                  <c:v>482.12075813367915</c:v>
                </c:pt>
                <c:pt idx="82">
                  <c:v>492.85884412246702</c:v>
                </c:pt>
                <c:pt idx="83">
                  <c:v>503.59197136026728</c:v>
                </c:pt>
                <c:pt idx="84">
                  <c:v>514.32026043494295</c:v>
                </c:pt>
                <c:pt idx="85">
                  <c:v>525.04382649327442</c:v>
                </c:pt>
                <c:pt idx="86">
                  <c:v>535.76277959494985</c:v>
                </c:pt>
                <c:pt idx="87">
                  <c:v>546.47722503675448</c:v>
                </c:pt>
                <c:pt idx="88">
                  <c:v>557.18726365001646</c:v>
                </c:pt>
                <c:pt idx="89">
                  <c:v>567.89299207399506</c:v>
                </c:pt>
                <c:pt idx="90">
                  <c:v>578.59450300758897</c:v>
                </c:pt>
                <c:pt idx="91">
                  <c:v>507.61564043595746</c:v>
                </c:pt>
                <c:pt idx="92">
                  <c:v>517.00159034875685</c:v>
                </c:pt>
                <c:pt idx="93">
                  <c:v>526.3839456981234</c:v>
                </c:pt>
                <c:pt idx="94">
                  <c:v>535.76277959494985</c:v>
                </c:pt>
                <c:pt idx="95">
                  <c:v>545.13816238142374</c:v>
                </c:pt>
                <c:pt idx="96">
                  <c:v>554.51016178271357</c:v>
                </c:pt>
                <c:pt idx="97">
                  <c:v>563.87884304786633</c:v>
                </c:pt>
                <c:pt idx="98">
                  <c:v>573.24426908085672</c:v>
                </c:pt>
                <c:pt idx="99">
                  <c:v>582.60650056262477</c:v>
                </c:pt>
                <c:pt idx="100">
                  <c:v>591.96559606486551</c:v>
                </c:pt>
                <c:pt idx="101">
                  <c:v>6.4758730798340893E-12</c:v>
                </c:pt>
                <c:pt idx="102">
                  <c:v>6.4758730798340893E-12</c:v>
                </c:pt>
                <c:pt idx="103">
                  <c:v>6.4758730798340893E-12</c:v>
                </c:pt>
                <c:pt idx="104">
                  <c:v>6.4758730798340893E-12</c:v>
                </c:pt>
                <c:pt idx="105">
                  <c:v>6.4758730798340893E-12</c:v>
                </c:pt>
                <c:pt idx="106">
                  <c:v>6.4758730798340893E-12</c:v>
                </c:pt>
                <c:pt idx="107">
                  <c:v>6.4758730798340893E-12</c:v>
                </c:pt>
                <c:pt idx="108">
                  <c:v>6.4758730798340893E-12</c:v>
                </c:pt>
                <c:pt idx="109">
                  <c:v>6.4758730798340893E-12</c:v>
                </c:pt>
                <c:pt idx="110">
                  <c:v>6.4758730798340893E-12</c:v>
                </c:pt>
                <c:pt idx="111">
                  <c:v>6.4758730798340893E-12</c:v>
                </c:pt>
                <c:pt idx="112">
                  <c:v>6.4758730798340893E-12</c:v>
                </c:pt>
                <c:pt idx="113">
                  <c:v>6.4758730798340893E-12</c:v>
                </c:pt>
                <c:pt idx="114">
                  <c:v>6.4758730798340893E-12</c:v>
                </c:pt>
                <c:pt idx="115">
                  <c:v>6.4758730798340893E-12</c:v>
                </c:pt>
                <c:pt idx="116">
                  <c:v>6.4758730798340893E-12</c:v>
                </c:pt>
                <c:pt idx="117">
                  <c:v>6.4758730798340893E-12</c:v>
                </c:pt>
                <c:pt idx="118">
                  <c:v>6.4758730798340893E-12</c:v>
                </c:pt>
                <c:pt idx="119">
                  <c:v>6.4758730798340893E-12</c:v>
                </c:pt>
                <c:pt idx="120">
                  <c:v>6.4758730798340893E-12</c:v>
                </c:pt>
                <c:pt idx="121">
                  <c:v>6.4758730798340893E-12</c:v>
                </c:pt>
                <c:pt idx="122">
                  <c:v>6.4758730798340893E-12</c:v>
                </c:pt>
                <c:pt idx="123">
                  <c:v>6.4758730798340893E-12</c:v>
                </c:pt>
                <c:pt idx="124">
                  <c:v>6.4758730798340893E-12</c:v>
                </c:pt>
                <c:pt idx="125">
                  <c:v>6.4758730798340893E-12</c:v>
                </c:pt>
                <c:pt idx="126">
                  <c:v>6.4758730798340893E-12</c:v>
                </c:pt>
                <c:pt idx="127">
                  <c:v>6.4758730798340893E-12</c:v>
                </c:pt>
                <c:pt idx="128">
                  <c:v>6.4758730798340893E-12</c:v>
                </c:pt>
                <c:pt idx="129">
                  <c:v>6.4758730798340893E-12</c:v>
                </c:pt>
                <c:pt idx="130">
                  <c:v>6.4758730798340893E-12</c:v>
                </c:pt>
                <c:pt idx="131">
                  <c:v>6.4758730798340893E-12</c:v>
                </c:pt>
                <c:pt idx="132">
                  <c:v>6.4758730798340893E-12</c:v>
                </c:pt>
                <c:pt idx="133">
                  <c:v>6.4758730798340893E-12</c:v>
                </c:pt>
                <c:pt idx="134">
                  <c:v>6.4758730798340893E-12</c:v>
                </c:pt>
                <c:pt idx="135">
                  <c:v>6.4758730798340893E-12</c:v>
                </c:pt>
                <c:pt idx="136">
                  <c:v>6.4758730798340893E-12</c:v>
                </c:pt>
                <c:pt idx="137">
                  <c:v>6.4758730798340893E-12</c:v>
                </c:pt>
                <c:pt idx="138">
                  <c:v>6.4758730798340893E-12</c:v>
                </c:pt>
                <c:pt idx="139">
                  <c:v>6.4758730798340893E-12</c:v>
                </c:pt>
                <c:pt idx="140">
                  <c:v>6.4758730798340893E-12</c:v>
                </c:pt>
                <c:pt idx="141">
                  <c:v>6.4758730798340893E-12</c:v>
                </c:pt>
                <c:pt idx="142">
                  <c:v>6.4758730798340893E-12</c:v>
                </c:pt>
                <c:pt idx="143">
                  <c:v>6.4758730798340893E-12</c:v>
                </c:pt>
                <c:pt idx="144">
                  <c:v>6.4758730798340893E-12</c:v>
                </c:pt>
                <c:pt idx="145">
                  <c:v>6.4758730798340893E-12</c:v>
                </c:pt>
                <c:pt idx="146">
                  <c:v>6.4758730798340893E-12</c:v>
                </c:pt>
                <c:pt idx="147">
                  <c:v>6.4758730798340893E-12</c:v>
                </c:pt>
                <c:pt idx="148">
                  <c:v>6.4758730798340893E-12</c:v>
                </c:pt>
                <c:pt idx="149">
                  <c:v>6.4758730798340893E-12</c:v>
                </c:pt>
                <c:pt idx="150">
                  <c:v>6.4758730798340893E-12</c:v>
                </c:pt>
                <c:pt idx="151">
                  <c:v>6.4758730798340893E-12</c:v>
                </c:pt>
                <c:pt idx="152">
                  <c:v>6.4758730798340893E-12</c:v>
                </c:pt>
                <c:pt idx="153">
                  <c:v>6.4758730798340893E-12</c:v>
                </c:pt>
                <c:pt idx="154">
                  <c:v>6.4758730798340893E-12</c:v>
                </c:pt>
                <c:pt idx="155">
                  <c:v>6.4758730798340893E-12</c:v>
                </c:pt>
                <c:pt idx="156">
                  <c:v>6.4758730798340893E-12</c:v>
                </c:pt>
                <c:pt idx="157">
                  <c:v>6.4758730798340893E-12</c:v>
                </c:pt>
                <c:pt idx="158">
                  <c:v>6.4758730798340893E-12</c:v>
                </c:pt>
                <c:pt idx="159">
                  <c:v>6.4758730798340893E-12</c:v>
                </c:pt>
                <c:pt idx="160">
                  <c:v>6.4758730798340893E-12</c:v>
                </c:pt>
                <c:pt idx="161">
                  <c:v>6.4758730798340893E-12</c:v>
                </c:pt>
                <c:pt idx="162">
                  <c:v>6.4758730798340893E-12</c:v>
                </c:pt>
                <c:pt idx="163">
                  <c:v>6.4758730798340893E-12</c:v>
                </c:pt>
                <c:pt idx="164">
                  <c:v>6.4758730798340893E-12</c:v>
                </c:pt>
                <c:pt idx="165">
                  <c:v>6.4758730798340893E-12</c:v>
                </c:pt>
                <c:pt idx="166">
                  <c:v>6.4758730798340893E-12</c:v>
                </c:pt>
                <c:pt idx="167">
                  <c:v>6.4758730798340893E-12</c:v>
                </c:pt>
                <c:pt idx="168">
                  <c:v>6.4758730798340893E-12</c:v>
                </c:pt>
                <c:pt idx="169">
                  <c:v>6.4758730798340893E-12</c:v>
                </c:pt>
                <c:pt idx="170">
                  <c:v>6.4758730798340893E-12</c:v>
                </c:pt>
                <c:pt idx="171">
                  <c:v>6.4758730798340893E-12</c:v>
                </c:pt>
                <c:pt idx="172">
                  <c:v>6.4758730798340893E-12</c:v>
                </c:pt>
                <c:pt idx="173">
                  <c:v>6.4758730798340893E-12</c:v>
                </c:pt>
                <c:pt idx="174">
                  <c:v>6.4758730798340893E-12</c:v>
                </c:pt>
                <c:pt idx="175">
                  <c:v>6.4758730798340893E-12</c:v>
                </c:pt>
                <c:pt idx="176">
                  <c:v>6.4758730798340893E-12</c:v>
                </c:pt>
                <c:pt idx="177">
                  <c:v>6.4758730798340893E-12</c:v>
                </c:pt>
                <c:pt idx="178">
                  <c:v>6.4758730798340893E-12</c:v>
                </c:pt>
                <c:pt idx="179">
                  <c:v>6.4758730798340893E-12</c:v>
                </c:pt>
                <c:pt idx="180">
                  <c:v>6.4758730798340893E-12</c:v>
                </c:pt>
                <c:pt idx="181">
                  <c:v>6.4758730798340893E-12</c:v>
                </c:pt>
                <c:pt idx="182">
                  <c:v>6.4758730798340893E-12</c:v>
                </c:pt>
                <c:pt idx="183">
                  <c:v>6.4758730798340893E-12</c:v>
                </c:pt>
                <c:pt idx="184">
                  <c:v>6.4758730798340893E-12</c:v>
                </c:pt>
                <c:pt idx="185">
                  <c:v>6.4758730798340893E-12</c:v>
                </c:pt>
                <c:pt idx="186">
                  <c:v>6.4758730798340893E-12</c:v>
                </c:pt>
                <c:pt idx="187">
                  <c:v>6.4758730798340893E-12</c:v>
                </c:pt>
                <c:pt idx="188">
                  <c:v>6.4758730798340893E-12</c:v>
                </c:pt>
                <c:pt idx="189">
                  <c:v>6.4758730798340893E-12</c:v>
                </c:pt>
                <c:pt idx="190">
                  <c:v>6.4758730798340893E-12</c:v>
                </c:pt>
                <c:pt idx="191">
                  <c:v>6.4758730798340893E-12</c:v>
                </c:pt>
                <c:pt idx="192">
                  <c:v>6.4758730798340893E-12</c:v>
                </c:pt>
                <c:pt idx="193">
                  <c:v>6.4758730798340893E-12</c:v>
                </c:pt>
                <c:pt idx="194">
                  <c:v>6.4758730798340893E-12</c:v>
                </c:pt>
                <c:pt idx="195">
                  <c:v>6.4758730798340893E-12</c:v>
                </c:pt>
                <c:pt idx="196">
                  <c:v>6.4758730798340893E-12</c:v>
                </c:pt>
                <c:pt idx="197">
                  <c:v>6.4758730798340893E-12</c:v>
                </c:pt>
                <c:pt idx="198">
                  <c:v>6.4758730798340893E-12</c:v>
                </c:pt>
                <c:pt idx="199">
                  <c:v>6.4758730798340893E-12</c:v>
                </c:pt>
                <c:pt idx="200">
                  <c:v>6.4758730798340893E-12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7900528"/>
        <c:axId val="1927903248"/>
      </c:scatterChart>
      <c:valAx>
        <c:axId val="19279005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903248"/>
        <c:crosses val="autoZero"/>
        <c:crossBetween val="midCat"/>
      </c:valAx>
      <c:valAx>
        <c:axId val="1927903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9005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53504"/>
        <c:axId val="27528480"/>
      </c:scatterChart>
      <c:valAx>
        <c:axId val="275535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28480"/>
        <c:crosses val="autoZero"/>
        <c:crossBetween val="midCat"/>
      </c:valAx>
      <c:valAx>
        <c:axId val="27528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53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97.318927922969635</c:v>
                </c:pt>
                <c:pt idx="22">
                  <c:v>108.4475019129206</c:v>
                </c:pt>
                <c:pt idx="23">
                  <c:v>119.54796628555846</c:v>
                </c:pt>
                <c:pt idx="24">
                  <c:v>130.62330272297189</c:v>
                </c:pt>
                <c:pt idx="25">
                  <c:v>141.67594470663133</c:v>
                </c:pt>
                <c:pt idx="26">
                  <c:v>139.70382844505221</c:v>
                </c:pt>
                <c:pt idx="27">
                  <c:v>153.49516770691636</c:v>
                </c:pt>
                <c:pt idx="28">
                  <c:v>167.25702755094335</c:v>
                </c:pt>
                <c:pt idx="29">
                  <c:v>180.99217685858619</c:v>
                </c:pt>
                <c:pt idx="30">
                  <c:v>194.7029293179402</c:v>
                </c:pt>
                <c:pt idx="31">
                  <c:v>169.613452288893</c:v>
                </c:pt>
                <c:pt idx="32">
                  <c:v>185.69564922944699</c:v>
                </c:pt>
                <c:pt idx="33">
                  <c:v>201.74532528316698</c:v>
                </c:pt>
                <c:pt idx="34">
                  <c:v>217.76543262779288</c:v>
                </c:pt>
                <c:pt idx="35">
                  <c:v>233.75845318467347</c:v>
                </c:pt>
                <c:pt idx="36">
                  <c:v>249.7265012785368</c:v>
                </c:pt>
                <c:pt idx="37">
                  <c:v>265.67139861401199</c:v>
                </c:pt>
                <c:pt idx="38">
                  <c:v>281.5947302821483</c:v>
                </c:pt>
                <c:pt idx="39">
                  <c:v>297.49788742006405</c:v>
                </c:pt>
                <c:pt idx="40">
                  <c:v>313.38210026249618</c:v>
                </c:pt>
                <c:pt idx="41">
                  <c:v>247.97507238738754</c:v>
                </c:pt>
                <c:pt idx="42">
                  <c:v>264.11677214797504</c:v>
                </c:pt>
                <c:pt idx="43">
                  <c:v>280.23622755830667</c:v>
                </c:pt>
                <c:pt idx="44">
                  <c:v>296.33489822464173</c:v>
                </c:pt>
                <c:pt idx="45">
                  <c:v>312.4140721854024</c:v>
                </c:pt>
                <c:pt idx="46">
                  <c:v>328.47489405645246</c:v>
                </c:pt>
                <c:pt idx="47">
                  <c:v>344.51838738035786</c:v>
                </c:pt>
                <c:pt idx="48">
                  <c:v>360.54547259299108</c:v>
                </c:pt>
                <c:pt idx="49">
                  <c:v>376.55698162745358</c:v>
                </c:pt>
                <c:pt idx="50">
                  <c:v>392.55366990377735</c:v>
                </c:pt>
                <c:pt idx="51">
                  <c:v>326.54079262774457</c:v>
                </c:pt>
                <c:pt idx="52">
                  <c:v>341.6202011551116</c:v>
                </c:pt>
                <c:pt idx="53">
                  <c:v>356.68497890922032</c:v>
                </c:pt>
                <c:pt idx="54">
                  <c:v>371.73583079258918</c:v>
                </c:pt>
                <c:pt idx="55">
                  <c:v>386.77339997206718</c:v>
                </c:pt>
                <c:pt idx="56">
                  <c:v>401.79827552592525</c:v>
                </c:pt>
                <c:pt idx="57">
                  <c:v>416.81099888731995</c:v>
                </c:pt>
                <c:pt idx="58">
                  <c:v>431.81206931097466</c:v>
                </c:pt>
                <c:pt idx="59">
                  <c:v>446.80194854062023</c:v>
                </c:pt>
                <c:pt idx="60">
                  <c:v>461.78106481747767</c:v>
                </c:pt>
                <c:pt idx="61">
                  <c:v>394.48001486506865</c:v>
                </c:pt>
                <c:pt idx="62">
                  <c:v>407.95878231757479</c:v>
                </c:pt>
                <c:pt idx="63">
                  <c:v>421.42793186976132</c:v>
                </c:pt>
                <c:pt idx="64">
                  <c:v>434.88781420496684</c:v>
                </c:pt>
                <c:pt idx="65">
                  <c:v>448.33875652973529</c:v>
                </c:pt>
                <c:pt idx="66">
                  <c:v>461.78106481747767</c:v>
                </c:pt>
                <c:pt idx="67">
                  <c:v>475.2150257772908</c:v>
                </c:pt>
                <c:pt idx="68">
                  <c:v>488.64090858857736</c:v>
                </c:pt>
                <c:pt idx="69">
                  <c:v>502.05896643512602</c:v>
                </c:pt>
                <c:pt idx="70">
                  <c:v>515.46943786668078</c:v>
                </c:pt>
                <c:pt idx="71">
                  <c:v>446.60983959217293</c:v>
                </c:pt>
                <c:pt idx="72">
                  <c:v>458.32527966923976</c:v>
                </c:pt>
                <c:pt idx="73">
                  <c:v>470.03432649602991</c:v>
                </c:pt>
                <c:pt idx="74">
                  <c:v>481.73716178290942</c:v>
                </c:pt>
                <c:pt idx="75">
                  <c:v>493.43395769164994</c:v>
                </c:pt>
                <c:pt idx="76">
                  <c:v>505.1248775564427</c:v>
                </c:pt>
                <c:pt idx="77">
                  <c:v>516.81007653469237</c:v>
                </c:pt>
                <c:pt idx="78">
                  <c:v>528.48970219589762</c:v>
                </c:pt>
                <c:pt idx="79">
                  <c:v>540.16389505577172</c:v>
                </c:pt>
                <c:pt idx="80">
                  <c:v>551.83278906179783</c:v>
                </c:pt>
                <c:pt idx="81">
                  <c:v>482.12075813367915</c:v>
                </c:pt>
                <c:pt idx="82">
                  <c:v>492.85884412246702</c:v>
                </c:pt>
                <c:pt idx="83">
                  <c:v>503.59197136026728</c:v>
                </c:pt>
                <c:pt idx="84">
                  <c:v>514.32026043494295</c:v>
                </c:pt>
                <c:pt idx="85">
                  <c:v>525.04382649327442</c:v>
                </c:pt>
                <c:pt idx="86">
                  <c:v>535.76277959494985</c:v>
                </c:pt>
                <c:pt idx="87">
                  <c:v>546.47722503675448</c:v>
                </c:pt>
                <c:pt idx="88">
                  <c:v>557.18726365001646</c:v>
                </c:pt>
                <c:pt idx="89">
                  <c:v>567.89299207399506</c:v>
                </c:pt>
                <c:pt idx="90">
                  <c:v>578.59450300758897</c:v>
                </c:pt>
                <c:pt idx="91">
                  <c:v>507.61564043595746</c:v>
                </c:pt>
                <c:pt idx="92">
                  <c:v>517.00159034875685</c:v>
                </c:pt>
                <c:pt idx="93">
                  <c:v>526.3839456981234</c:v>
                </c:pt>
                <c:pt idx="94">
                  <c:v>535.76277959494985</c:v>
                </c:pt>
                <c:pt idx="95">
                  <c:v>545.13816238142374</c:v>
                </c:pt>
                <c:pt idx="96">
                  <c:v>554.51016178271357</c:v>
                </c:pt>
                <c:pt idx="97">
                  <c:v>563.87884304786633</c:v>
                </c:pt>
                <c:pt idx="98">
                  <c:v>573.24426908085672</c:v>
                </c:pt>
                <c:pt idx="99">
                  <c:v>582.60650056262477</c:v>
                </c:pt>
                <c:pt idx="100">
                  <c:v>591.96559606486551</c:v>
                </c:pt>
                <c:pt idx="101">
                  <c:v>6.4758730798340893E-12</c:v>
                </c:pt>
                <c:pt idx="102">
                  <c:v>6.4758730798340893E-12</c:v>
                </c:pt>
                <c:pt idx="103">
                  <c:v>6.4758730798340893E-12</c:v>
                </c:pt>
                <c:pt idx="104">
                  <c:v>6.4758730798340893E-12</c:v>
                </c:pt>
                <c:pt idx="105">
                  <c:v>6.4758730798340893E-12</c:v>
                </c:pt>
                <c:pt idx="106">
                  <c:v>6.4758730798340893E-12</c:v>
                </c:pt>
                <c:pt idx="107">
                  <c:v>6.4758730798340893E-12</c:v>
                </c:pt>
                <c:pt idx="108">
                  <c:v>6.4758730798340893E-12</c:v>
                </c:pt>
                <c:pt idx="109">
                  <c:v>6.4758730798340893E-12</c:v>
                </c:pt>
                <c:pt idx="110">
                  <c:v>6.4758730798340893E-12</c:v>
                </c:pt>
                <c:pt idx="111">
                  <c:v>6.4758730798340893E-12</c:v>
                </c:pt>
                <c:pt idx="112">
                  <c:v>6.4758730798340893E-12</c:v>
                </c:pt>
                <c:pt idx="113">
                  <c:v>6.4758730798340893E-12</c:v>
                </c:pt>
                <c:pt idx="114">
                  <c:v>6.4758730798340893E-12</c:v>
                </c:pt>
                <c:pt idx="115">
                  <c:v>6.4758730798340893E-12</c:v>
                </c:pt>
                <c:pt idx="116">
                  <c:v>6.4758730798340893E-12</c:v>
                </c:pt>
                <c:pt idx="117">
                  <c:v>6.4758730798340893E-12</c:v>
                </c:pt>
                <c:pt idx="118">
                  <c:v>6.4758730798340893E-12</c:v>
                </c:pt>
                <c:pt idx="119">
                  <c:v>6.4758730798340893E-12</c:v>
                </c:pt>
                <c:pt idx="120">
                  <c:v>6.4758730798340893E-12</c:v>
                </c:pt>
                <c:pt idx="121">
                  <c:v>6.4758730798340893E-12</c:v>
                </c:pt>
                <c:pt idx="122">
                  <c:v>6.4758730798340893E-12</c:v>
                </c:pt>
                <c:pt idx="123">
                  <c:v>6.4758730798340893E-12</c:v>
                </c:pt>
                <c:pt idx="124">
                  <c:v>6.4758730798340893E-12</c:v>
                </c:pt>
                <c:pt idx="125">
                  <c:v>6.4758730798340893E-12</c:v>
                </c:pt>
                <c:pt idx="126">
                  <c:v>6.4758730798340893E-12</c:v>
                </c:pt>
                <c:pt idx="127">
                  <c:v>6.4758730798340893E-12</c:v>
                </c:pt>
                <c:pt idx="128">
                  <c:v>6.4758730798340893E-12</c:v>
                </c:pt>
                <c:pt idx="129">
                  <c:v>6.4758730798340893E-12</c:v>
                </c:pt>
                <c:pt idx="130">
                  <c:v>6.4758730798340893E-12</c:v>
                </c:pt>
                <c:pt idx="131">
                  <c:v>6.4758730798340893E-12</c:v>
                </c:pt>
                <c:pt idx="132">
                  <c:v>6.4758730798340893E-12</c:v>
                </c:pt>
                <c:pt idx="133">
                  <c:v>6.4758730798340893E-12</c:v>
                </c:pt>
                <c:pt idx="134">
                  <c:v>6.4758730798340893E-12</c:v>
                </c:pt>
                <c:pt idx="135">
                  <c:v>6.4758730798340893E-12</c:v>
                </c:pt>
                <c:pt idx="136">
                  <c:v>6.4758730798340893E-12</c:v>
                </c:pt>
                <c:pt idx="137">
                  <c:v>6.4758730798340893E-12</c:v>
                </c:pt>
                <c:pt idx="138">
                  <c:v>6.4758730798340893E-12</c:v>
                </c:pt>
                <c:pt idx="139">
                  <c:v>6.4758730798340893E-12</c:v>
                </c:pt>
                <c:pt idx="140">
                  <c:v>6.4758730798340893E-12</c:v>
                </c:pt>
                <c:pt idx="141">
                  <c:v>6.4758730798340893E-12</c:v>
                </c:pt>
                <c:pt idx="142">
                  <c:v>6.4758730798340893E-12</c:v>
                </c:pt>
                <c:pt idx="143">
                  <c:v>6.4758730798340893E-12</c:v>
                </c:pt>
                <c:pt idx="144">
                  <c:v>6.4758730798340893E-12</c:v>
                </c:pt>
                <c:pt idx="145">
                  <c:v>6.4758730798340893E-12</c:v>
                </c:pt>
                <c:pt idx="146">
                  <c:v>6.4758730798340893E-12</c:v>
                </c:pt>
                <c:pt idx="147">
                  <c:v>6.4758730798340893E-12</c:v>
                </c:pt>
                <c:pt idx="148">
                  <c:v>6.4758730798340893E-12</c:v>
                </c:pt>
                <c:pt idx="149">
                  <c:v>6.4758730798340893E-12</c:v>
                </c:pt>
                <c:pt idx="150">
                  <c:v>6.4758730798340893E-12</c:v>
                </c:pt>
                <c:pt idx="151">
                  <c:v>6.4758730798340893E-12</c:v>
                </c:pt>
                <c:pt idx="152">
                  <c:v>6.4758730798340893E-12</c:v>
                </c:pt>
                <c:pt idx="153">
                  <c:v>6.4758730798340893E-12</c:v>
                </c:pt>
                <c:pt idx="154">
                  <c:v>6.4758730798340893E-12</c:v>
                </c:pt>
                <c:pt idx="155">
                  <c:v>6.4758730798340893E-12</c:v>
                </c:pt>
                <c:pt idx="156">
                  <c:v>6.4758730798340893E-12</c:v>
                </c:pt>
                <c:pt idx="157">
                  <c:v>6.4758730798340893E-12</c:v>
                </c:pt>
                <c:pt idx="158">
                  <c:v>6.4758730798340893E-12</c:v>
                </c:pt>
                <c:pt idx="159">
                  <c:v>6.4758730798340893E-12</c:v>
                </c:pt>
                <c:pt idx="160">
                  <c:v>6.4758730798340893E-12</c:v>
                </c:pt>
                <c:pt idx="161">
                  <c:v>6.4758730798340893E-12</c:v>
                </c:pt>
                <c:pt idx="162">
                  <c:v>6.4758730798340893E-12</c:v>
                </c:pt>
                <c:pt idx="163">
                  <c:v>6.4758730798340893E-12</c:v>
                </c:pt>
                <c:pt idx="164">
                  <c:v>6.4758730798340893E-12</c:v>
                </c:pt>
                <c:pt idx="165">
                  <c:v>6.4758730798340893E-12</c:v>
                </c:pt>
                <c:pt idx="166">
                  <c:v>6.4758730798340893E-12</c:v>
                </c:pt>
                <c:pt idx="167">
                  <c:v>6.4758730798340893E-12</c:v>
                </c:pt>
                <c:pt idx="168">
                  <c:v>6.4758730798340893E-12</c:v>
                </c:pt>
                <c:pt idx="169">
                  <c:v>6.4758730798340893E-12</c:v>
                </c:pt>
                <c:pt idx="170">
                  <c:v>6.4758730798340893E-12</c:v>
                </c:pt>
                <c:pt idx="171">
                  <c:v>6.4758730798340893E-12</c:v>
                </c:pt>
                <c:pt idx="172">
                  <c:v>6.4758730798340893E-12</c:v>
                </c:pt>
                <c:pt idx="173">
                  <c:v>6.4758730798340893E-12</c:v>
                </c:pt>
                <c:pt idx="174">
                  <c:v>6.4758730798340893E-12</c:v>
                </c:pt>
                <c:pt idx="175">
                  <c:v>6.4758730798340893E-12</c:v>
                </c:pt>
                <c:pt idx="176">
                  <c:v>6.4758730798340893E-12</c:v>
                </c:pt>
                <c:pt idx="177">
                  <c:v>6.4758730798340893E-12</c:v>
                </c:pt>
                <c:pt idx="178">
                  <c:v>6.4758730798340893E-12</c:v>
                </c:pt>
                <c:pt idx="179">
                  <c:v>6.4758730798340893E-12</c:v>
                </c:pt>
                <c:pt idx="180">
                  <c:v>6.4758730798340893E-12</c:v>
                </c:pt>
                <c:pt idx="181">
                  <c:v>6.4758730798340893E-12</c:v>
                </c:pt>
                <c:pt idx="182">
                  <c:v>6.4758730798340893E-12</c:v>
                </c:pt>
                <c:pt idx="183">
                  <c:v>6.4758730798340893E-12</c:v>
                </c:pt>
                <c:pt idx="184">
                  <c:v>6.4758730798340893E-12</c:v>
                </c:pt>
                <c:pt idx="185">
                  <c:v>6.4758730798340893E-12</c:v>
                </c:pt>
                <c:pt idx="186">
                  <c:v>6.4758730798340893E-12</c:v>
                </c:pt>
                <c:pt idx="187">
                  <c:v>6.4758730798340893E-12</c:v>
                </c:pt>
                <c:pt idx="188">
                  <c:v>6.4758730798340893E-12</c:v>
                </c:pt>
                <c:pt idx="189">
                  <c:v>6.4758730798340893E-12</c:v>
                </c:pt>
                <c:pt idx="190">
                  <c:v>6.4758730798340893E-12</c:v>
                </c:pt>
                <c:pt idx="191">
                  <c:v>6.4758730798340893E-12</c:v>
                </c:pt>
                <c:pt idx="192">
                  <c:v>6.4758730798340893E-12</c:v>
                </c:pt>
                <c:pt idx="193">
                  <c:v>6.4758730798340893E-12</c:v>
                </c:pt>
                <c:pt idx="194">
                  <c:v>6.4758730798340893E-12</c:v>
                </c:pt>
                <c:pt idx="195">
                  <c:v>6.4758730798340893E-12</c:v>
                </c:pt>
                <c:pt idx="196">
                  <c:v>6.4758730798340893E-12</c:v>
                </c:pt>
                <c:pt idx="197">
                  <c:v>6.4758730798340893E-12</c:v>
                </c:pt>
                <c:pt idx="198">
                  <c:v>6.4758730798340893E-12</c:v>
                </c:pt>
                <c:pt idx="199">
                  <c:v>6.4758730798340893E-12</c:v>
                </c:pt>
                <c:pt idx="200">
                  <c:v>6.4758730798340893E-12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7891280"/>
        <c:axId val="1927892912"/>
      </c:scatterChart>
      <c:valAx>
        <c:axId val="19278912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2912"/>
        <c:crosses val="autoZero"/>
        <c:crossBetween val="midCat"/>
      </c:valAx>
      <c:valAx>
        <c:axId val="1927892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12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2.0397714284229629</c:v>
                </c:pt>
                <c:pt idx="2">
                  <c:v>2.6830501318721502</c:v>
                </c:pt>
                <c:pt idx="3">
                  <c:v>3.5300330763175403</c:v>
                </c:pt>
                <c:pt idx="4">
                  <c:v>4.6454756176067766</c:v>
                </c:pt>
                <c:pt idx="5">
                  <c:v>6.1147922436081394</c:v>
                </c:pt>
                <c:pt idx="6">
                  <c:v>8.0506694835935235</c:v>
                </c:pt>
                <c:pt idx="7">
                  <c:v>10.601802064162893</c:v>
                </c:pt>
                <c:pt idx="8">
                  <c:v>13.96443594132149</c:v>
                </c:pt>
                <c:pt idx="9">
                  <c:v>18.397622508108167</c:v>
                </c:pt>
                <c:pt idx="10">
                  <c:v>24.243380340766453</c:v>
                </c:pt>
                <c:pt idx="11">
                  <c:v>31.953347449743802</c:v>
                </c:pt>
                <c:pt idx="12">
                  <c:v>42.124018808482084</c:v>
                </c:pt>
                <c:pt idx="13">
                  <c:v>55.543341570302402</c:v>
                </c:pt>
                <c:pt idx="14">
                  <c:v>73.252337685254929</c:v>
                </c:pt>
                <c:pt idx="15">
                  <c:v>96.626611933989992</c:v>
                </c:pt>
                <c:pt idx="16">
                  <c:v>127.4841772510066</c:v>
                </c:pt>
                <c:pt idx="17">
                  <c:v>168.22811392921565</c:v>
                </c:pt>
                <c:pt idx="18">
                  <c:v>132.88578577838067</c:v>
                </c:pt>
                <c:pt idx="19">
                  <c:v>152.3357449577359</c:v>
                </c:pt>
                <c:pt idx="20">
                  <c:v>171.72653739413659</c:v>
                </c:pt>
                <c:pt idx="21">
                  <c:v>191.06578969549196</c:v>
                </c:pt>
                <c:pt idx="22">
                  <c:v>210.3594549163457</c:v>
                </c:pt>
                <c:pt idx="23">
                  <c:v>229.61230319271121</c:v>
                </c:pt>
                <c:pt idx="24">
                  <c:v>179.17198857385839</c:v>
                </c:pt>
                <c:pt idx="25">
                  <c:v>198.66710978758559</c:v>
                </c:pt>
                <c:pt idx="26">
                  <c:v>218.14017912965292</c:v>
                </c:pt>
                <c:pt idx="27">
                  <c:v>237.57329645777699</c:v>
                </c:pt>
                <c:pt idx="28">
                  <c:v>256.97018935365219</c:v>
                </c:pt>
                <c:pt idx="29">
                  <c:v>276.33397636592599</c:v>
                </c:pt>
                <c:pt idx="30">
                  <c:v>233.28692088602762</c:v>
                </c:pt>
                <c:pt idx="31">
                  <c:v>251.52986006510639</c:v>
                </c:pt>
                <c:pt idx="32">
                  <c:v>269.74281909874736</c:v>
                </c:pt>
                <c:pt idx="33">
                  <c:v>287.92810676308375</c:v>
                </c:pt>
                <c:pt idx="34">
                  <c:v>306.08771631790279</c:v>
                </c:pt>
                <c:pt idx="35">
                  <c:v>324.77611046953086</c:v>
                </c:pt>
                <c:pt idx="36">
                  <c:v>343.44074860711902</c:v>
                </c:pt>
                <c:pt idx="37">
                  <c:v>275.52335566925433</c:v>
                </c:pt>
                <c:pt idx="38">
                  <c:v>290.26055263427389</c:v>
                </c:pt>
                <c:pt idx="39">
                  <c:v>304.98103484602058</c:v>
                </c:pt>
                <c:pt idx="40">
                  <c:v>319.68572272580451</c:v>
                </c:pt>
                <c:pt idx="41">
                  <c:v>334.37544509568392</c:v>
                </c:pt>
                <c:pt idx="42">
                  <c:v>349.05095200277395</c:v>
                </c:pt>
                <c:pt idx="43">
                  <c:v>363.71292527326744</c:v>
                </c:pt>
                <c:pt idx="44">
                  <c:v>378.36198727524112</c:v>
                </c:pt>
                <c:pt idx="45">
                  <c:v>313.00893373574308</c:v>
                </c:pt>
                <c:pt idx="46">
                  <c:v>330.00728987899697</c:v>
                </c:pt>
                <c:pt idx="47">
                  <c:v>346.98633453163399</c:v>
                </c:pt>
                <c:pt idx="48">
                  <c:v>363.94714544179897</c:v>
                </c:pt>
                <c:pt idx="49">
                  <c:v>380.8906917235426</c:v>
                </c:pt>
                <c:pt idx="50">
                  <c:v>397.81784925270807</c:v>
                </c:pt>
                <c:pt idx="51">
                  <c:v>414.72941330527374</c:v>
                </c:pt>
                <c:pt idx="52">
                  <c:v>431.62610902660271</c:v>
                </c:pt>
                <c:pt idx="53">
                  <c:v>366.26587036399252</c:v>
                </c:pt>
                <c:pt idx="54">
                  <c:v>379.56512784230682</c:v>
                </c:pt>
                <c:pt idx="55">
                  <c:v>392.85424897119816</c:v>
                </c:pt>
                <c:pt idx="56">
                  <c:v>406.13362494673333</c:v>
                </c:pt>
                <c:pt idx="57">
                  <c:v>419.40361929545082</c:v>
                </c:pt>
                <c:pt idx="58">
                  <c:v>432.6645706634269</c:v>
                </c:pt>
                <c:pt idx="59">
                  <c:v>445.91679524557276</c:v>
                </c:pt>
                <c:pt idx="60">
                  <c:v>459.16058891110282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7896720"/>
        <c:axId val="1927897264"/>
      </c:scatterChart>
      <c:valAx>
        <c:axId val="19278967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7264"/>
        <c:crosses val="autoZero"/>
        <c:crossBetween val="midCat"/>
      </c:valAx>
      <c:valAx>
        <c:axId val="1927897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67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2.3808965943350775</c:v>
                </c:pt>
                <c:pt idx="2">
                  <c:v>2.8304638911002047</c:v>
                </c:pt>
                <c:pt idx="3">
                  <c:v>3.3652355657623452</c:v>
                </c:pt>
                <c:pt idx="4">
                  <c:v>4.0014165674856983</c:v>
                </c:pt>
                <c:pt idx="5">
                  <c:v>4.7583039425111266</c:v>
                </c:pt>
                <c:pt idx="6">
                  <c:v>5.6588786371580904</c:v>
                </c:pt>
                <c:pt idx="7">
                  <c:v>6.730510885177341</c:v>
                </c:pt>
                <c:pt idx="8">
                  <c:v>8.0058010357886271</c:v>
                </c:pt>
                <c:pt idx="9">
                  <c:v>9.5235818943119295</c:v>
                </c:pt>
                <c:pt idx="10">
                  <c:v>11.330113677699131</c:v>
                </c:pt>
                <c:pt idx="11">
                  <c:v>13.480508690297002</c:v>
                </c:pt>
                <c:pt idx="12">
                  <c:v>16.040429989236795</c:v>
                </c:pt>
                <c:pt idx="13">
                  <c:v>19.088116858927716</c:v>
                </c:pt>
                <c:pt idx="14">
                  <c:v>22.716800118875877</c:v>
                </c:pt>
                <c:pt idx="15">
                  <c:v>27.037582469258226</c:v>
                </c:pt>
                <c:pt idx="16">
                  <c:v>32.182873617451598</c:v>
                </c:pt>
                <c:pt idx="17">
                  <c:v>38.310487283562729</c:v>
                </c:pt>
                <c:pt idx="18">
                  <c:v>45.608527900325306</c:v>
                </c:pt>
                <c:pt idx="19">
                  <c:v>54.301219555108467</c:v>
                </c:pt>
                <c:pt idx="20">
                  <c:v>64.655859248643353</c:v>
                </c:pt>
                <c:pt idx="21">
                  <c:v>76.991111797384278</c:v>
                </c:pt>
                <c:pt idx="22">
                  <c:v>91.686905796172638</c:v>
                </c:pt>
                <c:pt idx="23">
                  <c:v>109.19624031334928</c:v>
                </c:pt>
                <c:pt idx="24">
                  <c:v>130.05927199835185</c:v>
                </c:pt>
                <c:pt idx="25">
                  <c:v>154.92012393757065</c:v>
                </c:pt>
                <c:pt idx="26">
                  <c:v>131.46799611812648</c:v>
                </c:pt>
                <c:pt idx="27">
                  <c:v>155.59856479059454</c:v>
                </c:pt>
                <c:pt idx="28">
                  <c:v>179.64007820340893</c:v>
                </c:pt>
                <c:pt idx="29">
                  <c:v>203.60614736350442</c:v>
                </c:pt>
                <c:pt idx="30">
                  <c:v>227.50690659831915</c:v>
                </c:pt>
                <c:pt idx="31">
                  <c:v>208.99762497430493</c:v>
                </c:pt>
                <c:pt idx="32">
                  <c:v>230.86843461387113</c:v>
                </c:pt>
                <c:pt idx="33">
                  <c:v>252.69188827494614</c:v>
                </c:pt>
                <c:pt idx="34">
                  <c:v>274.47265011228387</c:v>
                </c:pt>
                <c:pt idx="35">
                  <c:v>296.21458319381429</c:v>
                </c:pt>
                <c:pt idx="36">
                  <c:v>271.79410793232609</c:v>
                </c:pt>
                <c:pt idx="37">
                  <c:v>292.53776259751834</c:v>
                </c:pt>
                <c:pt idx="38">
                  <c:v>313.24858309709026</c:v>
                </c:pt>
                <c:pt idx="39">
                  <c:v>333.92904467751276</c:v>
                </c:pt>
                <c:pt idx="40">
                  <c:v>354.58129100924572</c:v>
                </c:pt>
                <c:pt idx="41">
                  <c:v>320.25654220272645</c:v>
                </c:pt>
                <c:pt idx="42">
                  <c:v>339.26127825812586</c:v>
                </c:pt>
                <c:pt idx="43">
                  <c:v>358.24259793484339</c:v>
                </c:pt>
                <c:pt idx="44">
                  <c:v>377.20191598007665</c:v>
                </c:pt>
                <c:pt idx="45">
                  <c:v>396.14049335867753</c:v>
                </c:pt>
                <c:pt idx="46">
                  <c:v>361.57034788194915</c:v>
                </c:pt>
                <c:pt idx="47">
                  <c:v>378.53160178526809</c:v>
                </c:pt>
                <c:pt idx="48">
                  <c:v>395.47632010043407</c:v>
                </c:pt>
                <c:pt idx="49">
                  <c:v>412.40531081802777</c:v>
                </c:pt>
                <c:pt idx="50">
                  <c:v>429.31931020102024</c:v>
                </c:pt>
                <c:pt idx="51">
                  <c:v>393.15152299039391</c:v>
                </c:pt>
                <c:pt idx="52">
                  <c:v>406.764014604328</c:v>
                </c:pt>
                <c:pt idx="53">
                  <c:v>420.36666487334452</c:v>
                </c:pt>
                <c:pt idx="54">
                  <c:v>433.95983709455049</c:v>
                </c:pt>
                <c:pt idx="55">
                  <c:v>447.5438699506708</c:v>
                </c:pt>
                <c:pt idx="56">
                  <c:v>410.08262729650642</c:v>
                </c:pt>
                <c:pt idx="57">
                  <c:v>422.35649327036077</c:v>
                </c:pt>
                <c:pt idx="58">
                  <c:v>434.62268223024995</c:v>
                </c:pt>
                <c:pt idx="59">
                  <c:v>446.88144138120293</c:v>
                </c:pt>
                <c:pt idx="60">
                  <c:v>459.1330032591132</c:v>
                </c:pt>
                <c:pt idx="61">
                  <c:v>425.00928400602908</c:v>
                </c:pt>
                <c:pt idx="62">
                  <c:v>435.61690924842759</c:v>
                </c:pt>
                <c:pt idx="63">
                  <c:v>446.21899178570357</c:v>
                </c:pt>
                <c:pt idx="64">
                  <c:v>456.81568190014019</c:v>
                </c:pt>
                <c:pt idx="65">
                  <c:v>467.40712233198559</c:v>
                </c:pt>
                <c:pt idx="66">
                  <c:v>434.29126237791075</c:v>
                </c:pt>
                <c:pt idx="67">
                  <c:v>444.23151648566937</c:v>
                </c:pt>
                <c:pt idx="68">
                  <c:v>454.16700698147952</c:v>
                </c:pt>
                <c:pt idx="69">
                  <c:v>464.09785279227236</c:v>
                </c:pt>
                <c:pt idx="70">
                  <c:v>474.02416733906375</c:v>
                </c:pt>
                <c:pt idx="71">
                  <c:v>449.53102985794334</c:v>
                </c:pt>
                <c:pt idx="72">
                  <c:v>458.13989619719513</c:v>
                </c:pt>
                <c:pt idx="73">
                  <c:v>466.74530850225307</c:v>
                </c:pt>
                <c:pt idx="74">
                  <c:v>475.34733945827821</c:v>
                </c:pt>
                <c:pt idx="75">
                  <c:v>483.94605890429199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34853200"/>
        <c:axId val="1934856464"/>
      </c:scatterChart>
      <c:valAx>
        <c:axId val="19348532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34856464"/>
        <c:crosses val="autoZero"/>
        <c:crossBetween val="midCat"/>
      </c:valAx>
      <c:valAx>
        <c:axId val="1934856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348532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45893504"/>
        <c:axId val="1926197264"/>
      </c:scatterChart>
      <c:valAx>
        <c:axId val="16458935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6197264"/>
        <c:crosses val="autoZero"/>
        <c:crossBetween val="midCat"/>
      </c:valAx>
      <c:valAx>
        <c:axId val="1926197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45893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50240"/>
        <c:axId val="27547520"/>
      </c:scatterChart>
      <c:valAx>
        <c:axId val="2755024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47520"/>
        <c:crosses val="autoZero"/>
        <c:crossBetween val="midCat"/>
      </c:valAx>
      <c:valAx>
        <c:axId val="27547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502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38272"/>
        <c:axId val="27529024"/>
      </c:scatterChart>
      <c:valAx>
        <c:axId val="2753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29024"/>
        <c:crosses val="autoZero"/>
        <c:crossBetween val="midCat"/>
      </c:valAx>
      <c:valAx>
        <c:axId val="27529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3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36096"/>
        <c:axId val="27554592"/>
      </c:scatterChart>
      <c:valAx>
        <c:axId val="275360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54592"/>
        <c:crosses val="autoZero"/>
        <c:crossBetween val="midCat"/>
      </c:valAx>
      <c:valAx>
        <c:axId val="27554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360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42080"/>
        <c:axId val="27548064"/>
      </c:scatterChart>
      <c:valAx>
        <c:axId val="275420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48064"/>
        <c:crosses val="autoZero"/>
        <c:crossBetween val="midCat"/>
      </c:valAx>
      <c:valAx>
        <c:axId val="27548064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420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70" t="s">
        <v>291</v>
      </c>
      <c r="C12" s="270"/>
      <c r="D12" s="270"/>
      <c r="E12" s="270"/>
      <c r="F12" s="270"/>
      <c r="G12" s="270"/>
      <c r="H12" s="270"/>
      <c r="I12" s="270"/>
      <c r="J12" s="270"/>
      <c r="K12" s="270"/>
      <c r="L12" s="270"/>
      <c r="M12" s="270"/>
    </row>
    <row r="13" spans="2:13" ht="15" customHeight="1" x14ac:dyDescent="0.3">
      <c r="B13" s="270"/>
      <c r="C13" s="270"/>
      <c r="D13" s="270"/>
      <c r="E13" s="270"/>
      <c r="F13" s="270"/>
      <c r="G13" s="270"/>
      <c r="H13" s="270"/>
      <c r="I13" s="270"/>
      <c r="J13" s="270"/>
      <c r="K13" s="270"/>
      <c r="L13" s="270"/>
      <c r="M13" s="270"/>
    </row>
    <row r="14" spans="2:13" ht="15" customHeight="1" x14ac:dyDescent="0.3">
      <c r="B14" s="270"/>
      <c r="C14" s="270"/>
      <c r="D14" s="270"/>
      <c r="E14" s="270"/>
      <c r="F14" s="270"/>
      <c r="G14" s="270"/>
      <c r="H14" s="270"/>
      <c r="I14" s="270"/>
      <c r="J14" s="270"/>
      <c r="K14" s="270"/>
      <c r="L14" s="270"/>
      <c r="M14" s="270"/>
    </row>
    <row r="15" spans="2:13" ht="18.75" customHeight="1" x14ac:dyDescent="0.3">
      <c r="B15" s="270"/>
      <c r="C15" s="270"/>
      <c r="D15" s="270"/>
      <c r="E15" s="270"/>
      <c r="F15" s="270"/>
      <c r="G15" s="270"/>
      <c r="H15" s="270"/>
      <c r="I15" s="270"/>
      <c r="J15" s="270"/>
      <c r="K15" s="270"/>
      <c r="L15" s="270"/>
      <c r="M15" s="270"/>
    </row>
    <row r="16" spans="2:13" ht="18.75" customHeight="1" x14ac:dyDescent="0.3">
      <c r="B16" s="270"/>
      <c r="C16" s="270"/>
      <c r="D16" s="270"/>
      <c r="E16" s="270"/>
      <c r="F16" s="270"/>
      <c r="G16" s="270"/>
      <c r="H16" s="270"/>
      <c r="I16" s="270"/>
      <c r="J16" s="270"/>
      <c r="K16" s="270"/>
      <c r="L16" s="270"/>
      <c r="M16" s="270"/>
    </row>
    <row r="18" spans="2:13" ht="12" customHeight="1" x14ac:dyDescent="0.3">
      <c r="B18" s="270" t="s">
        <v>292</v>
      </c>
      <c r="C18" s="270"/>
      <c r="D18" s="270"/>
      <c r="E18" s="270"/>
      <c r="F18" s="270"/>
      <c r="G18" s="270"/>
      <c r="H18" s="270"/>
      <c r="I18" s="270"/>
      <c r="J18" s="270"/>
      <c r="K18" s="270"/>
      <c r="L18" s="270"/>
      <c r="M18" s="270"/>
    </row>
    <row r="19" spans="2:13" ht="12" customHeight="1" x14ac:dyDescent="0.3">
      <c r="B19" s="270"/>
      <c r="C19" s="270"/>
      <c r="D19" s="270"/>
      <c r="E19" s="270"/>
      <c r="F19" s="270"/>
      <c r="G19" s="270"/>
      <c r="H19" s="270"/>
      <c r="I19" s="270"/>
      <c r="J19" s="270"/>
      <c r="K19" s="270"/>
      <c r="L19" s="270"/>
      <c r="M19" s="270"/>
    </row>
    <row r="20" spans="2:13" ht="12" customHeight="1" x14ac:dyDescent="0.3">
      <c r="B20" s="270"/>
      <c r="C20" s="270"/>
      <c r="D20" s="270"/>
      <c r="E20" s="270"/>
      <c r="F20" s="270"/>
      <c r="G20" s="270"/>
      <c r="H20" s="270"/>
      <c r="I20" s="270"/>
      <c r="J20" s="270"/>
      <c r="K20" s="270"/>
      <c r="L20" s="270"/>
      <c r="M20" s="270"/>
    </row>
    <row r="21" spans="2:13" ht="12" customHeight="1" x14ac:dyDescent="0.3">
      <c r="B21" s="270"/>
      <c r="C21" s="270"/>
      <c r="D21" s="270"/>
      <c r="E21" s="270"/>
      <c r="F21" s="270"/>
      <c r="G21" s="270"/>
      <c r="H21" s="270"/>
      <c r="I21" s="270"/>
      <c r="J21" s="270"/>
      <c r="K21" s="270"/>
      <c r="L21" s="270"/>
      <c r="M21" s="270"/>
    </row>
    <row r="22" spans="2:13" ht="12" customHeight="1" x14ac:dyDescent="0.3">
      <c r="B22" s="270"/>
      <c r="C22" s="270"/>
      <c r="D22" s="270"/>
      <c r="E22" s="270"/>
      <c r="F22" s="270"/>
      <c r="G22" s="270"/>
      <c r="H22" s="270"/>
      <c r="I22" s="270"/>
      <c r="J22" s="270"/>
      <c r="K22" s="270"/>
      <c r="L22" s="270"/>
      <c r="M22" s="270"/>
    </row>
    <row r="23" spans="2:13" ht="12" customHeight="1" x14ac:dyDescent="0.3">
      <c r="B23" s="270"/>
      <c r="C23" s="270"/>
      <c r="D23" s="270"/>
      <c r="E23" s="270"/>
      <c r="F23" s="270"/>
      <c r="G23" s="270"/>
      <c r="H23" s="270"/>
      <c r="I23" s="270"/>
      <c r="J23" s="270"/>
      <c r="K23" s="270"/>
      <c r="L23" s="270"/>
      <c r="M23" s="270"/>
    </row>
    <row r="24" spans="2:13" ht="12" customHeight="1" x14ac:dyDescent="0.3">
      <c r="B24" s="270"/>
      <c r="C24" s="270"/>
      <c r="D24" s="270"/>
      <c r="E24" s="270"/>
      <c r="F24" s="270"/>
      <c r="G24" s="270"/>
      <c r="H24" s="270"/>
      <c r="I24" s="270"/>
      <c r="J24" s="270"/>
      <c r="K24" s="270"/>
      <c r="L24" s="270"/>
      <c r="M24" s="270"/>
    </row>
    <row r="25" spans="2:13" ht="12" customHeight="1" x14ac:dyDescent="0.3">
      <c r="B25" s="270"/>
      <c r="C25" s="270"/>
      <c r="D25" s="270"/>
      <c r="E25" s="270"/>
      <c r="F25" s="270"/>
      <c r="G25" s="270"/>
      <c r="H25" s="270"/>
      <c r="I25" s="270"/>
      <c r="J25" s="270"/>
      <c r="K25" s="270"/>
      <c r="L25" s="270"/>
      <c r="M25" s="270"/>
    </row>
    <row r="26" spans="2:13" ht="12" customHeight="1" x14ac:dyDescent="0.3">
      <c r="B26" s="270"/>
      <c r="C26" s="270"/>
      <c r="D26" s="270"/>
      <c r="E26" s="270"/>
      <c r="F26" s="270"/>
      <c r="G26" s="270"/>
      <c r="H26" s="270"/>
      <c r="I26" s="270"/>
      <c r="J26" s="270"/>
      <c r="K26" s="270"/>
      <c r="L26" s="270"/>
      <c r="M26" s="270"/>
    </row>
    <row r="27" spans="2:13" ht="12" customHeight="1" x14ac:dyDescent="0.3">
      <c r="B27" s="270"/>
      <c r="C27" s="270"/>
      <c r="D27" s="270"/>
      <c r="E27" s="270"/>
      <c r="F27" s="270"/>
      <c r="G27" s="270"/>
      <c r="H27" s="270"/>
      <c r="I27" s="270"/>
      <c r="J27" s="270"/>
      <c r="K27" s="270"/>
      <c r="L27" s="270"/>
      <c r="M27" s="270"/>
    </row>
    <row r="28" spans="2:13" ht="12" customHeight="1" x14ac:dyDescent="0.3">
      <c r="B28" s="270"/>
      <c r="C28" s="270"/>
      <c r="D28" s="270"/>
      <c r="E28" s="270"/>
      <c r="F28" s="270"/>
      <c r="G28" s="270"/>
      <c r="H28" s="270"/>
      <c r="I28" s="270"/>
      <c r="J28" s="270"/>
      <c r="K28" s="270"/>
      <c r="L28" s="270"/>
      <c r="M28" s="270"/>
    </row>
    <row r="29" spans="2:13" ht="12" customHeight="1" x14ac:dyDescent="0.3">
      <c r="B29" s="270"/>
      <c r="C29" s="270"/>
      <c r="D29" s="270"/>
      <c r="E29" s="270"/>
      <c r="F29" s="270"/>
      <c r="G29" s="270"/>
      <c r="H29" s="270"/>
      <c r="I29" s="270"/>
      <c r="J29" s="270"/>
      <c r="K29" s="270"/>
      <c r="L29" s="270"/>
      <c r="M29" s="270"/>
    </row>
    <row r="30" spans="2:13" ht="12" customHeight="1" x14ac:dyDescent="0.3">
      <c r="B30" s="270"/>
      <c r="C30" s="270"/>
      <c r="D30" s="270"/>
      <c r="E30" s="270"/>
      <c r="F30" s="270"/>
      <c r="G30" s="270"/>
      <c r="H30" s="270"/>
      <c r="I30" s="270"/>
      <c r="J30" s="270"/>
      <c r="K30" s="270"/>
      <c r="L30" s="270"/>
      <c r="M30" s="270"/>
    </row>
    <row r="31" spans="2:13" ht="12" customHeight="1" x14ac:dyDescent="0.3">
      <c r="B31" s="270"/>
      <c r="C31" s="270"/>
      <c r="D31" s="270"/>
      <c r="E31" s="270"/>
      <c r="F31" s="270"/>
      <c r="G31" s="270"/>
      <c r="H31" s="270"/>
      <c r="I31" s="270"/>
      <c r="J31" s="270"/>
      <c r="K31" s="270"/>
      <c r="L31" s="270"/>
      <c r="M31" s="270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34" zoomScale="80" zoomScaleNormal="80" workbookViewId="0">
      <selection activeCell="M56" sqref="M56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61" t="s">
        <v>190</v>
      </c>
      <c r="D1" s="261"/>
      <c r="E1" s="261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2" t="s">
        <v>192</v>
      </c>
      <c r="C3" s="263"/>
      <c r="D3" s="263"/>
      <c r="E3" s="263"/>
      <c r="F3" s="264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7" t="s">
        <v>231</v>
      </c>
      <c r="B5" s="267"/>
      <c r="C5" s="24">
        <v>3.5</v>
      </c>
      <c r="D5" s="268" t="s">
        <v>229</v>
      </c>
      <c r="E5" s="269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6" t="s">
        <v>226</v>
      </c>
      <c r="B7" s="266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14</v>
      </c>
      <c r="C9" s="32">
        <v>0.32</v>
      </c>
      <c r="D9" s="33">
        <f t="shared" ref="D9:D18" si="0">C9*$C$5</f>
        <v>1.1200000000000001</v>
      </c>
      <c r="E9" s="34">
        <v>100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14</v>
      </c>
      <c r="C10" s="32">
        <v>0.32</v>
      </c>
      <c r="D10" s="33">
        <f t="shared" si="0"/>
        <v>1.1200000000000001</v>
      </c>
      <c r="E10" s="34">
        <v>100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36</v>
      </c>
      <c r="C11" s="32">
        <v>0.3</v>
      </c>
      <c r="D11" s="33">
        <f t="shared" si="0"/>
        <v>1.05</v>
      </c>
      <c r="E11" s="34">
        <v>60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 t="s">
        <v>29</v>
      </c>
      <c r="C12" s="32">
        <v>0.03</v>
      </c>
      <c r="D12" s="33">
        <f t="shared" si="0"/>
        <v>0.105</v>
      </c>
      <c r="E12" s="34">
        <v>75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0.97</v>
      </c>
      <c r="D19" s="38">
        <f>SUM(D9:D18)</f>
        <v>3.395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5" t="s">
        <v>232</v>
      </c>
      <c r="B22" s="26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6" t="s">
        <v>227</v>
      </c>
      <c r="B30" s="266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Chêne sessile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57" t="s">
        <v>186</v>
      </c>
      <c r="D34" s="257"/>
      <c r="E34" s="258" t="s">
        <v>187</v>
      </c>
      <c r="F34" s="259"/>
      <c r="G34" s="259"/>
      <c r="H34" s="260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20</v>
      </c>
      <c r="B36" s="60">
        <v>42</v>
      </c>
      <c r="C36" s="60">
        <v>0</v>
      </c>
      <c r="D36" s="60">
        <v>0</v>
      </c>
      <c r="E36" s="51"/>
      <c r="F36" s="51"/>
      <c r="G36" s="51">
        <v>0</v>
      </c>
      <c r="H36" s="51">
        <v>0</v>
      </c>
      <c r="I36" s="49">
        <f>IFERROR(B36/A36,"")</f>
        <v>2.1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25</v>
      </c>
      <c r="B37" s="60">
        <v>70</v>
      </c>
      <c r="C37" s="60">
        <v>1</v>
      </c>
      <c r="D37" s="60">
        <v>8</v>
      </c>
      <c r="E37" s="51"/>
      <c r="F37" s="51"/>
      <c r="G37" s="51">
        <v>0.4</v>
      </c>
      <c r="H37" s="51">
        <v>0.6</v>
      </c>
      <c r="I37" s="53">
        <f t="shared" ref="I37:I55" si="1">IF(A37&lt;&gt;0,(B37-(B36-D36))/(A37-A36),"")</f>
        <v>5.6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30</v>
      </c>
      <c r="B38" s="60">
        <v>97</v>
      </c>
      <c r="C38" s="60">
        <v>2</v>
      </c>
      <c r="D38" s="60">
        <v>21</v>
      </c>
      <c r="E38" s="51"/>
      <c r="F38" s="51"/>
      <c r="G38" s="51">
        <v>0.4</v>
      </c>
      <c r="H38" s="51">
        <v>0.6</v>
      </c>
      <c r="I38" s="53">
        <f t="shared" si="1"/>
        <v>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40</v>
      </c>
      <c r="B39" s="60">
        <v>158</v>
      </c>
      <c r="C39" s="60">
        <v>3</v>
      </c>
      <c r="D39" s="60">
        <v>42</v>
      </c>
      <c r="E39" s="51"/>
      <c r="F39" s="51"/>
      <c r="G39" s="51"/>
      <c r="H39" s="51"/>
      <c r="I39" s="49">
        <f t="shared" si="1"/>
        <v>8.1999999999999993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50</v>
      </c>
      <c r="B40" s="60">
        <v>199</v>
      </c>
      <c r="C40" s="60">
        <v>4</v>
      </c>
      <c r="D40" s="60">
        <v>42</v>
      </c>
      <c r="E40" s="51"/>
      <c r="F40" s="51"/>
      <c r="G40" s="51"/>
      <c r="H40" s="51"/>
      <c r="I40" s="49">
        <f t="shared" si="1"/>
        <v>8.3000000000000007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60</v>
      </c>
      <c r="B41" s="60">
        <v>235</v>
      </c>
      <c r="C41" s="60">
        <v>5</v>
      </c>
      <c r="D41" s="60">
        <v>42</v>
      </c>
      <c r="E41" s="51"/>
      <c r="F41" s="51"/>
      <c r="G41" s="51"/>
      <c r="H41" s="51"/>
      <c r="I41" s="53">
        <f t="shared" si="1"/>
        <v>7.8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70</v>
      </c>
      <c r="B42" s="60">
        <v>263</v>
      </c>
      <c r="C42" s="60">
        <v>6</v>
      </c>
      <c r="D42" s="60">
        <v>42</v>
      </c>
      <c r="E42" s="51"/>
      <c r="F42" s="51"/>
      <c r="G42" s="51"/>
      <c r="H42" s="51"/>
      <c r="I42" s="53">
        <f t="shared" si="1"/>
        <v>7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80</v>
      </c>
      <c r="B43" s="60">
        <v>282</v>
      </c>
      <c r="C43" s="60">
        <v>7</v>
      </c>
      <c r="D43" s="60">
        <v>42</v>
      </c>
      <c r="E43" s="51"/>
      <c r="F43" s="51"/>
      <c r="G43" s="51"/>
      <c r="H43" s="51"/>
      <c r="I43" s="49">
        <f t="shared" si="1"/>
        <v>6.1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>
        <v>90</v>
      </c>
      <c r="B44" s="60">
        <v>296</v>
      </c>
      <c r="C44" s="60">
        <v>8</v>
      </c>
      <c r="D44" s="60">
        <v>42</v>
      </c>
      <c r="E44" s="51"/>
      <c r="F44" s="51"/>
      <c r="G44" s="51"/>
      <c r="H44" s="51"/>
      <c r="I44" s="49">
        <f t="shared" si="1"/>
        <v>5.6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>
        <v>100</v>
      </c>
      <c r="B45" s="60">
        <v>303</v>
      </c>
      <c r="C45" s="60" t="s">
        <v>324</v>
      </c>
      <c r="D45" s="60">
        <v>303</v>
      </c>
      <c r="E45" s="51"/>
      <c r="F45" s="51"/>
      <c r="G45" s="51"/>
      <c r="H45" s="51"/>
      <c r="I45" s="49">
        <f t="shared" si="1"/>
        <v>4.9000000000000004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Chêne sessile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57" t="s">
        <v>186</v>
      </c>
      <c r="D60" s="257"/>
      <c r="E60" s="258" t="s">
        <v>187</v>
      </c>
      <c r="F60" s="259"/>
      <c r="G60" s="259"/>
      <c r="H60" s="260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20</v>
      </c>
      <c r="B62" s="60">
        <v>42</v>
      </c>
      <c r="C62" s="60">
        <v>0</v>
      </c>
      <c r="D62" s="60">
        <v>0</v>
      </c>
      <c r="E62" s="51"/>
      <c r="F62" s="51"/>
      <c r="G62" s="51">
        <v>0</v>
      </c>
      <c r="H62" s="51">
        <v>0</v>
      </c>
      <c r="I62" s="53">
        <f>IFERROR(B62/A62,"")</f>
        <v>2.1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25</v>
      </c>
      <c r="B63" s="60">
        <v>70</v>
      </c>
      <c r="C63" s="60">
        <v>1</v>
      </c>
      <c r="D63" s="60">
        <v>8</v>
      </c>
      <c r="E63" s="51"/>
      <c r="F63" s="51"/>
      <c r="G63" s="51">
        <v>0.4</v>
      </c>
      <c r="H63" s="51">
        <v>0.6</v>
      </c>
      <c r="I63" s="49">
        <f>IF(A63&lt;&gt;0,(B63-(B62-D62))/(A63-A62),"")</f>
        <v>5.6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30</v>
      </c>
      <c r="B64" s="60">
        <v>97</v>
      </c>
      <c r="C64" s="60">
        <v>2</v>
      </c>
      <c r="D64" s="60">
        <v>21</v>
      </c>
      <c r="E64" s="51"/>
      <c r="F64" s="51"/>
      <c r="G64" s="51">
        <v>0.4</v>
      </c>
      <c r="H64" s="51">
        <v>0.6</v>
      </c>
      <c r="I64" s="49">
        <f>IF(A64&lt;&gt;0,(B64-(B63-D63))/(A64-A63),"")</f>
        <v>7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40</v>
      </c>
      <c r="B65" s="60">
        <v>158</v>
      </c>
      <c r="C65" s="60">
        <v>3</v>
      </c>
      <c r="D65" s="60">
        <v>42</v>
      </c>
      <c r="E65" s="51"/>
      <c r="F65" s="51"/>
      <c r="G65" s="51"/>
      <c r="H65" s="51"/>
      <c r="I65" s="49">
        <f>IF(A65&lt;&gt;0,(B65-(B64-D64))/(A65-A64),"")</f>
        <v>8.1999999999999993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50</v>
      </c>
      <c r="B66" s="60">
        <v>199</v>
      </c>
      <c r="C66" s="60">
        <v>4</v>
      </c>
      <c r="D66" s="60">
        <v>42</v>
      </c>
      <c r="E66" s="51"/>
      <c r="F66" s="51"/>
      <c r="G66" s="51"/>
      <c r="H66" s="51"/>
      <c r="I66" s="49">
        <f t="shared" ref="I66:I81" si="2">IF(A66&lt;&gt;0,(B66-(B65-D65))/(A66-A65),"")</f>
        <v>8.3000000000000007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60</v>
      </c>
      <c r="B67" s="60">
        <v>235</v>
      </c>
      <c r="C67" s="60">
        <v>5</v>
      </c>
      <c r="D67" s="60">
        <v>42</v>
      </c>
      <c r="E67" s="51"/>
      <c r="F67" s="51"/>
      <c r="G67" s="51"/>
      <c r="H67" s="51"/>
      <c r="I67" s="49">
        <f t="shared" si="2"/>
        <v>7.8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70</v>
      </c>
      <c r="B68" s="60">
        <v>263</v>
      </c>
      <c r="C68" s="60">
        <v>6</v>
      </c>
      <c r="D68" s="60">
        <v>42</v>
      </c>
      <c r="E68" s="51"/>
      <c r="F68" s="51"/>
      <c r="G68" s="51"/>
      <c r="H68" s="51"/>
      <c r="I68" s="49">
        <f t="shared" si="2"/>
        <v>7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80</v>
      </c>
      <c r="B69" s="50">
        <v>282</v>
      </c>
      <c r="C69" s="50">
        <v>7</v>
      </c>
      <c r="D69" s="50">
        <v>42</v>
      </c>
      <c r="E69" s="51"/>
      <c r="F69" s="51"/>
      <c r="G69" s="51"/>
      <c r="H69" s="51"/>
      <c r="I69" s="49">
        <f t="shared" si="2"/>
        <v>6.1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90</v>
      </c>
      <c r="B70" s="50">
        <v>296</v>
      </c>
      <c r="C70" s="50">
        <v>8</v>
      </c>
      <c r="D70" s="50">
        <v>42</v>
      </c>
      <c r="E70" s="51"/>
      <c r="F70" s="51"/>
      <c r="G70" s="51"/>
      <c r="H70" s="51"/>
      <c r="I70" s="49">
        <f t="shared" si="2"/>
        <v>5.6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>
        <v>100</v>
      </c>
      <c r="B71" s="50">
        <v>303</v>
      </c>
      <c r="C71" s="50" t="s">
        <v>324</v>
      </c>
      <c r="D71" s="50">
        <v>303</v>
      </c>
      <c r="E71" s="51"/>
      <c r="F71" s="51"/>
      <c r="G71" s="51"/>
      <c r="H71" s="51"/>
      <c r="I71" s="49">
        <f t="shared" si="2"/>
        <v>4.9000000000000004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Pin maritime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57" t="s">
        <v>186</v>
      </c>
      <c r="D86" s="257"/>
      <c r="E86" s="258" t="s">
        <v>187</v>
      </c>
      <c r="F86" s="259"/>
      <c r="G86" s="259"/>
      <c r="H86" s="260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17</v>
      </c>
      <c r="B88" s="60">
        <v>126.33076923076922</v>
      </c>
      <c r="C88" s="60">
        <v>1</v>
      </c>
      <c r="D88" s="60">
        <v>42.084615384615383</v>
      </c>
      <c r="E88" s="51">
        <v>0</v>
      </c>
      <c r="F88" s="51">
        <v>0.5</v>
      </c>
      <c r="G88" s="51">
        <v>0.5</v>
      </c>
      <c r="H88" s="87">
        <v>0</v>
      </c>
      <c r="I88" s="53">
        <f>IFERROR(B88/A88,"")</f>
        <v>7.4312217194570129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23</v>
      </c>
      <c r="B89" s="60">
        <v>173.80769230769229</v>
      </c>
      <c r="C89" s="60">
        <v>2</v>
      </c>
      <c r="D89" s="60">
        <v>54.099999999999994</v>
      </c>
      <c r="E89" s="51">
        <v>0.2</v>
      </c>
      <c r="F89" s="51">
        <v>0.3</v>
      </c>
      <c r="G89" s="51">
        <v>0.5</v>
      </c>
      <c r="H89" s="87">
        <v>0</v>
      </c>
      <c r="I89" s="53">
        <f t="shared" ref="I89:I107" si="3">IF(A89&lt;&gt;0,(B89-(B88-D88))/(A89-A88),"")</f>
        <v>14.926923076923075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25</v>
      </c>
      <c r="B90" s="60">
        <v>149.83076923076922</v>
      </c>
      <c r="C90" s="60">
        <v>0</v>
      </c>
      <c r="D90" s="60">
        <v>0</v>
      </c>
      <c r="E90" s="87">
        <v>0</v>
      </c>
      <c r="F90" s="87">
        <v>0</v>
      </c>
      <c r="G90" s="87">
        <v>0</v>
      </c>
      <c r="H90" s="87">
        <v>0</v>
      </c>
      <c r="I90" s="53">
        <f t="shared" si="3"/>
        <v>15.061538461538461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29</v>
      </c>
      <c r="B91" s="60">
        <v>210.14615384615385</v>
      </c>
      <c r="C91" s="60">
        <v>3</v>
      </c>
      <c r="D91" s="60">
        <v>47.661538461538463</v>
      </c>
      <c r="E91" s="87">
        <v>0.4</v>
      </c>
      <c r="F91" s="87">
        <v>0.3</v>
      </c>
      <c r="G91" s="87">
        <v>0.3</v>
      </c>
      <c r="H91" s="87">
        <v>0</v>
      </c>
      <c r="I91" s="53">
        <f t="shared" si="3"/>
        <v>15.078846153846158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34</v>
      </c>
      <c r="B92" s="60">
        <v>233.36153846153846</v>
      </c>
      <c r="C92" s="60">
        <v>0</v>
      </c>
      <c r="D92" s="60">
        <v>0</v>
      </c>
      <c r="E92" s="87" t="s">
        <v>325</v>
      </c>
      <c r="F92" s="87" t="s">
        <v>325</v>
      </c>
      <c r="G92" s="87" t="s">
        <v>325</v>
      </c>
      <c r="H92" s="87" t="s">
        <v>325</v>
      </c>
      <c r="I92" s="53">
        <f t="shared" si="3"/>
        <v>14.175384615384615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36</v>
      </c>
      <c r="B93" s="60">
        <v>262.57692307692309</v>
      </c>
      <c r="C93" s="60">
        <v>4</v>
      </c>
      <c r="D93" s="60">
        <v>64.553846153846152</v>
      </c>
      <c r="E93" s="87" t="s">
        <v>325</v>
      </c>
      <c r="F93" s="87" t="s">
        <v>325</v>
      </c>
      <c r="G93" s="87" t="s">
        <v>325</v>
      </c>
      <c r="H93" s="87" t="s">
        <v>325</v>
      </c>
      <c r="I93" s="53">
        <f t="shared" si="3"/>
        <v>14.607692307692318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>
        <v>44</v>
      </c>
      <c r="B94" s="60">
        <v>289.95384615384614</v>
      </c>
      <c r="C94" s="60">
        <v>5</v>
      </c>
      <c r="D94" s="60">
        <v>64.476923076923072</v>
      </c>
      <c r="E94" s="87" t="s">
        <v>325</v>
      </c>
      <c r="F94" s="87" t="s">
        <v>325</v>
      </c>
      <c r="G94" s="87" t="s">
        <v>325</v>
      </c>
      <c r="H94" s="87" t="s">
        <v>325</v>
      </c>
      <c r="I94" s="53">
        <f t="shared" si="3"/>
        <v>11.491346153846152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>
        <v>52</v>
      </c>
      <c r="B95" s="60">
        <v>331.81538461538463</v>
      </c>
      <c r="C95" s="60">
        <v>6</v>
      </c>
      <c r="D95" s="60">
        <v>61.784615384615378</v>
      </c>
      <c r="E95" s="87" t="s">
        <v>325</v>
      </c>
      <c r="F95" s="87" t="s">
        <v>325</v>
      </c>
      <c r="G95" s="87" t="s">
        <v>325</v>
      </c>
      <c r="H95" s="87" t="s">
        <v>325</v>
      </c>
      <c r="I95" s="53">
        <f t="shared" si="3"/>
        <v>13.292307692307695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>
        <v>60</v>
      </c>
      <c r="B96" s="60">
        <v>353.5</v>
      </c>
      <c r="C96" s="60" t="s">
        <v>324</v>
      </c>
      <c r="D96" s="60">
        <v>353.5</v>
      </c>
      <c r="E96" s="87" t="s">
        <v>325</v>
      </c>
      <c r="F96" s="87" t="s">
        <v>325</v>
      </c>
      <c r="G96" s="87" t="s">
        <v>325</v>
      </c>
      <c r="H96" s="87" t="s">
        <v>325</v>
      </c>
      <c r="I96" s="53">
        <f t="shared" si="3"/>
        <v>10.433653846153845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Merisier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57" t="s">
        <v>186</v>
      </c>
      <c r="D112" s="257"/>
      <c r="E112" s="258" t="s">
        <v>187</v>
      </c>
      <c r="F112" s="259"/>
      <c r="G112" s="259"/>
      <c r="H112" s="260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>
        <v>25</v>
      </c>
      <c r="B114" s="60">
        <v>89</v>
      </c>
      <c r="C114" s="50">
        <v>1</v>
      </c>
      <c r="D114" s="60">
        <v>28</v>
      </c>
      <c r="E114" s="51"/>
      <c r="F114" s="51"/>
      <c r="G114" s="51"/>
      <c r="H114" s="51"/>
      <c r="I114" s="53">
        <f>IFERROR(B114/A114,"")</f>
        <v>3.56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>
        <v>30</v>
      </c>
      <c r="B115" s="60">
        <v>132</v>
      </c>
      <c r="C115" s="50">
        <v>2</v>
      </c>
      <c r="D115" s="60">
        <v>24</v>
      </c>
      <c r="E115" s="51"/>
      <c r="F115" s="51"/>
      <c r="G115" s="51"/>
      <c r="H115" s="51"/>
      <c r="I115" s="53">
        <f t="shared" ref="I115:I133" si="4">IF(A115&lt;&gt;0,(B115-(B114-D114))/(A115-A114),"")</f>
        <v>14.2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>
        <v>35</v>
      </c>
      <c r="B116" s="60">
        <v>173</v>
      </c>
      <c r="C116" s="50">
        <v>3</v>
      </c>
      <c r="D116" s="60">
        <v>27</v>
      </c>
      <c r="E116" s="51"/>
      <c r="F116" s="51"/>
      <c r="G116" s="51"/>
      <c r="H116" s="51"/>
      <c r="I116" s="53">
        <f t="shared" si="4"/>
        <v>13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>
        <v>40</v>
      </c>
      <c r="B117" s="60">
        <v>208</v>
      </c>
      <c r="C117" s="50">
        <v>4</v>
      </c>
      <c r="D117" s="60">
        <v>32</v>
      </c>
      <c r="E117" s="51"/>
      <c r="F117" s="51"/>
      <c r="G117" s="51"/>
      <c r="H117" s="51"/>
      <c r="I117" s="53">
        <f t="shared" si="4"/>
        <v>12.4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>
        <v>45</v>
      </c>
      <c r="B118" s="60">
        <v>233</v>
      </c>
      <c r="C118" s="50">
        <v>5</v>
      </c>
      <c r="D118" s="60">
        <v>31</v>
      </c>
      <c r="E118" s="51"/>
      <c r="F118" s="51"/>
      <c r="G118" s="51"/>
      <c r="H118" s="51"/>
      <c r="I118" s="53">
        <f t="shared" si="4"/>
        <v>11.4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>
        <v>50</v>
      </c>
      <c r="B119" s="60">
        <v>253</v>
      </c>
      <c r="C119" s="50">
        <v>6</v>
      </c>
      <c r="D119" s="60">
        <v>30</v>
      </c>
      <c r="E119" s="51"/>
      <c r="F119" s="51"/>
      <c r="G119" s="51"/>
      <c r="H119" s="51"/>
      <c r="I119" s="53">
        <f t="shared" si="4"/>
        <v>10.199999999999999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>
        <v>55</v>
      </c>
      <c r="B120" s="60">
        <v>264</v>
      </c>
      <c r="C120" s="60">
        <v>7</v>
      </c>
      <c r="D120" s="60">
        <v>30</v>
      </c>
      <c r="E120" s="87"/>
      <c r="F120" s="87"/>
      <c r="G120" s="87"/>
      <c r="H120" s="87"/>
      <c r="I120" s="53">
        <f t="shared" si="4"/>
        <v>8.1999999999999993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>
        <v>60</v>
      </c>
      <c r="B121" s="60">
        <v>271</v>
      </c>
      <c r="C121" s="60">
        <v>8</v>
      </c>
      <c r="D121" s="60">
        <v>27</v>
      </c>
      <c r="E121" s="87"/>
      <c r="F121" s="87"/>
      <c r="G121" s="87"/>
      <c r="H121" s="87"/>
      <c r="I121" s="53">
        <f t="shared" si="4"/>
        <v>7.4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>
        <v>65</v>
      </c>
      <c r="B122" s="60">
        <v>276</v>
      </c>
      <c r="C122" s="60">
        <v>9</v>
      </c>
      <c r="D122" s="60">
        <v>26</v>
      </c>
      <c r="E122" s="87"/>
      <c r="F122" s="87"/>
      <c r="G122" s="87"/>
      <c r="H122" s="87"/>
      <c r="I122" s="53">
        <f t="shared" si="4"/>
        <v>6.4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>
        <v>70</v>
      </c>
      <c r="B123" s="60">
        <v>280</v>
      </c>
      <c r="C123" s="60">
        <v>10</v>
      </c>
      <c r="D123" s="60">
        <v>20</v>
      </c>
      <c r="E123" s="87"/>
      <c r="F123" s="87"/>
      <c r="G123" s="87"/>
      <c r="H123" s="87"/>
      <c r="I123" s="53">
        <f t="shared" si="4"/>
        <v>6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>
        <v>75</v>
      </c>
      <c r="B124" s="60">
        <v>286</v>
      </c>
      <c r="C124" s="60" t="s">
        <v>324</v>
      </c>
      <c r="D124" s="60">
        <v>561</v>
      </c>
      <c r="E124" s="87"/>
      <c r="F124" s="87"/>
      <c r="G124" s="87"/>
      <c r="H124" s="87"/>
      <c r="I124" s="53">
        <f t="shared" si="4"/>
        <v>5.2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57" t="s">
        <v>186</v>
      </c>
      <c r="D138" s="257"/>
      <c r="E138" s="258" t="s">
        <v>187</v>
      </c>
      <c r="F138" s="259"/>
      <c r="G138" s="259"/>
      <c r="H138" s="260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57" t="s">
        <v>186</v>
      </c>
      <c r="D164" s="257"/>
      <c r="E164" s="258" t="s">
        <v>187</v>
      </c>
      <c r="F164" s="259"/>
      <c r="G164" s="259"/>
      <c r="H164" s="260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57" t="s">
        <v>186</v>
      </c>
      <c r="D190" s="257"/>
      <c r="E190" s="258" t="s">
        <v>187</v>
      </c>
      <c r="F190" s="259"/>
      <c r="G190" s="259"/>
      <c r="H190" s="260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57" t="s">
        <v>186</v>
      </c>
      <c r="D216" s="257"/>
      <c r="E216" s="258" t="s">
        <v>187</v>
      </c>
      <c r="F216" s="259"/>
      <c r="G216" s="259"/>
      <c r="H216" s="260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57" t="s">
        <v>186</v>
      </c>
      <c r="D242" s="257"/>
      <c r="E242" s="258" t="s">
        <v>187</v>
      </c>
      <c r="F242" s="259"/>
      <c r="G242" s="259"/>
      <c r="H242" s="260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57" t="s">
        <v>186</v>
      </c>
      <c r="D268" s="257"/>
      <c r="E268" s="258" t="s">
        <v>187</v>
      </c>
      <c r="F268" s="259"/>
      <c r="G268" s="259"/>
      <c r="H268" s="260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21" sqref="G21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1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Chêne sessile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Chêne sessile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Pin maritime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Merisier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346.35147716792028</v>
      </c>
      <c r="T3" s="59">
        <f>IF('Données projet'!E9&gt;30,$R$33-$H$33,LOOKUP('Données projet'!$E$9,$A$3:$A$203,R3:R203)-LOOKUP('Données projet'!$E$9,$A$3:$A$203,$H$3:$H$203))</f>
        <v>231.36959598460686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346.35147716792028</v>
      </c>
      <c r="AO3" s="59">
        <f>IF('Données projet'!E10&gt;30,$AM$33-$H$33,LOOKUP('Données projet'!$E$10,$A$3:$A$203,AM3:AM203)-LOOKUP('Données projet'!$E$10,$A$3:$A$203,$H$3:$H$203))</f>
        <v>231.36959598460686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257.80952690600492</v>
      </c>
      <c r="BJ3" s="59">
        <f>IF('Données projet'!E11&gt;30,$BH$33-$H$33,LOOKUP('Données projet'!$E$11,$A$3:$A$203,BH3:BH203)-LOOKUP('Données projet'!$E$11,$A$3:$A$203,$H$3:$H$203))</f>
        <v>269.95358755269427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256.66666666666669</v>
      </c>
      <c r="CD3" s="59">
        <f ca="1">AVERAGE(OFFSET($CC$3,0,0,'Données projet'!$E$12+1,1))-AVERAGE(OFFSET($H$3,0,0,'Données projet'!$E$12+1,1))</f>
        <v>286.5685205631126</v>
      </c>
      <c r="CE3" s="59">
        <f>IF('Données projet'!E12&gt;30,$CC$33-$H$33,LOOKUP('Données projet'!$E$12,$A$3:$A$203,CC3:CC203)-LOOKUP('Données projet'!$E$12,$A$3:$A$203,$H$3:$H$203))</f>
        <v>264.17357326498581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2.1</v>
      </c>
      <c r="N4" s="13">
        <f>IF('Données projet'!$A$36&gt;35,N3+M4-V3,IF(A4&lt;'Données projet'!$A$36,$K$205^A4,IF(A4='Données projet'!$A$36,'Données projet'!$B$36,N3+M4-V3)))</f>
        <v>1.2054868146447177</v>
      </c>
      <c r="O4" s="13">
        <f>N4*VLOOKUP('Données projet'!$B$9,Paramètres!$A$1:$I$89,3,0)*VLOOKUP('Données projet'!$B$9,Paramètres!$A$1:$I$89,5,0)</f>
        <v>1.0907244698905405</v>
      </c>
      <c r="P4" s="13">
        <f>EXP(-1.0587+0.8836*LN(O4)+0.284)</f>
        <v>0.49759623852608204</v>
      </c>
      <c r="Q4" s="20">
        <f t="shared" ref="Q4:Q34" si="2">(O4+P4)*0.475*44/12</f>
        <v>2.7663252338256172</v>
      </c>
      <c r="R4" s="59">
        <f t="shared" si="0"/>
        <v>260.65521412271448</v>
      </c>
      <c r="S4" s="59">
        <f ca="1">AVERAGE(OFFSET($R$3,0,0,'Données projet'!$E$9+1,1))-AVERAGE(OFFSET($H$3,0,0,'Données projet'!$E$9+1,1))</f>
        <v>346.35147716792028</v>
      </c>
      <c r="T4" s="59">
        <f>$T$3</f>
        <v>231.36959598460686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2.1</v>
      </c>
      <c r="AI4" s="13">
        <f>IF('Données projet'!$A$62&gt;35,AI3+AH4-AQ3,IF(A4&lt;'Données projet'!$A$62,$AF$205^A4,IF(A4='Données projet'!$A$62,'Données projet'!$B$62,AI3+AH4-AQ3)))</f>
        <v>1.2054868146447177</v>
      </c>
      <c r="AJ4" s="13">
        <f>AI4*VLOOKUP('Données projet'!$B$10,Paramètres!$A$1:$I$89,3,0)*VLOOKUP('Données projet'!$B$10,Paramètres!$A$1:$I$89,5,0)</f>
        <v>1.0907244698905405</v>
      </c>
      <c r="AK4" s="13">
        <f>EXP(-1.0587+0.8836*LN(AJ4)+0.284)</f>
        <v>0.49759623852608204</v>
      </c>
      <c r="AL4" s="20">
        <f t="shared" ref="AL4:AL67" si="4">(AJ4+AK4)*0.475*44/12</f>
        <v>2.7663252338256172</v>
      </c>
      <c r="AM4" s="59">
        <f t="shared" ref="AM4:AM67" si="5">AL4+(AD4+AE4)*44/12</f>
        <v>260.65521412271448</v>
      </c>
      <c r="AN4" s="59">
        <f ca="1">AVERAGE(OFFSET($AM$3,0,0,'Données projet'!$E$10+1,1))-AVERAGE(OFFSET($H$3,0,0,'Données projet'!$E$10+1,1))</f>
        <v>346.35147716792028</v>
      </c>
      <c r="AO4" s="59">
        <f>$AO$3</f>
        <v>231.36959598460686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7.4312217194570129</v>
      </c>
      <c r="BD4" s="12">
        <f>IF('Données projet'!$A$88&gt;35,BD3+BC4-BL3,IF(A4&lt;'Données projet'!$A$88,$BA$205^A4,IF(A4='Données projet'!$A$88,'Données projet'!$B$88,BD3+BC4-BL3)))</f>
        <v>1.3292852468636394</v>
      </c>
      <c r="BE4" s="13">
        <f>BD4*VLOOKUP('Données projet'!$B$11,Paramètres!$A$1:$I$89,3,0)*VLOOKUP('Données projet'!$B$11,Paramètres!$A$1:$I$89,5,0)</f>
        <v>0.79491257762445644</v>
      </c>
      <c r="BF4" s="13">
        <f>EXP(-1.0587+0.8836*LN(BE4)+0.284)</f>
        <v>0.37624805113513943</v>
      </c>
      <c r="BG4" s="20">
        <f t="shared" ref="BG4:BG67" si="7">(BE4+BF4)*0.475*44/12</f>
        <v>2.0397714284229629</v>
      </c>
      <c r="BH4" s="59">
        <f t="shared" ref="BH4:BH67" si="8">BG4+(AY4+AZ4)*44/12</f>
        <v>259.92866031731182</v>
      </c>
      <c r="BI4" s="59">
        <f ca="1">AVERAGE(OFFSET($BH$3,0,0,'Données projet'!$E$11+1,1))-AVERAGE(OFFSET($H$3,0,0,'Données projet'!$E$11+1,1))</f>
        <v>257.80952690600492</v>
      </c>
      <c r="BJ4" s="59">
        <f>$BJ$3</f>
        <v>269.95358755269427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3.56</v>
      </c>
      <c r="BY4" s="12">
        <f>IF('Données projet'!$A$114&gt;35,BY3+BX4-CG3,IF(A4&lt;'Données projet'!$A$114,$BV$205^A4,IF(A4='Données projet'!$A$114,'Données projet'!$B$114,BY3+BX4-CG3)))</f>
        <v>1.1966732973638288</v>
      </c>
      <c r="BZ4" s="13">
        <f>BY4*VLOOKUP('Données projet'!$B$12,Paramètres!$A$1:$I$89,3,0)*VLOOKUP('Données projet'!$B$12,Paramètres!$A$1:$I$89,5,0)</f>
        <v>0.93340517194378647</v>
      </c>
      <c r="CA4" s="13">
        <f>EXP(-1.0587+0.8836*LN(BZ4)+0.284)</f>
        <v>0.43361679609549247</v>
      </c>
      <c r="CB4" s="20">
        <f t="shared" ref="CB4:CB67" si="10">(BZ4+CA4)*0.475*44/12</f>
        <v>2.3808965943350775</v>
      </c>
      <c r="CC4" s="59">
        <f t="shared" ref="CC4:CC67" si="11">CB4+(BT4+BU4)*44/12</f>
        <v>260.26978548322393</v>
      </c>
      <c r="CD4" s="59">
        <f ca="1">AVERAGE(OFFSET($CC$3,0,0,'Données projet'!$E$12+1,1))-AVERAGE(OFFSET($H$3,0,0,'Données projet'!$E$12+1,1))</f>
        <v>286.5685205631126</v>
      </c>
      <c r="CE4" s="59">
        <f>$CE$3</f>
        <v>264.17357326498581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2.1</v>
      </c>
      <c r="N5" s="13">
        <f>IF('Données projet'!$A$36&gt;35,N4+M5-V4,IF(A5&lt;'Données projet'!$A$36,$K$205^A5,IF(A5='Données projet'!$A$36,'Données projet'!$B$36,N4+M5-V4)))</f>
        <v>1.4531984602822681</v>
      </c>
      <c r="O5" s="13">
        <f>N5*VLOOKUP('Données projet'!$B$9,Paramètres!$A$1:$I$89,3,0)*VLOOKUP('Données projet'!$B$9,Paramètres!$A$1:$I$89,5,0)</f>
        <v>1.3148539668633961</v>
      </c>
      <c r="P5" s="13">
        <f t="shared" ref="P5:P68" si="33">EXP(-1.0587+0.8836*LN(O5)+0.284)</f>
        <v>0.58693801963664449</v>
      </c>
      <c r="Q5" s="20">
        <f t="shared" si="2"/>
        <v>3.3122877098209038</v>
      </c>
      <c r="R5" s="59">
        <f t="shared" si="0"/>
        <v>262.42339882093205</v>
      </c>
      <c r="S5" s="59">
        <f ca="1">AVERAGE(OFFSET($R$3,0,0,'Données projet'!$E$9+1,1))-AVERAGE(OFFSET($H$3,0,0,'Données projet'!$E$9+1,1))</f>
        <v>346.35147716792028</v>
      </c>
      <c r="T5" s="59">
        <f t="shared" ref="T5:T68" si="34">$T$3</f>
        <v>231.36959598460686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2.1</v>
      </c>
      <c r="AI5" s="13">
        <f>IF('Données projet'!$A$62&gt;35,AI4+AH5-AQ4,IF(A5&lt;'Données projet'!$A$62,$AF$205^A5,IF(A5='Données projet'!$A$62,'Données projet'!$B$62,AI4+AH5-AQ4)))</f>
        <v>1.4531984602822681</v>
      </c>
      <c r="AJ5" s="13">
        <f>AI5*VLOOKUP('Données projet'!$B$10,Paramètres!$A$1:$I$89,3,0)*VLOOKUP('Données projet'!$B$10,Paramètres!$A$1:$I$89,5,0)</f>
        <v>1.3148539668633961</v>
      </c>
      <c r="AK5" s="13">
        <f t="shared" ref="AK5:AK68" si="35">EXP(-1.0587+0.8836*LN(AJ5)+0.284)</f>
        <v>0.58693801963664449</v>
      </c>
      <c r="AL5" s="20">
        <f t="shared" si="4"/>
        <v>3.3122877098209038</v>
      </c>
      <c r="AM5" s="59">
        <f t="shared" si="5"/>
        <v>262.42339882093205</v>
      </c>
      <c r="AN5" s="59">
        <f ca="1">AVERAGE(OFFSET($AM$3,0,0,'Données projet'!$E$10+1,1))-AVERAGE(OFFSET($H$3,0,0,'Données projet'!$E$10+1,1))</f>
        <v>346.35147716792028</v>
      </c>
      <c r="AO5" s="59">
        <f t="shared" ref="AO5:AO68" si="36">$AO$3</f>
        <v>231.36959598460686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7.4312217194570129</v>
      </c>
      <c r="BD5" s="12">
        <f>IF('Données projet'!$A$88&gt;35,BD4+BC5-BL4,IF(A5&lt;'Données projet'!$A$88,$BA$205^A5,IF(A5='Données projet'!$A$88,'Données projet'!$B$88,BD4+BC5-BL4)))</f>
        <v>1.7669992675293267</v>
      </c>
      <c r="BE5" s="13">
        <f>BD5*VLOOKUP('Données projet'!$B$11,Paramètres!$A$1:$I$89,3,0)*VLOOKUP('Données projet'!$B$11,Paramètres!$A$1:$I$89,5,0)</f>
        <v>1.0566655619825374</v>
      </c>
      <c r="BF5" s="13">
        <f t="shared" ref="BF5:BF68" si="37">EXP(-1.0587+0.8836*LN(BE5)+0.284)</f>
        <v>0.48384169076702271</v>
      </c>
      <c r="BG5" s="20">
        <f t="shared" si="7"/>
        <v>2.6830501318721502</v>
      </c>
      <c r="BH5" s="59">
        <f t="shared" si="8"/>
        <v>261.79416124298331</v>
      </c>
      <c r="BI5" s="59">
        <f ca="1">AVERAGE(OFFSET($BH$3,0,0,'Données projet'!$E$11+1,1))-AVERAGE(OFFSET($H$3,0,0,'Données projet'!$E$11+1,1))</f>
        <v>257.80952690600492</v>
      </c>
      <c r="BJ5" s="59">
        <f t="shared" ref="BJ5:BJ68" si="38">$BJ$3</f>
        <v>269.95358755269427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3.56</v>
      </c>
      <c r="BY5" s="12">
        <f>IF('Données projet'!$A$114&gt;35,BY4+BX5-CG4,IF(A5&lt;'Données projet'!$A$114,$BV$205^A5,IF(A5='Données projet'!$A$114,'Données projet'!$B$114,BY4+BX5-CG4)))</f>
        <v>1.4320269806236186</v>
      </c>
      <c r="BZ5" s="13">
        <f>BY5*VLOOKUP('Données projet'!$B$12,Paramètres!$A$1:$I$89,3,0)*VLOOKUP('Données projet'!$B$12,Paramètres!$A$1:$I$89,5,0)</f>
        <v>1.1169810448864226</v>
      </c>
      <c r="CA5" s="13">
        <f t="shared" ref="CA5:CA68" si="39">EXP(-1.0587+0.8836*LN(BZ5)+0.284)</f>
        <v>0.50816568684575236</v>
      </c>
      <c r="CB5" s="20">
        <f t="shared" si="10"/>
        <v>2.8304638911002047</v>
      </c>
      <c r="CC5" s="59">
        <f t="shared" si="11"/>
        <v>261.94157500221132</v>
      </c>
      <c r="CD5" s="59">
        <f ca="1">AVERAGE(OFFSET($CC$3,0,0,'Données projet'!$E$12+1,1))-AVERAGE(OFFSET($H$3,0,0,'Données projet'!$E$12+1,1))</f>
        <v>286.5685205631126</v>
      </c>
      <c r="CE5" s="59">
        <f t="shared" ref="CE5:CE68" si="40">$CE$3</f>
        <v>264.17357326498581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2.1</v>
      </c>
      <c r="N6" s="13">
        <f>IF('Données projet'!$A$36&gt;35,N5+M6-V5,IF(A6&lt;'Données projet'!$A$36,$K$205^A6,IF(A6='Données projet'!$A$36,'Données projet'!$B$36,N5+M6-V5)))</f>
        <v>1.7518115829322798</v>
      </c>
      <c r="O6" s="13">
        <f>N6*VLOOKUP('Données projet'!$B$9,Paramètres!$A$1:$I$89,3,0)*VLOOKUP('Données projet'!$B$9,Paramètres!$A$1:$I$89,5,0)</f>
        <v>1.5850391202371266</v>
      </c>
      <c r="P6" s="13">
        <f t="shared" si="33"/>
        <v>0.69232082604846479</v>
      </c>
      <c r="Q6" s="20">
        <f t="shared" si="2"/>
        <v>3.966401906447405</v>
      </c>
      <c r="R6" s="59">
        <f t="shared" si="0"/>
        <v>264.29973523978072</v>
      </c>
      <c r="S6" s="59">
        <f ca="1">AVERAGE(OFFSET($R$3,0,0,'Données projet'!$E$9+1,1))-AVERAGE(OFFSET($H$3,0,0,'Données projet'!$E$9+1,1))</f>
        <v>346.35147716792028</v>
      </c>
      <c r="T6" s="59">
        <f t="shared" si="34"/>
        <v>231.36959598460686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2.1</v>
      </c>
      <c r="AI6" s="13">
        <f>IF('Données projet'!$A$62&gt;35,AI5+AH6-AQ5,IF(A6&lt;'Données projet'!$A$62,$AF$205^A6,IF(A6='Données projet'!$A$62,'Données projet'!$B$62,AI5+AH6-AQ5)))</f>
        <v>1.7518115829322798</v>
      </c>
      <c r="AJ6" s="13">
        <f>AI6*VLOOKUP('Données projet'!$B$10,Paramètres!$A$1:$I$89,3,0)*VLOOKUP('Données projet'!$B$10,Paramètres!$A$1:$I$89,5,0)</f>
        <v>1.5850391202371266</v>
      </c>
      <c r="AK6" s="13">
        <f t="shared" si="35"/>
        <v>0.69232082604846479</v>
      </c>
      <c r="AL6" s="20">
        <f t="shared" si="4"/>
        <v>3.966401906447405</v>
      </c>
      <c r="AM6" s="59">
        <f t="shared" si="5"/>
        <v>264.29973523978072</v>
      </c>
      <c r="AN6" s="59">
        <f ca="1">AVERAGE(OFFSET($AM$3,0,0,'Données projet'!$E$10+1,1))-AVERAGE(OFFSET($H$3,0,0,'Données projet'!$E$10+1,1))</f>
        <v>346.35147716792028</v>
      </c>
      <c r="AO6" s="59">
        <f t="shared" si="36"/>
        <v>231.36959598460686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7.4312217194570129</v>
      </c>
      <c r="BD6" s="12">
        <f>IF('Données projet'!$A$88&gt;35,BD5+BC6-BL5,IF(A6&lt;'Données projet'!$A$88,$BA$205^A6,IF(A6='Données projet'!$A$88,'Données projet'!$B$88,BD5+BC6-BL5)))</f>
        <v>2.3488460575455909</v>
      </c>
      <c r="BE6" s="13">
        <f>BD6*VLOOKUP('Données projet'!$B$11,Paramètres!$A$1:$I$89,3,0)*VLOOKUP('Données projet'!$B$11,Paramètres!$A$1:$I$89,5,0)</f>
        <v>1.4046099424122636</v>
      </c>
      <c r="BF6" s="13">
        <f t="shared" si="37"/>
        <v>0.62220330714804695</v>
      </c>
      <c r="BG6" s="20">
        <f t="shared" si="7"/>
        <v>3.5300330763175403</v>
      </c>
      <c r="BH6" s="59">
        <f t="shared" si="8"/>
        <v>263.86336640965084</v>
      </c>
      <c r="BI6" s="59">
        <f ca="1">AVERAGE(OFFSET($BH$3,0,0,'Données projet'!$E$11+1,1))-AVERAGE(OFFSET($H$3,0,0,'Données projet'!$E$11+1,1))</f>
        <v>257.80952690600492</v>
      </c>
      <c r="BJ6" s="59">
        <f t="shared" si="38"/>
        <v>269.95358755269427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3.56</v>
      </c>
      <c r="BY6" s="12">
        <f>IF('Données projet'!$A$114&gt;35,BY5+BX6-CG5,IF(A6&lt;'Données projet'!$A$114,$BV$205^A6,IF(A6='Données projet'!$A$114,'Données projet'!$B$114,BY5+BX6-CG5)))</f>
        <v>1.7136684488168334</v>
      </c>
      <c r="BZ6" s="13">
        <f>BY6*VLOOKUP('Données projet'!$B$12,Paramètres!$A$1:$I$89,3,0)*VLOOKUP('Données projet'!$B$12,Paramètres!$A$1:$I$89,5,0)</f>
        <v>1.33666139007713</v>
      </c>
      <c r="CA6" s="13">
        <f t="shared" si="39"/>
        <v>0.59553127926010163</v>
      </c>
      <c r="CB6" s="20">
        <f t="shared" si="10"/>
        <v>3.3652355657623452</v>
      </c>
      <c r="CC6" s="59">
        <f t="shared" si="11"/>
        <v>263.69856889909568</v>
      </c>
      <c r="CD6" s="59">
        <f ca="1">AVERAGE(OFFSET($CC$3,0,0,'Données projet'!$E$12+1,1))-AVERAGE(OFFSET($H$3,0,0,'Données projet'!$E$12+1,1))</f>
        <v>286.5685205631126</v>
      </c>
      <c r="CE6" s="59">
        <f t="shared" si="40"/>
        <v>264.17357326498581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2.1</v>
      </c>
      <c r="N7" s="13">
        <f>IF('Données projet'!$A$36&gt;35,N6+M7-V6,IF(A7&lt;'Données projet'!$A$36,$K$205^A7,IF(A7='Données projet'!$A$36,'Données projet'!$B$36,N6+M7-V6)))</f>
        <v>2.1117857649667546</v>
      </c>
      <c r="O7" s="13">
        <f>N7*VLOOKUP('Données projet'!$B$9,Paramètres!$A$1:$I$89,3,0)*VLOOKUP('Données projet'!$B$9,Paramètres!$A$1:$I$89,5,0)</f>
        <v>1.9107437601419195</v>
      </c>
      <c r="P7" s="13">
        <f t="shared" si="33"/>
        <v>0.81662477151702284</v>
      </c>
      <c r="Q7" s="20">
        <f t="shared" si="2"/>
        <v>4.7501668593059909</v>
      </c>
      <c r="R7" s="59">
        <f t="shared" si="0"/>
        <v>266.30572241486152</v>
      </c>
      <c r="S7" s="59">
        <f ca="1">AVERAGE(OFFSET($R$3,0,0,'Données projet'!$E$9+1,1))-AVERAGE(OFFSET($H$3,0,0,'Données projet'!$E$9+1,1))</f>
        <v>346.35147716792028</v>
      </c>
      <c r="T7" s="59">
        <f t="shared" si="34"/>
        <v>231.36959598460686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2.1</v>
      </c>
      <c r="AI7" s="13">
        <f>IF('Données projet'!$A$62&gt;35,AI6+AH7-AQ6,IF(A7&lt;'Données projet'!$A$62,$AF$205^A7,IF(A7='Données projet'!$A$62,'Données projet'!$B$62,AI6+AH7-AQ6)))</f>
        <v>2.1117857649667546</v>
      </c>
      <c r="AJ7" s="13">
        <f>AI7*VLOOKUP('Données projet'!$B$10,Paramètres!$A$1:$I$89,3,0)*VLOOKUP('Données projet'!$B$10,Paramètres!$A$1:$I$89,5,0)</f>
        <v>1.9107437601419195</v>
      </c>
      <c r="AK7" s="13">
        <f t="shared" si="35"/>
        <v>0.81662477151702284</v>
      </c>
      <c r="AL7" s="20">
        <f t="shared" si="4"/>
        <v>4.7501668593059909</v>
      </c>
      <c r="AM7" s="59">
        <f t="shared" si="5"/>
        <v>266.30572241486152</v>
      </c>
      <c r="AN7" s="59">
        <f ca="1">AVERAGE(OFFSET($AM$3,0,0,'Données projet'!$E$10+1,1))-AVERAGE(OFFSET($H$3,0,0,'Données projet'!$E$10+1,1))</f>
        <v>346.35147716792028</v>
      </c>
      <c r="AO7" s="59">
        <f t="shared" si="36"/>
        <v>231.36959598460686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7.4312217194570129</v>
      </c>
      <c r="BD7" s="12">
        <f>IF('Données projet'!$A$88&gt;35,BD6+BC7-BL6,IF(A7&lt;'Données projet'!$A$88,$BA$205^A7,IF(A7='Données projet'!$A$88,'Données projet'!$B$88,BD6+BC7-BL6)))</f>
        <v>3.1222864114491768</v>
      </c>
      <c r="BE7" s="13">
        <f>BD7*VLOOKUP('Données projet'!$B$11,Paramètres!$A$1:$I$89,3,0)*VLOOKUP('Données projet'!$B$11,Paramètres!$A$1:$I$89,5,0)</f>
        <v>1.8671272740466078</v>
      </c>
      <c r="BF7" s="13">
        <f t="shared" si="37"/>
        <v>0.80013145376589556</v>
      </c>
      <c r="BG7" s="20">
        <f t="shared" si="7"/>
        <v>4.6454756176067766</v>
      </c>
      <c r="BH7" s="59">
        <f t="shared" si="8"/>
        <v>266.20103117316233</v>
      </c>
      <c r="BI7" s="59">
        <f ca="1">AVERAGE(OFFSET($BH$3,0,0,'Données projet'!$E$11+1,1))-AVERAGE(OFFSET($H$3,0,0,'Données projet'!$E$11+1,1))</f>
        <v>257.80952690600492</v>
      </c>
      <c r="BJ7" s="59">
        <f t="shared" si="38"/>
        <v>269.95358755269427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3.56</v>
      </c>
      <c r="BY7" s="12">
        <f>IF('Données projet'!$A$114&gt;35,BY6+BX7-CG6,IF(A7&lt;'Données projet'!$A$114,$BV$205^A7,IF(A7='Données projet'!$A$114,'Données projet'!$B$114,BY6+BX7-CG6)))</f>
        <v>2.0507012732339978</v>
      </c>
      <c r="BZ7" s="13">
        <f>BY7*VLOOKUP('Données projet'!$B$12,Paramètres!$A$1:$I$89,3,0)*VLOOKUP('Données projet'!$B$12,Paramètres!$A$1:$I$89,5,0)</f>
        <v>1.5995469931225184</v>
      </c>
      <c r="CA7" s="13">
        <f t="shared" si="39"/>
        <v>0.69791706476400706</v>
      </c>
      <c r="CB7" s="20">
        <f t="shared" si="10"/>
        <v>4.0014165674856983</v>
      </c>
      <c r="CC7" s="59">
        <f t="shared" si="11"/>
        <v>265.55697212304125</v>
      </c>
      <c r="CD7" s="59">
        <f ca="1">AVERAGE(OFFSET($CC$3,0,0,'Données projet'!$E$12+1,1))-AVERAGE(OFFSET($H$3,0,0,'Données projet'!$E$12+1,1))</f>
        <v>286.5685205631126</v>
      </c>
      <c r="CE7" s="59">
        <f t="shared" si="40"/>
        <v>264.17357326498581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2.1</v>
      </c>
      <c r="N8" s="13">
        <f>IF('Données projet'!$A$36&gt;35,N7+M8-V7,IF(A8&lt;'Données projet'!$A$36,$K$205^A8,IF(A8='Données projet'!$A$36,'Données projet'!$B$36,N7+M8-V7)))</f>
        <v>2.5457298950218314</v>
      </c>
      <c r="O8" s="13">
        <f>N8*VLOOKUP('Données projet'!$B$9,Paramètres!$A$1:$I$89,3,0)*VLOOKUP('Données projet'!$B$9,Paramètres!$A$1:$I$89,5,0)</f>
        <v>2.3033764090157529</v>
      </c>
      <c r="P8" s="13">
        <f t="shared" si="33"/>
        <v>0.96324708482559218</v>
      </c>
      <c r="Q8" s="20">
        <f t="shared" si="2"/>
        <v>5.6893692517736758</v>
      </c>
      <c r="R8" s="59">
        <f t="shared" si="0"/>
        <v>268.46714702955143</v>
      </c>
      <c r="S8" s="59">
        <f ca="1">AVERAGE(OFFSET($R$3,0,0,'Données projet'!$E$9+1,1))-AVERAGE(OFFSET($H$3,0,0,'Données projet'!$E$9+1,1))</f>
        <v>346.35147716792028</v>
      </c>
      <c r="T8" s="59">
        <f t="shared" si="34"/>
        <v>231.36959598460686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2.1</v>
      </c>
      <c r="AI8" s="13">
        <f>IF('Données projet'!$A$62&gt;35,AI7+AH8-AQ7,IF(A8&lt;'Données projet'!$A$62,$AF$205^A8,IF(A8='Données projet'!$A$62,'Données projet'!$B$62,AI7+AH8-AQ7)))</f>
        <v>2.5457298950218314</v>
      </c>
      <c r="AJ8" s="13">
        <f>AI8*VLOOKUP('Données projet'!$B$10,Paramètres!$A$1:$I$89,3,0)*VLOOKUP('Données projet'!$B$10,Paramètres!$A$1:$I$89,5,0)</f>
        <v>2.3033764090157529</v>
      </c>
      <c r="AK8" s="13">
        <f t="shared" si="35"/>
        <v>0.96324708482559218</v>
      </c>
      <c r="AL8" s="20">
        <f t="shared" si="4"/>
        <v>5.6893692517736758</v>
      </c>
      <c r="AM8" s="59">
        <f t="shared" si="5"/>
        <v>268.46714702955143</v>
      </c>
      <c r="AN8" s="59">
        <f ca="1">AVERAGE(OFFSET($AM$3,0,0,'Données projet'!$E$10+1,1))-AVERAGE(OFFSET($H$3,0,0,'Données projet'!$E$10+1,1))</f>
        <v>346.35147716792028</v>
      </c>
      <c r="AO8" s="59">
        <f t="shared" si="36"/>
        <v>231.36959598460686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7.4312217194570129</v>
      </c>
      <c r="BD8" s="12">
        <f>IF('Données projet'!$A$88&gt;35,BD7+BC8-BL7,IF(A8&lt;'Données projet'!$A$88,$BA$205^A8,IF(A8='Données projet'!$A$88,'Données projet'!$B$88,BD7+BC8-BL7)))</f>
        <v>4.1504092632222056</v>
      </c>
      <c r="BE8" s="13">
        <f>BD8*VLOOKUP('Données projet'!$B$11,Paramètres!$A$1:$I$89,3,0)*VLOOKUP('Données projet'!$B$11,Paramètres!$A$1:$I$89,5,0)</f>
        <v>2.4819447394068792</v>
      </c>
      <c r="BF8" s="13">
        <f t="shared" si="37"/>
        <v>1.0289407593154982</v>
      </c>
      <c r="BG8" s="20">
        <f t="shared" si="7"/>
        <v>6.1147922436081394</v>
      </c>
      <c r="BH8" s="59">
        <f t="shared" si="8"/>
        <v>268.89257002138589</v>
      </c>
      <c r="BI8" s="59">
        <f ca="1">AVERAGE(OFFSET($BH$3,0,0,'Données projet'!$E$11+1,1))-AVERAGE(OFFSET($H$3,0,0,'Données projet'!$E$11+1,1))</f>
        <v>257.80952690600492</v>
      </c>
      <c r="BJ8" s="59">
        <f t="shared" si="38"/>
        <v>269.95358755269427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3.56</v>
      </c>
      <c r="BY8" s="12">
        <f>IF('Données projet'!$A$114&gt;35,BY7+BX8-CG7,IF(A8&lt;'Données projet'!$A$114,$BV$205^A8,IF(A8='Données projet'!$A$114,'Données projet'!$B$114,BY7+BX8-CG7)))</f>
        <v>2.4540194545491301</v>
      </c>
      <c r="BZ8" s="13">
        <f>BY8*VLOOKUP('Données projet'!$B$12,Paramètres!$A$1:$I$89,3,0)*VLOOKUP('Données projet'!$B$12,Paramètres!$A$1:$I$89,5,0)</f>
        <v>1.9141351745483215</v>
      </c>
      <c r="CA8" s="13">
        <f t="shared" si="39"/>
        <v>0.81790536660639246</v>
      </c>
      <c r="CB8" s="20">
        <f t="shared" si="10"/>
        <v>4.7583039425111266</v>
      </c>
      <c r="CC8" s="59">
        <f t="shared" si="11"/>
        <v>267.53608172028891</v>
      </c>
      <c r="CD8" s="59">
        <f ca="1">AVERAGE(OFFSET($CC$3,0,0,'Données projet'!$E$12+1,1))-AVERAGE(OFFSET($H$3,0,0,'Données projet'!$E$12+1,1))</f>
        <v>286.5685205631126</v>
      </c>
      <c r="CE8" s="59">
        <f t="shared" si="40"/>
        <v>264.17357326498581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2.1</v>
      </c>
      <c r="N9" s="13">
        <f>IF('Données projet'!$A$36&gt;35,N8+M9-V8,IF(A9&lt;'Données projet'!$A$36,$K$205^A9,IF(A9='Données projet'!$A$36,'Données projet'!$B$36,N8+M9-V8)))</f>
        <v>3.0688438220956993</v>
      </c>
      <c r="O9" s="13">
        <f>N9*VLOOKUP('Données projet'!$B$9,Paramètres!$A$1:$I$89,3,0)*VLOOKUP('Données projet'!$B$9,Paramètres!$A$1:$I$89,5,0)</f>
        <v>2.7766898902321886</v>
      </c>
      <c r="P9" s="13">
        <f t="shared" si="33"/>
        <v>1.1361949561012803</v>
      </c>
      <c r="Q9" s="20">
        <f t="shared" si="2"/>
        <v>6.8149411073641248</v>
      </c>
      <c r="R9" s="59">
        <f t="shared" si="0"/>
        <v>270.81494110736412</v>
      </c>
      <c r="S9" s="59">
        <f ca="1">AVERAGE(OFFSET($R$3,0,0,'Données projet'!$E$9+1,1))-AVERAGE(OFFSET($H$3,0,0,'Données projet'!$E$9+1,1))</f>
        <v>346.35147716792028</v>
      </c>
      <c r="T9" s="59">
        <f t="shared" si="34"/>
        <v>231.36959598460686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2.1</v>
      </c>
      <c r="AI9" s="13">
        <f>IF('Données projet'!$A$62&gt;35,AI8+AH9-AQ8,IF(A9&lt;'Données projet'!$A$62,$AF$205^A9,IF(A9='Données projet'!$A$62,'Données projet'!$B$62,AI8+AH9-AQ8)))</f>
        <v>3.0688438220956993</v>
      </c>
      <c r="AJ9" s="13">
        <f>AI9*VLOOKUP('Données projet'!$B$10,Paramètres!$A$1:$I$89,3,0)*VLOOKUP('Données projet'!$B$10,Paramètres!$A$1:$I$89,5,0)</f>
        <v>2.7766898902321886</v>
      </c>
      <c r="AK9" s="13">
        <f t="shared" si="35"/>
        <v>1.1361949561012803</v>
      </c>
      <c r="AL9" s="20">
        <f t="shared" si="4"/>
        <v>6.8149411073641248</v>
      </c>
      <c r="AM9" s="59">
        <f t="shared" si="5"/>
        <v>270.81494110736412</v>
      </c>
      <c r="AN9" s="59">
        <f ca="1">AVERAGE(OFFSET($AM$3,0,0,'Données projet'!$E$10+1,1))-AVERAGE(OFFSET($H$3,0,0,'Données projet'!$E$10+1,1))</f>
        <v>346.35147716792028</v>
      </c>
      <c r="AO9" s="59">
        <f t="shared" si="36"/>
        <v>231.36959598460686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7.4312217194570129</v>
      </c>
      <c r="BD9" s="12">
        <f>IF('Données projet'!$A$88&gt;35,BD8+BC9-BL8,IF(A9&lt;'Données projet'!$A$88,$BA$205^A9,IF(A9='Données projet'!$A$88,'Données projet'!$B$88,BD8+BC9-BL8)))</f>
        <v>5.5170778020474653</v>
      </c>
      <c r="BE9" s="13">
        <f>BD9*VLOOKUP('Données projet'!$B$11,Paramètres!$A$1:$I$89,3,0)*VLOOKUP('Données projet'!$B$11,Paramètres!$A$1:$I$89,5,0)</f>
        <v>3.2992125256243843</v>
      </c>
      <c r="BF9" s="13">
        <f t="shared" si="37"/>
        <v>1.3231814362474952</v>
      </c>
      <c r="BG9" s="20">
        <f t="shared" si="7"/>
        <v>8.0506694835935235</v>
      </c>
      <c r="BH9" s="59">
        <f t="shared" si="8"/>
        <v>272.05066948359354</v>
      </c>
      <c r="BI9" s="59">
        <f ca="1">AVERAGE(OFFSET($BH$3,0,0,'Données projet'!$E$11+1,1))-AVERAGE(OFFSET($H$3,0,0,'Données projet'!$E$11+1,1))</f>
        <v>257.80952690600492</v>
      </c>
      <c r="BJ9" s="59">
        <f t="shared" si="38"/>
        <v>269.95358755269427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3.56</v>
      </c>
      <c r="BY9" s="12">
        <f>IF('Données projet'!$A$114&gt;35,BY8+BX9-CG8,IF(A9&lt;'Données projet'!$A$114,$BV$205^A9,IF(A9='Données projet'!$A$114,'Données projet'!$B$114,BY8+BX9-CG8)))</f>
        <v>2.9366595524702919</v>
      </c>
      <c r="BZ9" s="13">
        <f>BY9*VLOOKUP('Données projet'!$B$12,Paramètres!$A$1:$I$89,3,0)*VLOOKUP('Données projet'!$B$12,Paramètres!$A$1:$I$89,5,0)</f>
        <v>2.2905944509268279</v>
      </c>
      <c r="CA9" s="13">
        <f t="shared" si="39"/>
        <v>0.95852246992949186</v>
      </c>
      <c r="CB9" s="20">
        <f t="shared" si="10"/>
        <v>5.6588786371580904</v>
      </c>
      <c r="CC9" s="59">
        <f t="shared" si="11"/>
        <v>269.65887863715807</v>
      </c>
      <c r="CD9" s="59">
        <f ca="1">AVERAGE(OFFSET($CC$3,0,0,'Données projet'!$E$12+1,1))-AVERAGE(OFFSET($H$3,0,0,'Données projet'!$E$12+1,1))</f>
        <v>286.5685205631126</v>
      </c>
      <c r="CE9" s="59">
        <f t="shared" si="40"/>
        <v>264.17357326498581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2.1</v>
      </c>
      <c r="N10" s="13">
        <f>IF('Données projet'!$A$36&gt;35,N9+M10-V9,IF(A10&lt;'Données projet'!$A$36,$K$205^A10,IF(A10='Données projet'!$A$36,'Données projet'!$B$36,N9+M10-V9)))</f>
        <v>3.6994507637402658</v>
      </c>
      <c r="O10" s="13">
        <f>N10*VLOOKUP('Données projet'!$B$9,Paramètres!$A$1:$I$89,3,0)*VLOOKUP('Données projet'!$B$9,Paramètres!$A$1:$I$89,5,0)</f>
        <v>3.3472630510321921</v>
      </c>
      <c r="P10" s="13">
        <f t="shared" si="33"/>
        <v>1.34019505338418</v>
      </c>
      <c r="Q10" s="20">
        <f t="shared" si="2"/>
        <v>8.1639895318585136</v>
      </c>
      <c r="R10" s="59">
        <f t="shared" si="0"/>
        <v>273.38621175408076</v>
      </c>
      <c r="S10" s="59">
        <f ca="1">AVERAGE(OFFSET($R$3,0,0,'Données projet'!$E$9+1,1))-AVERAGE(OFFSET($H$3,0,0,'Données projet'!$E$9+1,1))</f>
        <v>346.35147716792028</v>
      </c>
      <c r="T10" s="59">
        <f t="shared" si="34"/>
        <v>231.36959598460686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2.1</v>
      </c>
      <c r="AI10" s="13">
        <f>IF('Données projet'!$A$62&gt;35,AI9+AH10-AQ9,IF(A10&lt;'Données projet'!$A$62,$AF$205^A10,IF(A10='Données projet'!$A$62,'Données projet'!$B$62,AI9+AH10-AQ9)))</f>
        <v>3.6994507637402658</v>
      </c>
      <c r="AJ10" s="13">
        <f>AI10*VLOOKUP('Données projet'!$B$10,Paramètres!$A$1:$I$89,3,0)*VLOOKUP('Données projet'!$B$10,Paramètres!$A$1:$I$89,5,0)</f>
        <v>3.3472630510321921</v>
      </c>
      <c r="AK10" s="13">
        <f t="shared" si="35"/>
        <v>1.34019505338418</v>
      </c>
      <c r="AL10" s="20">
        <f t="shared" si="4"/>
        <v>8.1639895318585136</v>
      </c>
      <c r="AM10" s="59">
        <f t="shared" si="5"/>
        <v>273.38621175408076</v>
      </c>
      <c r="AN10" s="59">
        <f ca="1">AVERAGE(OFFSET($AM$3,0,0,'Données projet'!$E$10+1,1))-AVERAGE(OFFSET($H$3,0,0,'Données projet'!$E$10+1,1))</f>
        <v>346.35147716792028</v>
      </c>
      <c r="AO10" s="59">
        <f t="shared" si="36"/>
        <v>231.36959598460686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7.4312217194570129</v>
      </c>
      <c r="BD10" s="12">
        <f>IF('Données projet'!$A$88&gt;35,BD9+BC10-BL9,IF(A10&lt;'Données projet'!$A$88,$BA$205^A10,IF(A10='Données projet'!$A$88,'Données projet'!$B$88,BD9+BC10-BL9)))</f>
        <v>7.3337701280605696</v>
      </c>
      <c r="BE10" s="13">
        <f>BD10*VLOOKUP('Données projet'!$B$11,Paramètres!$A$1:$I$89,3,0)*VLOOKUP('Données projet'!$B$11,Paramètres!$A$1:$I$89,5,0)</f>
        <v>4.3855945365802205</v>
      </c>
      <c r="BF10" s="13">
        <f t="shared" si="37"/>
        <v>1.7015645433219191</v>
      </c>
      <c r="BG10" s="20">
        <f t="shared" si="7"/>
        <v>10.601802064162893</v>
      </c>
      <c r="BH10" s="59">
        <f t="shared" si="8"/>
        <v>275.82402428638511</v>
      </c>
      <c r="BI10" s="59">
        <f ca="1">AVERAGE(OFFSET($BH$3,0,0,'Données projet'!$E$11+1,1))-AVERAGE(OFFSET($H$3,0,0,'Données projet'!$E$11+1,1))</f>
        <v>257.80952690600492</v>
      </c>
      <c r="BJ10" s="59">
        <f t="shared" si="38"/>
        <v>269.95358755269427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3.56</v>
      </c>
      <c r="BY10" s="12">
        <f>IF('Données projet'!$A$114&gt;35,BY9+BX10-CG9,IF(A10&lt;'Données projet'!$A$114,$BV$205^A10,IF(A10='Données projet'!$A$114,'Données projet'!$B$114,BY9+BX10-CG9)))</f>
        <v>3.5142220698896103</v>
      </c>
      <c r="BZ10" s="13">
        <f>BY10*VLOOKUP('Données projet'!$B$12,Paramètres!$A$1:$I$89,3,0)*VLOOKUP('Données projet'!$B$12,Paramètres!$A$1:$I$89,5,0)</f>
        <v>2.7410932145138962</v>
      </c>
      <c r="CA10" s="13">
        <f t="shared" si="39"/>
        <v>1.1233149492242895</v>
      </c>
      <c r="CB10" s="20">
        <f t="shared" si="10"/>
        <v>6.730510885177341</v>
      </c>
      <c r="CC10" s="59">
        <f t="shared" si="11"/>
        <v>271.95273310739958</v>
      </c>
      <c r="CD10" s="59">
        <f ca="1">AVERAGE(OFFSET($CC$3,0,0,'Données projet'!$E$12+1,1))-AVERAGE(OFFSET($H$3,0,0,'Données projet'!$E$12+1,1))</f>
        <v>286.5685205631126</v>
      </c>
      <c r="CE10" s="59">
        <f t="shared" si="40"/>
        <v>264.17357326498581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2.1</v>
      </c>
      <c r="N11" s="13">
        <f>IF('Données projet'!$A$36&gt;35,N10+M11-V10,IF(A11&lt;'Données projet'!$A$36,$K$205^A11,IF(A11='Données projet'!$A$36,'Données projet'!$B$36,N10+M11-V10)))</f>
        <v>4.4596391171162209</v>
      </c>
      <c r="O11" s="13">
        <f>N11*VLOOKUP('Données projet'!$B$9,Paramètres!$A$1:$I$89,3,0)*VLOOKUP('Données projet'!$B$9,Paramètres!$A$1:$I$89,5,0)</f>
        <v>4.0350814731667564</v>
      </c>
      <c r="P11" s="13">
        <f t="shared" si="33"/>
        <v>1.5808227025391921</v>
      </c>
      <c r="Q11" s="20">
        <f t="shared" si="2"/>
        <v>9.7810331060211926</v>
      </c>
      <c r="R11" s="59">
        <f t="shared" si="0"/>
        <v>276.22547755046565</v>
      </c>
      <c r="S11" s="59">
        <f ca="1">AVERAGE(OFFSET($R$3,0,0,'Données projet'!$E$9+1,1))-AVERAGE(OFFSET($H$3,0,0,'Données projet'!$E$9+1,1))</f>
        <v>346.35147716792028</v>
      </c>
      <c r="T11" s="59">
        <f t="shared" si="34"/>
        <v>231.36959598460686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2.1</v>
      </c>
      <c r="AI11" s="13">
        <f>IF('Données projet'!$A$62&gt;35,AI10+AH11-AQ10,IF(A11&lt;'Données projet'!$A$62,$AF$205^A11,IF(A11='Données projet'!$A$62,'Données projet'!$B$62,AI10+AH11-AQ10)))</f>
        <v>4.4596391171162209</v>
      </c>
      <c r="AJ11" s="13">
        <f>AI11*VLOOKUP('Données projet'!$B$10,Paramètres!$A$1:$I$89,3,0)*VLOOKUP('Données projet'!$B$10,Paramètres!$A$1:$I$89,5,0)</f>
        <v>4.0350814731667564</v>
      </c>
      <c r="AK11" s="13">
        <f t="shared" si="35"/>
        <v>1.5808227025391921</v>
      </c>
      <c r="AL11" s="20">
        <f t="shared" si="4"/>
        <v>9.7810331060211926</v>
      </c>
      <c r="AM11" s="59">
        <f t="shared" si="5"/>
        <v>276.22547755046565</v>
      </c>
      <c r="AN11" s="59">
        <f ca="1">AVERAGE(OFFSET($AM$3,0,0,'Données projet'!$E$10+1,1))-AVERAGE(OFFSET($H$3,0,0,'Données projet'!$E$10+1,1))</f>
        <v>346.35147716792028</v>
      </c>
      <c r="AO11" s="59">
        <f t="shared" si="36"/>
        <v>231.36959598460686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7.4312217194570129</v>
      </c>
      <c r="BD11" s="12">
        <f>IF('Données projet'!$A$88&gt;35,BD10+BC11-BL10,IF(A11&lt;'Données projet'!$A$88,$BA$205^A11,IF(A11='Données projet'!$A$88,'Données projet'!$B$88,BD10+BC11-BL10)))</f>
        <v>9.748672435120179</v>
      </c>
      <c r="BE11" s="13">
        <f>BD11*VLOOKUP('Données projet'!$B$11,Paramètres!$A$1:$I$89,3,0)*VLOOKUP('Données projet'!$B$11,Paramètres!$A$1:$I$89,5,0)</f>
        <v>5.8297061162018684</v>
      </c>
      <c r="BF11" s="13">
        <f t="shared" si="37"/>
        <v>2.1881518405377438</v>
      </c>
      <c r="BG11" s="20">
        <f t="shared" si="7"/>
        <v>13.96443594132149</v>
      </c>
      <c r="BH11" s="59">
        <f t="shared" si="8"/>
        <v>280.40888038576594</v>
      </c>
      <c r="BI11" s="59">
        <f ca="1">AVERAGE(OFFSET($BH$3,0,0,'Données projet'!$E$11+1,1))-AVERAGE(OFFSET($H$3,0,0,'Données projet'!$E$11+1,1))</f>
        <v>257.80952690600492</v>
      </c>
      <c r="BJ11" s="59">
        <f t="shared" si="38"/>
        <v>269.95358755269427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3.56</v>
      </c>
      <c r="BY11" s="12">
        <f>IF('Données projet'!$A$114&gt;35,BY10+BX11-CG10,IF(A11&lt;'Données projet'!$A$114,$BV$205^A11,IF(A11='Données projet'!$A$114,'Données projet'!$B$114,BY10+BX11-CG10)))</f>
        <v>4.2053757120435398</v>
      </c>
      <c r="BZ11" s="13">
        <f>BY11*VLOOKUP('Données projet'!$B$12,Paramètres!$A$1:$I$89,3,0)*VLOOKUP('Données projet'!$B$12,Paramètres!$A$1:$I$89,5,0)</f>
        <v>3.2801930553939611</v>
      </c>
      <c r="CA11" s="13">
        <f t="shared" si="39"/>
        <v>1.3164391182645805</v>
      </c>
      <c r="CB11" s="20">
        <f t="shared" si="10"/>
        <v>8.0058010357886271</v>
      </c>
      <c r="CC11" s="59">
        <f t="shared" si="11"/>
        <v>274.45024548023309</v>
      </c>
      <c r="CD11" s="59">
        <f ca="1">AVERAGE(OFFSET($CC$3,0,0,'Données projet'!$E$12+1,1))-AVERAGE(OFFSET($H$3,0,0,'Données projet'!$E$12+1,1))</f>
        <v>286.5685205631126</v>
      </c>
      <c r="CE11" s="59">
        <f t="shared" si="40"/>
        <v>264.17357326498581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2.1</v>
      </c>
      <c r="N12" s="13">
        <f>IF('Données projet'!$A$36&gt;35,N11+M12-V11,IF(A12&lt;'Données projet'!$A$36,$K$205^A12,IF(A12='Données projet'!$A$36,'Données projet'!$B$36,N11+M12-V11)))</f>
        <v>5.3760361537574148</v>
      </c>
      <c r="O12" s="13">
        <f>N12*VLOOKUP('Données projet'!$B$9,Paramètres!$A$1:$I$89,3,0)*VLOOKUP('Données projet'!$B$9,Paramètres!$A$1:$I$89,5,0)</f>
        <v>4.8642375119197085</v>
      </c>
      <c r="P12" s="13">
        <f t="shared" si="33"/>
        <v>1.8646542609995393</v>
      </c>
      <c r="Q12" s="20">
        <f t="shared" si="2"/>
        <v>11.719486504501022</v>
      </c>
      <c r="R12" s="59">
        <f t="shared" si="0"/>
        <v>279.38615317116773</v>
      </c>
      <c r="S12" s="59">
        <f ca="1">AVERAGE(OFFSET($R$3,0,0,'Données projet'!$E$9+1,1))-AVERAGE(OFFSET($H$3,0,0,'Données projet'!$E$9+1,1))</f>
        <v>346.35147716792028</v>
      </c>
      <c r="T12" s="59">
        <f t="shared" si="34"/>
        <v>231.36959598460686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2.1</v>
      </c>
      <c r="AI12" s="13">
        <f>IF('Données projet'!$A$62&gt;35,AI11+AH12-AQ11,IF(A12&lt;'Données projet'!$A$62,$AF$205^A12,IF(A12='Données projet'!$A$62,'Données projet'!$B$62,AI11+AH12-AQ11)))</f>
        <v>5.3760361537574148</v>
      </c>
      <c r="AJ12" s="13">
        <f>AI12*VLOOKUP('Données projet'!$B$10,Paramètres!$A$1:$I$89,3,0)*VLOOKUP('Données projet'!$B$10,Paramètres!$A$1:$I$89,5,0)</f>
        <v>4.8642375119197085</v>
      </c>
      <c r="AK12" s="13">
        <f t="shared" si="35"/>
        <v>1.8646542609995393</v>
      </c>
      <c r="AL12" s="20">
        <f t="shared" si="4"/>
        <v>11.719486504501022</v>
      </c>
      <c r="AM12" s="59">
        <f t="shared" si="5"/>
        <v>279.38615317116773</v>
      </c>
      <c r="AN12" s="59">
        <f ca="1">AVERAGE(OFFSET($AM$3,0,0,'Données projet'!$E$10+1,1))-AVERAGE(OFFSET($H$3,0,0,'Données projet'!$E$10+1,1))</f>
        <v>346.35147716792028</v>
      </c>
      <c r="AO12" s="59">
        <f t="shared" si="36"/>
        <v>231.36959598460686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7.4312217194570129</v>
      </c>
      <c r="BD12" s="12">
        <f>IF('Données projet'!$A$88&gt;35,BD11+BC12-BL11,IF(A12&lt;'Données projet'!$A$88,$BA$205^A12,IF(A12='Données projet'!$A$88,'Données projet'!$B$88,BD11+BC12-BL11)))</f>
        <v>12.958766444511483</v>
      </c>
      <c r="BE12" s="13">
        <f>BD12*VLOOKUP('Données projet'!$B$11,Paramètres!$A$1:$I$89,3,0)*VLOOKUP('Données projet'!$B$11,Paramètres!$A$1:$I$89,5,0)</f>
        <v>7.7493423338178671</v>
      </c>
      <c r="BF12" s="13">
        <f t="shared" si="37"/>
        <v>2.8138859005026107</v>
      </c>
      <c r="BG12" s="20">
        <f t="shared" si="7"/>
        <v>18.397622508108167</v>
      </c>
      <c r="BH12" s="59">
        <f t="shared" si="8"/>
        <v>286.06428917477484</v>
      </c>
      <c r="BI12" s="59">
        <f ca="1">AVERAGE(OFFSET($BH$3,0,0,'Données projet'!$E$11+1,1))-AVERAGE(OFFSET($H$3,0,0,'Données projet'!$E$11+1,1))</f>
        <v>257.80952690600492</v>
      </c>
      <c r="BJ12" s="59">
        <f t="shared" si="38"/>
        <v>269.95358755269427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3.56</v>
      </c>
      <c r="BY12" s="12">
        <f>IF('Données projet'!$A$114&gt;35,BY11+BX12-CG11,IF(A12&lt;'Données projet'!$A$114,$BV$205^A12,IF(A12='Données projet'!$A$114,'Données projet'!$B$114,BY11+BX12-CG11)))</f>
        <v>5.0324608199849017</v>
      </c>
      <c r="BZ12" s="13">
        <f>BY12*VLOOKUP('Données projet'!$B$12,Paramètres!$A$1:$I$89,3,0)*VLOOKUP('Données projet'!$B$12,Paramètres!$A$1:$I$89,5,0)</f>
        <v>3.9253194395882236</v>
      </c>
      <c r="CA12" s="13">
        <f t="shared" si="39"/>
        <v>1.5427658585813051</v>
      </c>
      <c r="CB12" s="20">
        <f t="shared" si="10"/>
        <v>9.5235818943119295</v>
      </c>
      <c r="CC12" s="59">
        <f t="shared" si="11"/>
        <v>277.1902485609786</v>
      </c>
      <c r="CD12" s="59">
        <f ca="1">AVERAGE(OFFSET($CC$3,0,0,'Données projet'!$E$12+1,1))-AVERAGE(OFFSET($H$3,0,0,'Données projet'!$E$12+1,1))</f>
        <v>286.5685205631126</v>
      </c>
      <c r="CE12" s="59">
        <f t="shared" si="40"/>
        <v>264.17357326498581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2.1</v>
      </c>
      <c r="N13" s="13">
        <f>IF('Données projet'!$A$36&gt;35,N12+M13-V12,IF(A13&lt;'Données projet'!$A$36,$K$205^A13,IF(A13='Données projet'!$A$36,'Données projet'!$B$36,N12+M13-V12)))</f>
        <v>6.4807406984078657</v>
      </c>
      <c r="O13" s="13">
        <f>N13*VLOOKUP('Données projet'!$B$9,Paramètres!$A$1:$I$89,3,0)*VLOOKUP('Données projet'!$B$9,Paramètres!$A$1:$I$89,5,0)</f>
        <v>5.8637741839194364</v>
      </c>
      <c r="P13" s="13">
        <f t="shared" si="33"/>
        <v>2.1994468497187687</v>
      </c>
      <c r="Q13" s="20">
        <f t="shared" si="2"/>
        <v>14.043443300253207</v>
      </c>
      <c r="R13" s="59">
        <f t="shared" si="0"/>
        <v>282.93233218914207</v>
      </c>
      <c r="S13" s="59">
        <f ca="1">AVERAGE(OFFSET($R$3,0,0,'Données projet'!$E$9+1,1))-AVERAGE(OFFSET($H$3,0,0,'Données projet'!$E$9+1,1))</f>
        <v>346.35147716792028</v>
      </c>
      <c r="T13" s="59">
        <f t="shared" si="34"/>
        <v>231.36959598460686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2.1</v>
      </c>
      <c r="AI13" s="13">
        <f>IF('Données projet'!$A$62&gt;35,AI12+AH13-AQ12,IF(A13&lt;'Données projet'!$A$62,$AF$205^A13,IF(A13='Données projet'!$A$62,'Données projet'!$B$62,AI12+AH13-AQ12)))</f>
        <v>6.4807406984078657</v>
      </c>
      <c r="AJ13" s="13">
        <f>AI13*VLOOKUP('Données projet'!$B$10,Paramètres!$A$1:$I$89,3,0)*VLOOKUP('Données projet'!$B$10,Paramètres!$A$1:$I$89,5,0)</f>
        <v>5.8637741839194364</v>
      </c>
      <c r="AK13" s="13">
        <f t="shared" si="35"/>
        <v>2.1994468497187687</v>
      </c>
      <c r="AL13" s="20">
        <f t="shared" si="4"/>
        <v>14.043443300253207</v>
      </c>
      <c r="AM13" s="59">
        <f t="shared" si="5"/>
        <v>282.93233218914207</v>
      </c>
      <c r="AN13" s="59">
        <f ca="1">AVERAGE(OFFSET($AM$3,0,0,'Données projet'!$E$10+1,1))-AVERAGE(OFFSET($H$3,0,0,'Données projet'!$E$10+1,1))</f>
        <v>346.35147716792028</v>
      </c>
      <c r="AO13" s="59">
        <f t="shared" si="36"/>
        <v>231.36959598460686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7.4312217194570129</v>
      </c>
      <c r="BD13" s="12">
        <f>IF('Données projet'!$A$88&gt;35,BD12+BC13-BL12,IF(A13&lt;'Données projet'!$A$88,$BA$205^A13,IF(A13='Données projet'!$A$88,'Données projet'!$B$88,BD12+BC13-BL12)))</f>
        <v>17.225897052240693</v>
      </c>
      <c r="BE13" s="13">
        <f>BD13*VLOOKUP('Données projet'!$B$11,Paramètres!$A$1:$I$89,3,0)*VLOOKUP('Données projet'!$B$11,Paramètres!$A$1:$I$89,5,0)</f>
        <v>10.301086437239935</v>
      </c>
      <c r="BF13" s="13">
        <f t="shared" si="37"/>
        <v>3.6185577775542006</v>
      </c>
      <c r="BG13" s="20">
        <f t="shared" si="7"/>
        <v>24.243380340766453</v>
      </c>
      <c r="BH13" s="59">
        <f t="shared" si="8"/>
        <v>293.13226922965532</v>
      </c>
      <c r="BI13" s="59">
        <f ca="1">AVERAGE(OFFSET($BH$3,0,0,'Données projet'!$E$11+1,1))-AVERAGE(OFFSET($H$3,0,0,'Données projet'!$E$11+1,1))</f>
        <v>257.80952690600492</v>
      </c>
      <c r="BJ13" s="59">
        <f t="shared" si="38"/>
        <v>269.95358755269427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3.56</v>
      </c>
      <c r="BY13" s="12">
        <f>IF('Données projet'!$A$114&gt;35,BY12+BX13-CG12,IF(A13&lt;'Données projet'!$A$114,$BV$205^A13,IF(A13='Données projet'!$A$114,'Données projet'!$B$114,BY12+BX13-CG12)))</f>
        <v>6.0222114833056102</v>
      </c>
      <c r="BZ13" s="13">
        <f>BY13*VLOOKUP('Données projet'!$B$12,Paramètres!$A$1:$I$89,3,0)*VLOOKUP('Données projet'!$B$12,Paramètres!$A$1:$I$89,5,0)</f>
        <v>4.6973249569783757</v>
      </c>
      <c r="CA13" s="13">
        <f t="shared" si="39"/>
        <v>1.8080034704086858</v>
      </c>
      <c r="CB13" s="20">
        <f t="shared" si="10"/>
        <v>11.330113677699131</v>
      </c>
      <c r="CC13" s="59">
        <f t="shared" si="11"/>
        <v>280.21900256658796</v>
      </c>
      <c r="CD13" s="59">
        <f ca="1">AVERAGE(OFFSET($CC$3,0,0,'Données projet'!$E$12+1,1))-AVERAGE(OFFSET($H$3,0,0,'Données projet'!$E$12+1,1))</f>
        <v>286.5685205631126</v>
      </c>
      <c r="CE13" s="59">
        <f t="shared" si="40"/>
        <v>264.17357326498581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2.1</v>
      </c>
      <c r="N14" s="13">
        <f>IF('Données projet'!$A$36&gt;35,N13+M14-V13,IF(A14&lt;'Données projet'!$A$36,$K$205^A14,IF(A14='Données projet'!$A$36,'Données projet'!$B$36,N13+M14-V13)))</f>
        <v>7.8124474610620815</v>
      </c>
      <c r="O14" s="13">
        <f>N14*VLOOKUP('Données projet'!$B$9,Paramètres!$A$1:$I$89,3,0)*VLOOKUP('Données projet'!$B$9,Paramètres!$A$1:$I$89,5,0)</f>
        <v>7.0687024627689707</v>
      </c>
      <c r="P14" s="13">
        <f t="shared" si="33"/>
        <v>2.5943503554083325</v>
      </c>
      <c r="Q14" s="20">
        <f t="shared" si="2"/>
        <v>16.829816991658799</v>
      </c>
      <c r="R14" s="59">
        <f t="shared" si="0"/>
        <v>286.94092810276993</v>
      </c>
      <c r="S14" s="59">
        <f ca="1">AVERAGE(OFFSET($R$3,0,0,'Données projet'!$E$9+1,1))-AVERAGE(OFFSET($H$3,0,0,'Données projet'!$E$9+1,1))</f>
        <v>346.35147716792028</v>
      </c>
      <c r="T14" s="59">
        <f t="shared" si="34"/>
        <v>231.36959598460686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2.1</v>
      </c>
      <c r="AI14" s="13">
        <f>IF('Données projet'!$A$62&gt;35,AI13+AH14-AQ13,IF(A14&lt;'Données projet'!$A$62,$AF$205^A14,IF(A14='Données projet'!$A$62,'Données projet'!$B$62,AI13+AH14-AQ13)))</f>
        <v>7.8124474610620815</v>
      </c>
      <c r="AJ14" s="13">
        <f>AI14*VLOOKUP('Données projet'!$B$10,Paramètres!$A$1:$I$89,3,0)*VLOOKUP('Données projet'!$B$10,Paramètres!$A$1:$I$89,5,0)</f>
        <v>7.0687024627689707</v>
      </c>
      <c r="AK14" s="13">
        <f t="shared" si="35"/>
        <v>2.5943503554083325</v>
      </c>
      <c r="AL14" s="20">
        <f t="shared" si="4"/>
        <v>16.829816991658799</v>
      </c>
      <c r="AM14" s="59">
        <f t="shared" si="5"/>
        <v>286.94092810276993</v>
      </c>
      <c r="AN14" s="59">
        <f ca="1">AVERAGE(OFFSET($AM$3,0,0,'Données projet'!$E$10+1,1))-AVERAGE(OFFSET($H$3,0,0,'Données projet'!$E$10+1,1))</f>
        <v>346.35147716792028</v>
      </c>
      <c r="AO14" s="59">
        <f t="shared" si="36"/>
        <v>231.36959598460686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7.4312217194570129</v>
      </c>
      <c r="BD14" s="12">
        <f>IF('Données projet'!$A$88&gt;35,BD13+BC14-BL13,IF(A14&lt;'Données projet'!$A$88,$BA$205^A14,IF(A14='Données projet'!$A$88,'Données projet'!$B$88,BD13+BC14-BL13)))</f>
        <v>22.89813081553541</v>
      </c>
      <c r="BE14" s="13">
        <f>BD14*VLOOKUP('Données projet'!$B$11,Paramètres!$A$1:$I$89,3,0)*VLOOKUP('Données projet'!$B$11,Paramètres!$A$1:$I$89,5,0)</f>
        <v>13.693082227690176</v>
      </c>
      <c r="BF14" s="13">
        <f t="shared" si="37"/>
        <v>4.6533373606794726</v>
      </c>
      <c r="BG14" s="20">
        <f t="shared" si="7"/>
        <v>31.953347449743802</v>
      </c>
      <c r="BH14" s="59">
        <f t="shared" si="8"/>
        <v>302.06445856085497</v>
      </c>
      <c r="BI14" s="59">
        <f ca="1">AVERAGE(OFFSET($BH$3,0,0,'Données projet'!$E$11+1,1))-AVERAGE(OFFSET($H$3,0,0,'Données projet'!$E$11+1,1))</f>
        <v>257.80952690600492</v>
      </c>
      <c r="BJ14" s="59">
        <f t="shared" si="38"/>
        <v>269.95358755269427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3.56</v>
      </c>
      <c r="BY14" s="12">
        <f>IF('Données projet'!$A$114&gt;35,BY13+BX14-CG13,IF(A14&lt;'Données projet'!$A$114,$BV$205^A14,IF(A14='Données projet'!$A$114,'Données projet'!$B$114,BY13+BX14-CG13)))</f>
        <v>7.206619673149639</v>
      </c>
      <c r="BZ14" s="13">
        <f>BY14*VLOOKUP('Données projet'!$B$12,Paramètres!$A$1:$I$89,3,0)*VLOOKUP('Données projet'!$B$12,Paramètres!$A$1:$I$89,5,0)</f>
        <v>5.6211633450567184</v>
      </c>
      <c r="CA14" s="13">
        <f t="shared" si="39"/>
        <v>2.1188416445874947</v>
      </c>
      <c r="CB14" s="20">
        <f t="shared" si="10"/>
        <v>13.480508690297002</v>
      </c>
      <c r="CC14" s="59">
        <f t="shared" si="11"/>
        <v>283.59161980140817</v>
      </c>
      <c r="CD14" s="59">
        <f ca="1">AVERAGE(OFFSET($CC$3,0,0,'Données projet'!$E$12+1,1))-AVERAGE(OFFSET($H$3,0,0,'Données projet'!$E$12+1,1))</f>
        <v>286.5685205631126</v>
      </c>
      <c r="CE14" s="59">
        <f t="shared" si="40"/>
        <v>264.17357326498581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2.1</v>
      </c>
      <c r="N15" s="13">
        <f>IF('Données projet'!$A$36&gt;35,N14+M15-V14,IF(A15&lt;'Données projet'!$A$36,$K$205^A15,IF(A15='Données projet'!$A$36,'Données projet'!$B$36,N14+M15-V14)))</f>
        <v>9.4178024044149407</v>
      </c>
      <c r="O15" s="13">
        <f>N15*VLOOKUP('Données projet'!$B$9,Paramètres!$A$1:$I$89,3,0)*VLOOKUP('Données projet'!$B$9,Paramètres!$A$1:$I$89,5,0)</f>
        <v>8.521227615514638</v>
      </c>
      <c r="P15" s="13">
        <f t="shared" si="33"/>
        <v>3.0601574970852128</v>
      </c>
      <c r="Q15" s="20">
        <f t="shared" si="2"/>
        <v>20.170912404444739</v>
      </c>
      <c r="R15" s="59">
        <f t="shared" si="0"/>
        <v>291.50424573777804</v>
      </c>
      <c r="S15" s="59">
        <f ca="1">AVERAGE(OFFSET($R$3,0,0,'Données projet'!$E$9+1,1))-AVERAGE(OFFSET($H$3,0,0,'Données projet'!$E$9+1,1))</f>
        <v>346.35147716792028</v>
      </c>
      <c r="T15" s="59">
        <f t="shared" si="34"/>
        <v>231.36959598460686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2.1</v>
      </c>
      <c r="AI15" s="13">
        <f>IF('Données projet'!$A$62&gt;35,AI14+AH15-AQ14,IF(A15&lt;'Données projet'!$A$62,$AF$205^A15,IF(A15='Données projet'!$A$62,'Données projet'!$B$62,AI14+AH15-AQ14)))</f>
        <v>9.4178024044149407</v>
      </c>
      <c r="AJ15" s="13">
        <f>AI15*VLOOKUP('Données projet'!$B$10,Paramètres!$A$1:$I$89,3,0)*VLOOKUP('Données projet'!$B$10,Paramètres!$A$1:$I$89,5,0)</f>
        <v>8.521227615514638</v>
      </c>
      <c r="AK15" s="13">
        <f t="shared" si="35"/>
        <v>3.0601574970852128</v>
      </c>
      <c r="AL15" s="20">
        <f t="shared" si="4"/>
        <v>20.170912404444739</v>
      </c>
      <c r="AM15" s="59">
        <f t="shared" si="5"/>
        <v>291.50424573777804</v>
      </c>
      <c r="AN15" s="59">
        <f ca="1">AVERAGE(OFFSET($AM$3,0,0,'Données projet'!$E$10+1,1))-AVERAGE(OFFSET($H$3,0,0,'Données projet'!$E$10+1,1))</f>
        <v>346.35147716792028</v>
      </c>
      <c r="AO15" s="59">
        <f t="shared" si="36"/>
        <v>231.36959598460686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7.4312217194570129</v>
      </c>
      <c r="BD15" s="12">
        <f>IF('Données projet'!$A$88&gt;35,BD14+BC15-BL14,IF(A15&lt;'Données projet'!$A$88,$BA$205^A15,IF(A15='Données projet'!$A$88,'Données projet'!$B$88,BD14+BC15-BL14)))</f>
        <v>30.438147473844893</v>
      </c>
      <c r="BE15" s="13">
        <f>BD15*VLOOKUP('Données projet'!$B$11,Paramètres!$A$1:$I$89,3,0)*VLOOKUP('Données projet'!$B$11,Paramètres!$A$1:$I$89,5,0)</f>
        <v>18.202012189359248</v>
      </c>
      <c r="BF15" s="13">
        <f t="shared" si="37"/>
        <v>5.984027317903192</v>
      </c>
      <c r="BG15" s="20">
        <f t="shared" si="7"/>
        <v>42.124018808482084</v>
      </c>
      <c r="BH15" s="59">
        <f t="shared" si="8"/>
        <v>313.45735214181542</v>
      </c>
      <c r="BI15" s="59">
        <f ca="1">AVERAGE(OFFSET($BH$3,0,0,'Données projet'!$E$11+1,1))-AVERAGE(OFFSET($H$3,0,0,'Données projet'!$E$11+1,1))</f>
        <v>257.80952690600492</v>
      </c>
      <c r="BJ15" s="59">
        <f t="shared" si="38"/>
        <v>269.95358755269427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3.56</v>
      </c>
      <c r="BY15" s="12">
        <f>IF('Données projet'!$A$114&gt;35,BY14+BX15-CG14,IF(A15&lt;'Données projet'!$A$114,$BV$205^A15,IF(A15='Données projet'!$A$114,'Données projet'!$B$114,BY14+BX15-CG14)))</f>
        <v>8.6239693271150166</v>
      </c>
      <c r="BZ15" s="13">
        <f>BY15*VLOOKUP('Données projet'!$B$12,Paramètres!$A$1:$I$89,3,0)*VLOOKUP('Données projet'!$B$12,Paramètres!$A$1:$I$89,5,0)</f>
        <v>6.7266960751497136</v>
      </c>
      <c r="CA15" s="13">
        <f t="shared" si="39"/>
        <v>2.4831201866130401</v>
      </c>
      <c r="CB15" s="20">
        <f t="shared" si="10"/>
        <v>16.040429989236795</v>
      </c>
      <c r="CC15" s="59">
        <f t="shared" si="11"/>
        <v>287.37376332257008</v>
      </c>
      <c r="CD15" s="59">
        <f ca="1">AVERAGE(OFFSET($CC$3,0,0,'Données projet'!$E$12+1,1))-AVERAGE(OFFSET($H$3,0,0,'Données projet'!$E$12+1,1))</f>
        <v>286.5685205631126</v>
      </c>
      <c r="CE15" s="59">
        <f t="shared" si="40"/>
        <v>264.17357326498581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2.1</v>
      </c>
      <c r="N16" s="13">
        <f>IF('Données projet'!$A$36&gt;35,N15+M16-V15,IF(A16&lt;'Données projet'!$A$36,$K$205^A16,IF(A16='Données projet'!$A$36,'Données projet'!$B$36,N15+M16-V15)))</f>
        <v>11.35303662145153</v>
      </c>
      <c r="O16" s="13">
        <f>N16*VLOOKUP('Données projet'!$B$9,Paramètres!$A$1:$I$89,3,0)*VLOOKUP('Données projet'!$B$9,Paramètres!$A$1:$I$89,5,0)</f>
        <v>10.272227535089344</v>
      </c>
      <c r="P16" s="13">
        <f t="shared" si="33"/>
        <v>3.6095987912522753</v>
      </c>
      <c r="Q16" s="20">
        <f t="shared" si="2"/>
        <v>24.177514185044988</v>
      </c>
      <c r="R16" s="59">
        <f t="shared" si="0"/>
        <v>296.73306974060051</v>
      </c>
      <c r="S16" s="59">
        <f ca="1">AVERAGE(OFFSET($R$3,0,0,'Données projet'!$E$9+1,1))-AVERAGE(OFFSET($H$3,0,0,'Données projet'!$E$9+1,1))</f>
        <v>346.35147716792028</v>
      </c>
      <c r="T16" s="59">
        <f t="shared" si="34"/>
        <v>231.36959598460686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2.1</v>
      </c>
      <c r="AI16" s="13">
        <f>IF('Données projet'!$A$62&gt;35,AI15+AH16-AQ15,IF(A16&lt;'Données projet'!$A$62,$AF$205^A16,IF(A16='Données projet'!$A$62,'Données projet'!$B$62,AI15+AH16-AQ15)))</f>
        <v>11.35303662145153</v>
      </c>
      <c r="AJ16" s="13">
        <f>AI16*VLOOKUP('Données projet'!$B$10,Paramètres!$A$1:$I$89,3,0)*VLOOKUP('Données projet'!$B$10,Paramètres!$A$1:$I$89,5,0)</f>
        <v>10.272227535089344</v>
      </c>
      <c r="AK16" s="13">
        <f t="shared" si="35"/>
        <v>3.6095987912522753</v>
      </c>
      <c r="AL16" s="20">
        <f t="shared" si="4"/>
        <v>24.177514185044988</v>
      </c>
      <c r="AM16" s="59">
        <f t="shared" si="5"/>
        <v>296.73306974060051</v>
      </c>
      <c r="AN16" s="59">
        <f ca="1">AVERAGE(OFFSET($AM$3,0,0,'Données projet'!$E$10+1,1))-AVERAGE(OFFSET($H$3,0,0,'Données projet'!$E$10+1,1))</f>
        <v>346.35147716792028</v>
      </c>
      <c r="AO16" s="59">
        <f t="shared" si="36"/>
        <v>231.36959598460686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7.4312217194570129</v>
      </c>
      <c r="BD16" s="12">
        <f>IF('Données projet'!$A$88&gt;35,BD15+BC16-BL15,IF(A16&lt;'Données projet'!$A$88,$BA$205^A16,IF(A16='Données projet'!$A$88,'Données projet'!$B$88,BD15+BC16-BL15)))</f>
        <v>40.460980378841768</v>
      </c>
      <c r="BE16" s="13">
        <f>BD16*VLOOKUP('Données projet'!$B$11,Paramètres!$A$1:$I$89,3,0)*VLOOKUP('Données projet'!$B$11,Paramètres!$A$1:$I$89,5,0)</f>
        <v>24.195666266547377</v>
      </c>
      <c r="BF16" s="13">
        <f t="shared" si="37"/>
        <v>7.6952475537219458</v>
      </c>
      <c r="BG16" s="20">
        <f t="shared" si="7"/>
        <v>55.543341570302402</v>
      </c>
      <c r="BH16" s="59">
        <f t="shared" si="8"/>
        <v>328.09889712585795</v>
      </c>
      <c r="BI16" s="59">
        <f ca="1">AVERAGE(OFFSET($BH$3,0,0,'Données projet'!$E$11+1,1))-AVERAGE(OFFSET($H$3,0,0,'Données projet'!$E$11+1,1))</f>
        <v>257.80952690600492</v>
      </c>
      <c r="BJ16" s="59">
        <f t="shared" si="38"/>
        <v>269.95358755269427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3.56</v>
      </c>
      <c r="BY16" s="12">
        <f>IF('Données projet'!$A$114&gt;35,BY15+BX16-CG15,IF(A16&lt;'Données projet'!$A$114,$BV$205^A16,IF(A16='Données projet'!$A$114,'Données projet'!$B$114,BY15+BX16-CG15)))</f>
        <v>10.320073811043248</v>
      </c>
      <c r="BZ16" s="13">
        <f>BY16*VLOOKUP('Données projet'!$B$12,Paramètres!$A$1:$I$89,3,0)*VLOOKUP('Données projet'!$B$12,Paramètres!$A$1:$I$89,5,0)</f>
        <v>8.049657572613734</v>
      </c>
      <c r="CA16" s="13">
        <f t="shared" si="39"/>
        <v>2.9100267483017022</v>
      </c>
      <c r="CB16" s="20">
        <f t="shared" si="10"/>
        <v>19.088116858927716</v>
      </c>
      <c r="CC16" s="59">
        <f t="shared" si="11"/>
        <v>291.64367241448326</v>
      </c>
      <c r="CD16" s="59">
        <f ca="1">AVERAGE(OFFSET($CC$3,0,0,'Données projet'!$E$12+1,1))-AVERAGE(OFFSET($H$3,0,0,'Données projet'!$E$12+1,1))</f>
        <v>286.5685205631126</v>
      </c>
      <c r="CE16" s="59">
        <f t="shared" si="40"/>
        <v>264.17357326498581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2.1</v>
      </c>
      <c r="N17" s="13">
        <f>IF('Données projet'!$A$36&gt;35,N16+M17-V16,IF(A17&lt;'Données projet'!$A$36,$K$205^A17,IF(A17='Données projet'!$A$36,'Données projet'!$B$36,N16+M17-V16)))</f>
        <v>13.685935953338433</v>
      </c>
      <c r="O17" s="13">
        <f>N17*VLOOKUP('Données projet'!$B$9,Paramètres!$A$1:$I$89,3,0)*VLOOKUP('Données projet'!$B$9,Paramètres!$A$1:$I$89,5,0)</f>
        <v>12.383034850580612</v>
      </c>
      <c r="P17" s="13">
        <f t="shared" si="33"/>
        <v>4.2576904771143838</v>
      </c>
      <c r="Q17" s="20">
        <f t="shared" si="2"/>
        <v>28.982596612402116</v>
      </c>
      <c r="R17" s="59">
        <f t="shared" si="0"/>
        <v>302.76037439017989</v>
      </c>
      <c r="S17" s="59">
        <f ca="1">AVERAGE(OFFSET($R$3,0,0,'Données projet'!$E$9+1,1))-AVERAGE(OFFSET($H$3,0,0,'Données projet'!$E$9+1,1))</f>
        <v>346.35147716792028</v>
      </c>
      <c r="T17" s="59">
        <f t="shared" si="34"/>
        <v>231.36959598460686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2.1</v>
      </c>
      <c r="AI17" s="13">
        <f>IF('Données projet'!$A$62&gt;35,AI16+AH17-AQ16,IF(A17&lt;'Données projet'!$A$62,$AF$205^A17,IF(A17='Données projet'!$A$62,'Données projet'!$B$62,AI16+AH17-AQ16)))</f>
        <v>13.685935953338433</v>
      </c>
      <c r="AJ17" s="13">
        <f>AI17*VLOOKUP('Données projet'!$B$10,Paramètres!$A$1:$I$89,3,0)*VLOOKUP('Données projet'!$B$10,Paramètres!$A$1:$I$89,5,0)</f>
        <v>12.383034850580612</v>
      </c>
      <c r="AK17" s="13">
        <f t="shared" si="35"/>
        <v>4.2576904771143838</v>
      </c>
      <c r="AL17" s="20">
        <f t="shared" si="4"/>
        <v>28.982596612402116</v>
      </c>
      <c r="AM17" s="59">
        <f t="shared" si="5"/>
        <v>302.76037439017989</v>
      </c>
      <c r="AN17" s="59">
        <f ca="1">AVERAGE(OFFSET($AM$3,0,0,'Données projet'!$E$10+1,1))-AVERAGE(OFFSET($H$3,0,0,'Données projet'!$E$10+1,1))</f>
        <v>346.35147716792028</v>
      </c>
      <c r="AO17" s="59">
        <f t="shared" si="36"/>
        <v>231.36959598460686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7.4312217194570129</v>
      </c>
      <c r="BD17" s="12">
        <f>IF('Données projet'!$A$88&gt;35,BD16+BC17-BL16,IF(A17&lt;'Données projet'!$A$88,$BA$205^A17,IF(A17='Données projet'!$A$88,'Données projet'!$B$88,BD16+BC17-BL16)))</f>
        <v>53.784184291233551</v>
      </c>
      <c r="BE17" s="13">
        <f>BD17*VLOOKUP('Données projet'!$B$11,Paramètres!$A$1:$I$89,3,0)*VLOOKUP('Données projet'!$B$11,Paramètres!$A$1:$I$89,5,0)</f>
        <v>32.162942206157666</v>
      </c>
      <c r="BF17" s="13">
        <f t="shared" si="37"/>
        <v>9.8958162734145461</v>
      </c>
      <c r="BG17" s="20">
        <f t="shared" si="7"/>
        <v>73.252337685254929</v>
      </c>
      <c r="BH17" s="59">
        <f t="shared" si="8"/>
        <v>347.0301154630327</v>
      </c>
      <c r="BI17" s="59">
        <f ca="1">AVERAGE(OFFSET($BH$3,0,0,'Données projet'!$E$11+1,1))-AVERAGE(OFFSET($H$3,0,0,'Données projet'!$E$11+1,1))</f>
        <v>257.80952690600492</v>
      </c>
      <c r="BJ17" s="59">
        <f t="shared" si="38"/>
        <v>269.95358755269427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3.56</v>
      </c>
      <c r="BY17" s="12">
        <f>IF('Données projet'!$A$114&gt;35,BY16+BX17-CG16,IF(A17&lt;'Données projet'!$A$114,$BV$205^A17,IF(A17='Données projet'!$A$114,'Données projet'!$B$114,BY16+BX17-CG16)))</f>
        <v>12.349756756499216</v>
      </c>
      <c r="BZ17" s="13">
        <f>BY17*VLOOKUP('Données projet'!$B$12,Paramètres!$A$1:$I$89,3,0)*VLOOKUP('Données projet'!$B$12,Paramètres!$A$1:$I$89,5,0)</f>
        <v>9.6328102700693883</v>
      </c>
      <c r="CA17" s="13">
        <f t="shared" si="39"/>
        <v>3.4103285541655652</v>
      </c>
      <c r="CB17" s="20">
        <f t="shared" si="10"/>
        <v>22.716800118875877</v>
      </c>
      <c r="CC17" s="59">
        <f t="shared" si="11"/>
        <v>296.49457789665365</v>
      </c>
      <c r="CD17" s="59">
        <f ca="1">AVERAGE(OFFSET($CC$3,0,0,'Données projet'!$E$12+1,1))-AVERAGE(OFFSET($H$3,0,0,'Données projet'!$E$12+1,1))</f>
        <v>286.5685205631126</v>
      </c>
      <c r="CE17" s="59">
        <f t="shared" si="40"/>
        <v>264.17357326498581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2.1</v>
      </c>
      <c r="N18" s="13">
        <f>IF('Données projet'!$A$36&gt;35,N17+M18-V17,IF(A18&lt;'Données projet'!$A$36,$K$205^A18,IF(A18='Données projet'!$A$36,'Données projet'!$B$36,N17+M18-V17)))</f>
        <v>16.498215337821566</v>
      </c>
      <c r="O18" s="13">
        <f>N18*VLOOKUP('Données projet'!$B$9,Paramètres!$A$1:$I$89,3,0)*VLOOKUP('Données projet'!$B$9,Paramètres!$A$1:$I$89,5,0)</f>
        <v>14.927585237660953</v>
      </c>
      <c r="P18" s="13">
        <f t="shared" si="33"/>
        <v>5.0221449106318534</v>
      </c>
      <c r="Q18" s="20">
        <f t="shared" si="2"/>
        <v>34.745780008276633</v>
      </c>
      <c r="R18" s="59">
        <f t="shared" si="0"/>
        <v>309.74578000827665</v>
      </c>
      <c r="S18" s="59">
        <f ca="1">AVERAGE(OFFSET($R$3,0,0,'Données projet'!$E$9+1,1))-AVERAGE(OFFSET($H$3,0,0,'Données projet'!$E$9+1,1))</f>
        <v>346.35147716792028</v>
      </c>
      <c r="T18" s="59">
        <f t="shared" si="34"/>
        <v>231.36959598460686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2.1</v>
      </c>
      <c r="AI18" s="13">
        <f>IF('Données projet'!$A$62&gt;35,AI17+AH18-AQ17,IF(A18&lt;'Données projet'!$A$62,$AF$205^A18,IF(A18='Données projet'!$A$62,'Données projet'!$B$62,AI17+AH18-AQ17)))</f>
        <v>16.498215337821566</v>
      </c>
      <c r="AJ18" s="13">
        <f>AI18*VLOOKUP('Données projet'!$B$10,Paramètres!$A$1:$I$89,3,0)*VLOOKUP('Données projet'!$B$10,Paramètres!$A$1:$I$89,5,0)</f>
        <v>14.927585237660953</v>
      </c>
      <c r="AK18" s="13">
        <f t="shared" si="35"/>
        <v>5.0221449106318534</v>
      </c>
      <c r="AL18" s="20">
        <f t="shared" si="4"/>
        <v>34.745780008276633</v>
      </c>
      <c r="AM18" s="59">
        <f t="shared" si="5"/>
        <v>309.74578000827665</v>
      </c>
      <c r="AN18" s="59">
        <f ca="1">AVERAGE(OFFSET($AM$3,0,0,'Données projet'!$E$10+1,1))-AVERAGE(OFFSET($H$3,0,0,'Données projet'!$E$10+1,1))</f>
        <v>346.35147716792028</v>
      </c>
      <c r="AO18" s="59">
        <f t="shared" si="36"/>
        <v>231.36959598460686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7.4312217194570129</v>
      </c>
      <c r="BD18" s="12">
        <f>IF('Données projet'!$A$88&gt;35,BD17+BC18-BL17,IF(A18&lt;'Données projet'!$A$88,$BA$205^A18,IF(A18='Données projet'!$A$88,'Données projet'!$B$88,BD17+BC18-BL17)))</f>
        <v>71.494522692931866</v>
      </c>
      <c r="BE18" s="13">
        <f>BD18*VLOOKUP('Données projet'!$B$11,Paramètres!$A$1:$I$89,3,0)*VLOOKUP('Données projet'!$B$11,Paramètres!$A$1:$I$89,5,0)</f>
        <v>42.753724570373258</v>
      </c>
      <c r="BF18" s="13">
        <f t="shared" si="37"/>
        <v>12.725669841487028</v>
      </c>
      <c r="BG18" s="20">
        <f t="shared" si="7"/>
        <v>96.626611933989992</v>
      </c>
      <c r="BH18" s="59">
        <f t="shared" si="8"/>
        <v>371.62661193398998</v>
      </c>
      <c r="BI18" s="59">
        <f ca="1">AVERAGE(OFFSET($BH$3,0,0,'Données projet'!$E$11+1,1))-AVERAGE(OFFSET($H$3,0,0,'Données projet'!$E$11+1,1))</f>
        <v>257.80952690600492</v>
      </c>
      <c r="BJ18" s="59">
        <f t="shared" si="38"/>
        <v>269.95358755269427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3.56</v>
      </c>
      <c r="BY18" s="12">
        <f>IF('Données projet'!$A$114&gt;35,BY17+BX18-CG17,IF(A18&lt;'Données projet'!$A$114,$BV$205^A18,IF(A18='Données projet'!$A$114,'Données projet'!$B$114,BY17+BX18-CG17)))</f>
        <v>14.778624139441142</v>
      </c>
      <c r="BZ18" s="13">
        <f>BY18*VLOOKUP('Données projet'!$B$12,Paramètres!$A$1:$I$89,3,0)*VLOOKUP('Données projet'!$B$12,Paramètres!$A$1:$I$89,5,0)</f>
        <v>11.527326828764091</v>
      </c>
      <c r="CA18" s="13">
        <f t="shared" si="39"/>
        <v>3.9966439669822584</v>
      </c>
      <c r="CB18" s="20">
        <f t="shared" si="10"/>
        <v>27.037582469258226</v>
      </c>
      <c r="CC18" s="59">
        <f t="shared" si="11"/>
        <v>302.03758246925821</v>
      </c>
      <c r="CD18" s="59">
        <f ca="1">AVERAGE(OFFSET($CC$3,0,0,'Données projet'!$E$12+1,1))-AVERAGE(OFFSET($H$3,0,0,'Données projet'!$E$12+1,1))</f>
        <v>286.5685205631126</v>
      </c>
      <c r="CE18" s="59">
        <f t="shared" si="40"/>
        <v>264.17357326498581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2.1</v>
      </c>
      <c r="N19" s="13">
        <f>IF('Données projet'!$A$36&gt;35,N18+M19-V18,IF(A19&lt;'Données projet'!$A$36,$K$205^A19,IF(A19='Données projet'!$A$36,'Données projet'!$B$36,N18+M19-V18)))</f>
        <v>19.888381054913147</v>
      </c>
      <c r="O19" s="13">
        <f>N19*VLOOKUP('Données projet'!$B$9,Paramètres!$A$1:$I$89,3,0)*VLOOKUP('Données projet'!$B$9,Paramètres!$A$1:$I$89,5,0)</f>
        <v>17.995007178485412</v>
      </c>
      <c r="P19" s="13">
        <f t="shared" si="33"/>
        <v>5.9238546434872337</v>
      </c>
      <c r="Q19" s="20">
        <f t="shared" si="2"/>
        <v>41.658684339935689</v>
      </c>
      <c r="R19" s="59">
        <f t="shared" si="0"/>
        <v>317.88090656215792</v>
      </c>
      <c r="S19" s="59">
        <f ca="1">AVERAGE(OFFSET($R$3,0,0,'Données projet'!$E$9+1,1))-AVERAGE(OFFSET($H$3,0,0,'Données projet'!$E$9+1,1))</f>
        <v>346.35147716792028</v>
      </c>
      <c r="T19" s="59">
        <f t="shared" si="34"/>
        <v>231.36959598460686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2.1</v>
      </c>
      <c r="AI19" s="13">
        <f>IF('Données projet'!$A$62&gt;35,AI18+AH19-AQ18,IF(A19&lt;'Données projet'!$A$62,$AF$205^A19,IF(A19='Données projet'!$A$62,'Données projet'!$B$62,AI18+AH19-AQ18)))</f>
        <v>19.888381054913147</v>
      </c>
      <c r="AJ19" s="13">
        <f>AI19*VLOOKUP('Données projet'!$B$10,Paramètres!$A$1:$I$89,3,0)*VLOOKUP('Données projet'!$B$10,Paramètres!$A$1:$I$89,5,0)</f>
        <v>17.995007178485412</v>
      </c>
      <c r="AK19" s="13">
        <f t="shared" si="35"/>
        <v>5.9238546434872337</v>
      </c>
      <c r="AL19" s="20">
        <f t="shared" si="4"/>
        <v>41.658684339935689</v>
      </c>
      <c r="AM19" s="59">
        <f t="shared" si="5"/>
        <v>317.88090656215792</v>
      </c>
      <c r="AN19" s="59">
        <f ca="1">AVERAGE(OFFSET($AM$3,0,0,'Données projet'!$E$10+1,1))-AVERAGE(OFFSET($H$3,0,0,'Données projet'!$E$10+1,1))</f>
        <v>346.35147716792028</v>
      </c>
      <c r="AO19" s="59">
        <f t="shared" si="36"/>
        <v>231.36959598460686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7.4312217194570129</v>
      </c>
      <c r="BD19" s="12">
        <f>IF('Données projet'!$A$88&gt;35,BD18+BC19-BL18,IF(A19&lt;'Données projet'!$A$88,$BA$205^A19,IF(A19='Données projet'!$A$88,'Données projet'!$B$88,BD18+BC19-BL18)))</f>
        <v>95.036614247271999</v>
      </c>
      <c r="BE19" s="13">
        <f>BD19*VLOOKUP('Données projet'!$B$11,Paramètres!$A$1:$I$89,3,0)*VLOOKUP('Données projet'!$B$11,Paramètres!$A$1:$I$89,5,0)</f>
        <v>56.831895319868664</v>
      </c>
      <c r="BF19" s="13">
        <f t="shared" si="37"/>
        <v>16.364761474967661</v>
      </c>
      <c r="BG19" s="20">
        <f t="shared" si="7"/>
        <v>127.4841772510066</v>
      </c>
      <c r="BH19" s="59">
        <f t="shared" si="8"/>
        <v>403.70639947322883</v>
      </c>
      <c r="BI19" s="59">
        <f ca="1">AVERAGE(OFFSET($BH$3,0,0,'Données projet'!$E$11+1,1))-AVERAGE(OFFSET($H$3,0,0,'Données projet'!$E$11+1,1))</f>
        <v>257.80952690600492</v>
      </c>
      <c r="BJ19" s="59">
        <f t="shared" si="38"/>
        <v>269.95358755269427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3.56</v>
      </c>
      <c r="BY19" s="12">
        <f>IF('Données projet'!$A$114&gt;35,BY18+BX19-CG18,IF(A19&lt;'Données projet'!$A$114,$BV$205^A19,IF(A19='Données projet'!$A$114,'Données projet'!$B$114,BY18+BX19-CG18)))</f>
        <v>17.68518487944571</v>
      </c>
      <c r="BZ19" s="13">
        <f>BY19*VLOOKUP('Données projet'!$B$12,Paramètres!$A$1:$I$89,3,0)*VLOOKUP('Données projet'!$B$12,Paramètres!$A$1:$I$89,5,0)</f>
        <v>13.794444205967654</v>
      </c>
      <c r="CA19" s="13">
        <f t="shared" si="39"/>
        <v>4.6837607418514473</v>
      </c>
      <c r="CB19" s="20">
        <f t="shared" si="10"/>
        <v>32.182873617451598</v>
      </c>
      <c r="CC19" s="59">
        <f t="shared" si="11"/>
        <v>308.40509583967383</v>
      </c>
      <c r="CD19" s="59">
        <f ca="1">AVERAGE(OFFSET($CC$3,0,0,'Données projet'!$E$12+1,1))-AVERAGE(OFFSET($H$3,0,0,'Données projet'!$E$12+1,1))</f>
        <v>286.5685205631126</v>
      </c>
      <c r="CE19" s="59">
        <f t="shared" si="40"/>
        <v>264.17357326498581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2.1</v>
      </c>
      <c r="N20" s="13">
        <f>IF('Données projet'!$A$36&gt;35,N19+M20-V19,IF(A20&lt;'Données projet'!$A$36,$K$205^A20,IF(A20='Données projet'!$A$36,'Données projet'!$B$36,N19+M20-V19)))</f>
        <v>23.975181126327602</v>
      </c>
      <c r="O20" s="13">
        <f>N20*VLOOKUP('Données projet'!$B$9,Paramètres!$A$1:$I$89,3,0)*VLOOKUP('Données projet'!$B$9,Paramètres!$A$1:$I$89,5,0)</f>
        <v>21.692743883101215</v>
      </c>
      <c r="P20" s="13">
        <f t="shared" si="33"/>
        <v>6.98746341685115</v>
      </c>
      <c r="Q20" s="20">
        <f t="shared" si="2"/>
        <v>49.951361047417038</v>
      </c>
      <c r="R20" s="59">
        <f t="shared" si="0"/>
        <v>327.39580549186149</v>
      </c>
      <c r="S20" s="59">
        <f ca="1">AVERAGE(OFFSET($R$3,0,0,'Données projet'!$E$9+1,1))-AVERAGE(OFFSET($H$3,0,0,'Données projet'!$E$9+1,1))</f>
        <v>346.35147716792028</v>
      </c>
      <c r="T20" s="59">
        <f t="shared" si="34"/>
        <v>231.36959598460686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2.1</v>
      </c>
      <c r="AI20" s="13">
        <f>IF('Données projet'!$A$62&gt;35,AI19+AH20-AQ19,IF(A20&lt;'Données projet'!$A$62,$AF$205^A20,IF(A20='Données projet'!$A$62,'Données projet'!$B$62,AI19+AH20-AQ19)))</f>
        <v>23.975181126327602</v>
      </c>
      <c r="AJ20" s="13">
        <f>AI20*VLOOKUP('Données projet'!$B$10,Paramètres!$A$1:$I$89,3,0)*VLOOKUP('Données projet'!$B$10,Paramètres!$A$1:$I$89,5,0)</f>
        <v>21.692743883101215</v>
      </c>
      <c r="AK20" s="13">
        <f t="shared" si="35"/>
        <v>6.98746341685115</v>
      </c>
      <c r="AL20" s="20">
        <f t="shared" si="4"/>
        <v>49.951361047417038</v>
      </c>
      <c r="AM20" s="59">
        <f t="shared" si="5"/>
        <v>327.39580549186149</v>
      </c>
      <c r="AN20" s="59">
        <f ca="1">AVERAGE(OFFSET($AM$3,0,0,'Données projet'!$E$10+1,1))-AVERAGE(OFFSET($H$3,0,0,'Données projet'!$E$10+1,1))</f>
        <v>346.35147716792028</v>
      </c>
      <c r="AO20" s="59">
        <f t="shared" si="36"/>
        <v>231.36959598460686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>
        <f>VLOOKUP(A20,'Données projet'!$A$87:$I$107,2,0)</f>
        <v>126.33076923076922</v>
      </c>
      <c r="BB20" s="12">
        <f>VLOOKUP(A20,'Données projet'!$A$87:$I$107,9,0)</f>
        <v>7.4312217194570129</v>
      </c>
      <c r="BC20" s="12">
        <f t="array" ref="BC20">INDEX(BB:BB,MIN(IF(ISNUMBER(BB20:BB216),ROW(BB20:BB216),"")))</f>
        <v>7.4312217194570129</v>
      </c>
      <c r="BD20" s="12">
        <f>IF('Données projet'!$A$88&gt;35,BD19+BC20-BL19,IF(A20&lt;'Données projet'!$A$88,$BA$205^A20,IF(A20='Données projet'!$A$88,'Données projet'!$B$88,BD19+BC20-BL19)))</f>
        <v>126.33076923076922</v>
      </c>
      <c r="BE20" s="13">
        <f>BD20*VLOOKUP('Données projet'!$B$11,Paramètres!$A$1:$I$89,3,0)*VLOOKUP('Données projet'!$B$11,Paramètres!$A$1:$I$89,5,0)</f>
        <v>75.5458</v>
      </c>
      <c r="BF20" s="13">
        <f t="shared" si="37"/>
        <v>21.044504648353485</v>
      </c>
      <c r="BG20" s="20">
        <f t="shared" si="7"/>
        <v>168.22811392921565</v>
      </c>
      <c r="BH20" s="59">
        <f t="shared" si="8"/>
        <v>445.67255837366008</v>
      </c>
      <c r="BI20" s="59">
        <f ca="1">AVERAGE(OFFSET($BH$3,0,0,'Données projet'!$E$11+1,1))-AVERAGE(OFFSET($H$3,0,0,'Données projet'!$E$11+1,1))</f>
        <v>257.80952690600492</v>
      </c>
      <c r="BJ20" s="59">
        <f t="shared" si="38"/>
        <v>269.95358755269427</v>
      </c>
      <c r="BK20" s="15">
        <f>IF(ISNA(VLOOKUP(A20,'Données projet'!$A$87:$I$107,3,0)),0,VLOOKUP(A20,'Données projet'!$A$87:$I$107,3,0))</f>
        <v>1</v>
      </c>
      <c r="BL20" s="15">
        <f>IF(ISNA(VLOOKUP(A20,'Données projet'!$A$87:$I$107,4,0)),0,VLOOKUP(A20,'Données projet'!$A$87:$I$107,4,0))</f>
        <v>42.084615384615383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0.22500000000000001</v>
      </c>
      <c r="BO20" s="16">
        <f>IF(ISNA(VLOOKUP(A20,'Données projet'!$A$87:$I$107,7,0)),0%,VLOOKUP(A20,'Données projet'!$A$87:$I$107,7,0))</f>
        <v>0.5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7.4820750970079999</v>
      </c>
      <c r="BR20" s="21">
        <f>EXP(-LN(2)/2)*BR19+(1-EXP(-LN(2)/2))/(LN(2)/2)*BL20*BO20*VLOOKUP('Données projet'!$B$11,Paramètres!$A$1:$I$89,3,0)*0.475*44/12</f>
        <v>14.247218669464779</v>
      </c>
      <c r="BS20" s="22">
        <f t="shared" si="9"/>
        <v>21.729293766472779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3.56</v>
      </c>
      <c r="BY20" s="12">
        <f>IF('Données projet'!$A$114&gt;35,BY19+BX20-CG19,IF(A20&lt;'Données projet'!$A$114,$BV$205^A20,IF(A20='Données projet'!$A$114,'Données projet'!$B$114,BY19+BX20-CG19)))</f>
        <v>21.163388504175224</v>
      </c>
      <c r="BZ20" s="13">
        <f>BY20*VLOOKUP('Données projet'!$B$12,Paramètres!$A$1:$I$89,3,0)*VLOOKUP('Données projet'!$B$12,Paramètres!$A$1:$I$89,5,0)</f>
        <v>16.507443033256674</v>
      </c>
      <c r="CA20" s="13">
        <f t="shared" si="39"/>
        <v>5.4890089955831698</v>
      </c>
      <c r="CB20" s="20">
        <f t="shared" si="10"/>
        <v>38.310487283562729</v>
      </c>
      <c r="CC20" s="59">
        <f t="shared" si="11"/>
        <v>315.75493172800719</v>
      </c>
      <c r="CD20" s="59">
        <f ca="1">AVERAGE(OFFSET($CC$3,0,0,'Données projet'!$E$12+1,1))-AVERAGE(OFFSET($H$3,0,0,'Données projet'!$E$12+1,1))</f>
        <v>286.5685205631126</v>
      </c>
      <c r="CE20" s="59">
        <f t="shared" si="40"/>
        <v>264.17357326498581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2.1</v>
      </c>
      <c r="N21" s="13">
        <f>IF('Données projet'!$A$36&gt;35,N20+M21-V20,IF(A21&lt;'Données projet'!$A$36,$K$205^A21,IF(A21='Données projet'!$A$36,'Données projet'!$B$36,N20+M21-V20)))</f>
        <v>28.901764726506816</v>
      </c>
      <c r="O21" s="13">
        <f>N21*VLOOKUP('Données projet'!$B$9,Paramètres!$A$1:$I$89,3,0)*VLOOKUP('Données projet'!$B$9,Paramètres!$A$1:$I$89,5,0)</f>
        <v>26.150316724543362</v>
      </c>
      <c r="P21" s="13">
        <f t="shared" si="33"/>
        <v>8.2420396752158016</v>
      </c>
      <c r="Q21" s="20">
        <f t="shared" si="2"/>
        <v>59.900020729580547</v>
      </c>
      <c r="R21" s="59">
        <f t="shared" si="0"/>
        <v>338.56668739624723</v>
      </c>
      <c r="S21" s="59">
        <f ca="1">AVERAGE(OFFSET($R$3,0,0,'Données projet'!$E$9+1,1))-AVERAGE(OFFSET($H$3,0,0,'Données projet'!$E$9+1,1))</f>
        <v>346.35147716792028</v>
      </c>
      <c r="T21" s="59">
        <f t="shared" si="34"/>
        <v>231.36959598460686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2.1</v>
      </c>
      <c r="AI21" s="13">
        <f>IF('Données projet'!$A$62&gt;35,AI20+AH21-AQ20,IF(A21&lt;'Données projet'!$A$62,$AF$205^A21,IF(A21='Données projet'!$A$62,'Données projet'!$B$62,AI20+AH21-AQ20)))</f>
        <v>28.901764726506816</v>
      </c>
      <c r="AJ21" s="13">
        <f>AI21*VLOOKUP('Données projet'!$B$10,Paramètres!$A$1:$I$89,3,0)*VLOOKUP('Données projet'!$B$10,Paramètres!$A$1:$I$89,5,0)</f>
        <v>26.150316724543362</v>
      </c>
      <c r="AK21" s="13">
        <f t="shared" si="35"/>
        <v>8.2420396752158016</v>
      </c>
      <c r="AL21" s="20">
        <f t="shared" si="4"/>
        <v>59.900020729580547</v>
      </c>
      <c r="AM21" s="59">
        <f t="shared" si="5"/>
        <v>338.56668739624723</v>
      </c>
      <c r="AN21" s="59">
        <f ca="1">AVERAGE(OFFSET($AM$3,0,0,'Données projet'!$E$10+1,1))-AVERAGE(OFFSET($H$3,0,0,'Données projet'!$E$10+1,1))</f>
        <v>346.35147716792028</v>
      </c>
      <c r="AO21" s="59">
        <f t="shared" si="36"/>
        <v>231.36959598460686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14.926923076923075</v>
      </c>
      <c r="BD21" s="12">
        <f>IF('Données projet'!$A$88&gt;35,BD20+BC21-BL20,IF(A21&lt;'Données projet'!$A$88,$BA$205^A21,IF(A21='Données projet'!$A$88,'Données projet'!$B$88,BD20+BC21-BL20)))</f>
        <v>99.173076923076934</v>
      </c>
      <c r="BE21" s="13">
        <f>BD21*VLOOKUP('Données projet'!$B$11,Paramètres!$A$1:$I$89,3,0)*VLOOKUP('Données projet'!$B$11,Paramètres!$A$1:$I$89,5,0)</f>
        <v>59.305500000000016</v>
      </c>
      <c r="BF21" s="13">
        <f t="shared" si="37"/>
        <v>16.992558820122873</v>
      </c>
      <c r="BG21" s="20">
        <f t="shared" si="7"/>
        <v>132.88578577838067</v>
      </c>
      <c r="BH21" s="59">
        <f t="shared" si="8"/>
        <v>411.55245244504738</v>
      </c>
      <c r="BI21" s="59">
        <f ca="1">AVERAGE(OFFSET($BH$3,0,0,'Données projet'!$E$11+1,1))-AVERAGE(OFFSET($H$3,0,0,'Données projet'!$E$11+1,1))</f>
        <v>257.80952690600492</v>
      </c>
      <c r="BJ21" s="59">
        <f t="shared" si="38"/>
        <v>269.95358755269427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7.2774773600150873</v>
      </c>
      <c r="BR21" s="21">
        <f>EXP(-LN(2)/2)*BR20+(1-EXP(-LN(2)/2))/(LN(2)/2)*BL21*BO21*VLOOKUP('Données projet'!$B$11,Paramètres!$A$1:$I$89,3,0)*0.475*44/12</f>
        <v>10.074304934226127</v>
      </c>
      <c r="BS21" s="22">
        <f t="shared" si="9"/>
        <v>17.351782294241215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3.56</v>
      </c>
      <c r="BY21" s="12">
        <f>IF('Données projet'!$A$114&gt;35,BY20+BX21-CG20,IF(A21&lt;'Données projet'!$A$114,$BV$205^A21,IF(A21='Données projet'!$A$114,'Données projet'!$B$114,BY20+BX21-CG20)))</f>
        <v>25.325661904683113</v>
      </c>
      <c r="BZ21" s="13">
        <f>BY21*VLOOKUP('Données projet'!$B$12,Paramètres!$A$1:$I$89,3,0)*VLOOKUP('Données projet'!$B$12,Paramètres!$A$1:$I$89,5,0)</f>
        <v>19.754016285652828</v>
      </c>
      <c r="CA21" s="13">
        <f t="shared" si="39"/>
        <v>6.4326982982660121</v>
      </c>
      <c r="CB21" s="20">
        <f t="shared" si="10"/>
        <v>45.608527900325306</v>
      </c>
      <c r="CC21" s="59">
        <f t="shared" si="11"/>
        <v>324.27519456699201</v>
      </c>
      <c r="CD21" s="59">
        <f ca="1">AVERAGE(OFFSET($CC$3,0,0,'Données projet'!$E$12+1,1))-AVERAGE(OFFSET($H$3,0,0,'Données projet'!$E$12+1,1))</f>
        <v>286.5685205631126</v>
      </c>
      <c r="CE21" s="59">
        <f t="shared" si="40"/>
        <v>264.17357326498581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2.1</v>
      </c>
      <c r="N22" s="13">
        <f>IF('Données projet'!$A$36&gt;35,N21+M22-V21,IF(A22&lt;'Données projet'!$A$36,$K$205^A22,IF(A22='Données projet'!$A$36,'Données projet'!$B$36,N21+M22-V21)))</f>
        <v>34.840696297767764</v>
      </c>
      <c r="O22" s="13">
        <f>N22*VLOOKUP('Données projet'!$B$9,Paramètres!$A$1:$I$89,3,0)*VLOOKUP('Données projet'!$B$9,Paramètres!$A$1:$I$89,5,0)</f>
        <v>31.52386201022027</v>
      </c>
      <c r="P22" s="13">
        <f t="shared" si="33"/>
        <v>9.7218710074397983</v>
      </c>
      <c r="Q22" s="20">
        <f t="shared" si="2"/>
        <v>71.836318339091292</v>
      </c>
      <c r="R22" s="59">
        <f t="shared" si="0"/>
        <v>351.72520722798015</v>
      </c>
      <c r="S22" s="59">
        <f ca="1">AVERAGE(OFFSET($R$3,0,0,'Données projet'!$E$9+1,1))-AVERAGE(OFFSET($H$3,0,0,'Données projet'!$E$9+1,1))</f>
        <v>346.35147716792028</v>
      </c>
      <c r="T22" s="59">
        <f t="shared" si="34"/>
        <v>231.36959598460686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2.1</v>
      </c>
      <c r="AI22" s="13">
        <f>IF('Données projet'!$A$62&gt;35,AI21+AH22-AQ21,IF(A22&lt;'Données projet'!$A$62,$AF$205^A22,IF(A22='Données projet'!$A$62,'Données projet'!$B$62,AI21+AH22-AQ21)))</f>
        <v>34.840696297767764</v>
      </c>
      <c r="AJ22" s="13">
        <f>AI22*VLOOKUP('Données projet'!$B$10,Paramètres!$A$1:$I$89,3,0)*VLOOKUP('Données projet'!$B$10,Paramètres!$A$1:$I$89,5,0)</f>
        <v>31.52386201022027</v>
      </c>
      <c r="AK22" s="13">
        <f t="shared" si="35"/>
        <v>9.7218710074397983</v>
      </c>
      <c r="AL22" s="20">
        <f t="shared" si="4"/>
        <v>71.836318339091292</v>
      </c>
      <c r="AM22" s="59">
        <f t="shared" si="5"/>
        <v>351.72520722798015</v>
      </c>
      <c r="AN22" s="59">
        <f ca="1">AVERAGE(OFFSET($AM$3,0,0,'Données projet'!$E$10+1,1))-AVERAGE(OFFSET($H$3,0,0,'Données projet'!$E$10+1,1))</f>
        <v>346.35147716792028</v>
      </c>
      <c r="AO22" s="59">
        <f t="shared" si="36"/>
        <v>231.36959598460686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14.926923076923075</v>
      </c>
      <c r="BD22" s="12">
        <f>IF('Données projet'!$A$88&gt;35,BD21+BC22-BL21,IF(A22&lt;'Données projet'!$A$88,$BA$205^A22,IF(A22='Données projet'!$A$88,'Données projet'!$B$88,BD21+BC22-BL21)))</f>
        <v>114.10000000000001</v>
      </c>
      <c r="BE22" s="13">
        <f>BD22*VLOOKUP('Données projet'!$B$11,Paramètres!$A$1:$I$89,3,0)*VLOOKUP('Données projet'!$B$11,Paramètres!$A$1:$I$89,5,0)</f>
        <v>68.231800000000007</v>
      </c>
      <c r="BF22" s="13">
        <f t="shared" si="37"/>
        <v>19.233699497264624</v>
      </c>
      <c r="BG22" s="20">
        <f t="shared" si="7"/>
        <v>152.3357449577359</v>
      </c>
      <c r="BH22" s="59">
        <f t="shared" si="8"/>
        <v>432.22463384662478</v>
      </c>
      <c r="BI22" s="59">
        <f ca="1">AVERAGE(OFFSET($BH$3,0,0,'Données projet'!$E$11+1,1))-AVERAGE(OFFSET($H$3,0,0,'Données projet'!$E$11+1,1))</f>
        <v>257.80952690600492</v>
      </c>
      <c r="BJ22" s="59">
        <f t="shared" si="38"/>
        <v>269.95358755269427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7.0784743588995731</v>
      </c>
      <c r="BR22" s="21">
        <f>EXP(-LN(2)/2)*BR21+(1-EXP(-LN(2)/2))/(LN(2)/2)*BL22*BO22*VLOOKUP('Données projet'!$B$11,Paramètres!$A$1:$I$89,3,0)*0.475*44/12</f>
        <v>7.1236093347323903</v>
      </c>
      <c r="BS22" s="22">
        <f t="shared" si="9"/>
        <v>14.202083693631963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3.56</v>
      </c>
      <c r="BY22" s="12">
        <f>IF('Données projet'!$A$114&gt;35,BY21+BX22-CG21,IF(A22&lt;'Données projet'!$A$114,$BV$205^A22,IF(A22='Données projet'!$A$114,'Données projet'!$B$114,BY21+BX22-CG21)))</f>
        <v>30.306543339398647</v>
      </c>
      <c r="BZ22" s="13">
        <f>BY22*VLOOKUP('Données projet'!$B$12,Paramètres!$A$1:$I$89,3,0)*VLOOKUP('Données projet'!$B$12,Paramètres!$A$1:$I$89,5,0)</f>
        <v>23.639103804730947</v>
      </c>
      <c r="CA22" s="13">
        <f t="shared" si="39"/>
        <v>7.5386299111208031</v>
      </c>
      <c r="CB22" s="20">
        <f t="shared" si="10"/>
        <v>54.301219555108467</v>
      </c>
      <c r="CC22" s="59">
        <f t="shared" si="11"/>
        <v>334.1901084439973</v>
      </c>
      <c r="CD22" s="59">
        <f ca="1">AVERAGE(OFFSET($CC$3,0,0,'Données projet'!$E$12+1,1))-AVERAGE(OFFSET($H$3,0,0,'Données projet'!$E$12+1,1))</f>
        <v>286.5685205631126</v>
      </c>
      <c r="CE22" s="59">
        <f t="shared" si="40"/>
        <v>264.17357326498581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42</v>
      </c>
      <c r="L23" s="12">
        <f>VLOOKUP(A23,'Données projet'!$A$35:$I$55,9,0)</f>
        <v>2.1</v>
      </c>
      <c r="M23" s="12">
        <f t="array" ref="M23">INDEX(L:L,MIN(IF(ISNUMBER(L23:L219),ROW(L23:L219),"")))</f>
        <v>2.1</v>
      </c>
      <c r="N23" s="13">
        <f>IF('Données projet'!$A$36&gt;35,N22+M23-V22,IF(A23&lt;'Données projet'!$A$36,$K$205^A23,IF(A23='Données projet'!$A$36,'Données projet'!$B$36,N22+M23-V22)))</f>
        <v>42</v>
      </c>
      <c r="O23" s="13">
        <f>N23*VLOOKUP('Données projet'!$B$9,Paramètres!$A$1:$I$89,3,0)*VLOOKUP('Données projet'!$B$9,Paramètres!$A$1:$I$89,5,0)</f>
        <v>38.001600000000003</v>
      </c>
      <c r="P23" s="13">
        <f t="shared" si="33"/>
        <v>11.467401227090512</v>
      </c>
      <c r="Q23" s="20">
        <f t="shared" si="2"/>
        <v>86.158510470515978</v>
      </c>
      <c r="R23" s="59">
        <f t="shared" si="0"/>
        <v>367.26962158162712</v>
      </c>
      <c r="S23" s="59">
        <f ca="1">AVERAGE(OFFSET($R$3,0,0,'Données projet'!$E$9+1,1))-AVERAGE(OFFSET($H$3,0,0,'Données projet'!$E$9+1,1))</f>
        <v>346.35147716792028</v>
      </c>
      <c r="T23" s="59">
        <f t="shared" si="34"/>
        <v>231.36959598460686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42</v>
      </c>
      <c r="AG23" s="12">
        <f>VLOOKUP(A23,'Données projet'!$A$61:$I$81,9,0)</f>
        <v>2.1</v>
      </c>
      <c r="AH23" s="12">
        <f t="array" ref="AH23">INDEX(AG:AG,MIN(IF(ISNUMBER(AG23:AG219),ROW(AG23:AG219),"")))</f>
        <v>2.1</v>
      </c>
      <c r="AI23" s="13">
        <f>IF('Données projet'!$A$62&gt;35,AI22+AH23-AQ22,IF(A23&lt;'Données projet'!$A$62,$AF$205^A23,IF(A23='Données projet'!$A$62,'Données projet'!$B$62,AI22+AH23-AQ22)))</f>
        <v>42</v>
      </c>
      <c r="AJ23" s="13">
        <f>AI23*VLOOKUP('Données projet'!$B$10,Paramètres!$A$1:$I$89,3,0)*VLOOKUP('Données projet'!$B$10,Paramètres!$A$1:$I$89,5,0)</f>
        <v>38.001600000000003</v>
      </c>
      <c r="AK23" s="13">
        <f t="shared" si="35"/>
        <v>11.467401227090512</v>
      </c>
      <c r="AL23" s="20">
        <f t="shared" si="4"/>
        <v>86.158510470515978</v>
      </c>
      <c r="AM23" s="59">
        <f t="shared" si="5"/>
        <v>367.26962158162712</v>
      </c>
      <c r="AN23" s="59">
        <f ca="1">AVERAGE(OFFSET($AM$3,0,0,'Données projet'!$E$10+1,1))-AVERAGE(OFFSET($H$3,0,0,'Données projet'!$E$10+1,1))</f>
        <v>346.35147716792028</v>
      </c>
      <c r="AO23" s="59">
        <f t="shared" si="36"/>
        <v>231.36959598460686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14.926923076923075</v>
      </c>
      <c r="BD23" s="12">
        <f>IF('Données projet'!$A$88&gt;35,BD22+BC23-BL22,IF(A23&lt;'Données projet'!$A$88,$BA$205^A23,IF(A23='Données projet'!$A$88,'Données projet'!$B$88,BD22+BC23-BL22)))</f>
        <v>129.02692307692308</v>
      </c>
      <c r="BE23" s="13">
        <f>BD23*VLOOKUP('Données projet'!$B$11,Paramètres!$A$1:$I$89,3,0)*VLOOKUP('Données projet'!$B$11,Paramètres!$A$1:$I$89,5,0)</f>
        <v>77.158100000000005</v>
      </c>
      <c r="BF23" s="13">
        <f t="shared" si="37"/>
        <v>21.440868838738705</v>
      </c>
      <c r="BG23" s="20">
        <f t="shared" si="7"/>
        <v>171.72653739413659</v>
      </c>
      <c r="BH23" s="59">
        <f t="shared" si="8"/>
        <v>452.83764850524773</v>
      </c>
      <c r="BI23" s="59">
        <f ca="1">AVERAGE(OFFSET($BH$3,0,0,'Données projet'!$E$11+1,1))-AVERAGE(OFFSET($H$3,0,0,'Données projet'!$E$11+1,1))</f>
        <v>257.80952690600492</v>
      </c>
      <c r="BJ23" s="59">
        <f t="shared" si="38"/>
        <v>269.95358755269427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6.8849131053146762</v>
      </c>
      <c r="BR23" s="21">
        <f>EXP(-LN(2)/2)*BR22+(1-EXP(-LN(2)/2))/(LN(2)/2)*BL23*BO23*VLOOKUP('Données projet'!$B$11,Paramètres!$A$1:$I$89,3,0)*0.475*44/12</f>
        <v>5.0371524671130636</v>
      </c>
      <c r="BS23" s="22">
        <f t="shared" si="9"/>
        <v>11.922065572427741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3.56</v>
      </c>
      <c r="BY23" s="12">
        <f>IF('Données projet'!$A$114&gt;35,BY22+BX23-CG22,IF(A23&lt;'Données projet'!$A$114,$BV$205^A23,IF(A23='Données projet'!$A$114,'Données projet'!$B$114,BY22+BX23-CG22)))</f>
        <v>36.267031149657967</v>
      </c>
      <c r="BZ23" s="13">
        <f>BY23*VLOOKUP('Données projet'!$B$12,Paramètres!$A$1:$I$89,3,0)*VLOOKUP('Données projet'!$B$12,Paramètres!$A$1:$I$89,5,0)</f>
        <v>28.288284296733217</v>
      </c>
      <c r="CA23" s="13">
        <f t="shared" si="39"/>
        <v>8.834697090047662</v>
      </c>
      <c r="CB23" s="20">
        <f t="shared" si="10"/>
        <v>64.655859248643353</v>
      </c>
      <c r="CC23" s="59">
        <f t="shared" si="11"/>
        <v>345.76697035975451</v>
      </c>
      <c r="CD23" s="59">
        <f ca="1">AVERAGE(OFFSET($CC$3,0,0,'Données projet'!$E$12+1,1))-AVERAGE(OFFSET($H$3,0,0,'Données projet'!$E$12+1,1))</f>
        <v>286.5685205631126</v>
      </c>
      <c r="CE23" s="59">
        <f t="shared" si="40"/>
        <v>264.17357326498581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5.6</v>
      </c>
      <c r="N24" s="13">
        <f>IF('Données projet'!$A$36&gt;35,N23+M24-V23,IF(A24&lt;'Données projet'!$A$36,$K$205^A24,IF(A24='Données projet'!$A$36,'Données projet'!$B$36,N23+M24-V23)))</f>
        <v>47.6</v>
      </c>
      <c r="O24" s="13">
        <f>N24*VLOOKUP('Données projet'!$B$9,Paramètres!$A$1:$I$89,3,0)*VLOOKUP('Données projet'!$B$9,Paramètres!$A$1:$I$89,5,0)</f>
        <v>43.068480000000001</v>
      </c>
      <c r="P24" s="13">
        <f t="shared" si="33"/>
        <v>12.808416415102187</v>
      </c>
      <c r="Q24" s="20">
        <f t="shared" si="2"/>
        <v>97.318927922969635</v>
      </c>
      <c r="R24" s="59">
        <f t="shared" si="0"/>
        <v>379.65226125630295</v>
      </c>
      <c r="S24" s="59">
        <f ca="1">AVERAGE(OFFSET($R$3,0,0,'Données projet'!$E$9+1,1))-AVERAGE(OFFSET($H$3,0,0,'Données projet'!$E$9+1,1))</f>
        <v>346.35147716792028</v>
      </c>
      <c r="T24" s="59">
        <f t="shared" si="34"/>
        <v>231.36959598460686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5.6</v>
      </c>
      <c r="AI24" s="13">
        <f>IF('Données projet'!$A$62&gt;35,AI23+AH24-AQ23,IF(A24&lt;'Données projet'!$A$62,$AF$205^A24,IF(A24='Données projet'!$A$62,'Données projet'!$B$62,AI23+AH24-AQ23)))</f>
        <v>47.6</v>
      </c>
      <c r="AJ24" s="13">
        <f>AI24*VLOOKUP('Données projet'!$B$10,Paramètres!$A$1:$I$89,3,0)*VLOOKUP('Données projet'!$B$10,Paramètres!$A$1:$I$89,5,0)</f>
        <v>43.068480000000001</v>
      </c>
      <c r="AK24" s="13">
        <f t="shared" si="35"/>
        <v>12.808416415102187</v>
      </c>
      <c r="AL24" s="20">
        <f t="shared" si="4"/>
        <v>97.318927922969635</v>
      </c>
      <c r="AM24" s="59">
        <f t="shared" si="5"/>
        <v>379.65226125630295</v>
      </c>
      <c r="AN24" s="59">
        <f ca="1">AVERAGE(OFFSET($AM$3,0,0,'Données projet'!$E$10+1,1))-AVERAGE(OFFSET($H$3,0,0,'Données projet'!$E$10+1,1))</f>
        <v>346.35147716792028</v>
      </c>
      <c r="AO24" s="59">
        <f t="shared" si="36"/>
        <v>231.36959598460686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14.926923076923075</v>
      </c>
      <c r="BD24" s="12">
        <f>IF('Données projet'!$A$88&gt;35,BD23+BC24-BL23,IF(A24&lt;'Données projet'!$A$88,$BA$205^A24,IF(A24='Données projet'!$A$88,'Données projet'!$B$88,BD23+BC24-BL23)))</f>
        <v>143.95384615384614</v>
      </c>
      <c r="BE24" s="13">
        <f>BD24*VLOOKUP('Données projet'!$B$11,Paramètres!$A$1:$I$89,3,0)*VLOOKUP('Données projet'!$B$11,Paramètres!$A$1:$I$89,5,0)</f>
        <v>86.084400000000002</v>
      </c>
      <c r="BF24" s="13">
        <f t="shared" si="37"/>
        <v>23.618445758177199</v>
      </c>
      <c r="BG24" s="20">
        <f t="shared" si="7"/>
        <v>191.06578969549196</v>
      </c>
      <c r="BH24" s="59">
        <f t="shared" si="8"/>
        <v>473.39912302882527</v>
      </c>
      <c r="BI24" s="59">
        <f ca="1">AVERAGE(OFFSET($BH$3,0,0,'Données projet'!$E$11+1,1))-AVERAGE(OFFSET($H$3,0,0,'Données projet'!$E$11+1,1))</f>
        <v>257.80952690600492</v>
      </c>
      <c r="BJ24" s="59">
        <f t="shared" si="38"/>
        <v>269.95358755269427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6.6966447943880016</v>
      </c>
      <c r="BR24" s="21">
        <f>EXP(-LN(2)/2)*BR23+(1-EXP(-LN(2)/2))/(LN(2)/2)*BL24*BO24*VLOOKUP('Données projet'!$B$11,Paramètres!$A$1:$I$89,3,0)*0.475*44/12</f>
        <v>3.5618046673661952</v>
      </c>
      <c r="BS24" s="22">
        <f t="shared" si="9"/>
        <v>10.258449461754196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3.56</v>
      </c>
      <c r="BY24" s="12">
        <f>IF('Données projet'!$A$114&gt;35,BY23+BX24-CG23,IF(A24&lt;'Données projet'!$A$114,$BV$205^A24,IF(A24='Données projet'!$A$114,'Données projet'!$B$114,BY23+BX24-CG23)))</f>
        <v>43.399787751457886</v>
      </c>
      <c r="BZ24" s="13">
        <f>BY24*VLOOKUP('Données projet'!$B$12,Paramètres!$A$1:$I$89,3,0)*VLOOKUP('Données projet'!$B$12,Paramètres!$A$1:$I$89,5,0)</f>
        <v>33.851834446137154</v>
      </c>
      <c r="CA24" s="13">
        <f t="shared" si="39"/>
        <v>10.353588595423204</v>
      </c>
      <c r="CB24" s="20">
        <f t="shared" si="10"/>
        <v>76.991111797384278</v>
      </c>
      <c r="CC24" s="59">
        <f t="shared" si="11"/>
        <v>359.32444513071761</v>
      </c>
      <c r="CD24" s="59">
        <f ca="1">AVERAGE(OFFSET($CC$3,0,0,'Données projet'!$E$12+1,1))-AVERAGE(OFFSET($H$3,0,0,'Données projet'!$E$12+1,1))</f>
        <v>286.5685205631126</v>
      </c>
      <c r="CE24" s="59">
        <f t="shared" si="40"/>
        <v>264.17357326498581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5.6</v>
      </c>
      <c r="N25" s="13">
        <f>IF('Données projet'!$A$36&gt;35,N24+M25-V24,IF(A25&lt;'Données projet'!$A$36,$K$205^A25,IF(A25='Données projet'!$A$36,'Données projet'!$B$36,N24+M25-V24)))</f>
        <v>53.2</v>
      </c>
      <c r="O25" s="13">
        <f>N25*VLOOKUP('Données projet'!$B$9,Paramètres!$A$1:$I$89,3,0)*VLOOKUP('Données projet'!$B$9,Paramètres!$A$1:$I$89,5,0)</f>
        <v>48.135359999999999</v>
      </c>
      <c r="P25" s="13">
        <f t="shared" si="33"/>
        <v>14.131148275361113</v>
      </c>
      <c r="Q25" s="20">
        <f t="shared" si="2"/>
        <v>108.4475019129206</v>
      </c>
      <c r="R25" s="59">
        <f t="shared" si="0"/>
        <v>392.00305746847613</v>
      </c>
      <c r="S25" s="59">
        <f ca="1">AVERAGE(OFFSET($R$3,0,0,'Données projet'!$E$9+1,1))-AVERAGE(OFFSET($H$3,0,0,'Données projet'!$E$9+1,1))</f>
        <v>346.35147716792028</v>
      </c>
      <c r="T25" s="59">
        <f t="shared" si="34"/>
        <v>231.36959598460686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5.6</v>
      </c>
      <c r="AI25" s="13">
        <f>IF('Données projet'!$A$62&gt;35,AI24+AH25-AQ24,IF(A25&lt;'Données projet'!$A$62,$AF$205^A25,IF(A25='Données projet'!$A$62,'Données projet'!$B$62,AI24+AH25-AQ24)))</f>
        <v>53.2</v>
      </c>
      <c r="AJ25" s="13">
        <f>AI25*VLOOKUP('Données projet'!$B$10,Paramètres!$A$1:$I$89,3,0)*VLOOKUP('Données projet'!$B$10,Paramètres!$A$1:$I$89,5,0)</f>
        <v>48.135359999999999</v>
      </c>
      <c r="AK25" s="13">
        <f t="shared" si="35"/>
        <v>14.131148275361113</v>
      </c>
      <c r="AL25" s="20">
        <f t="shared" si="4"/>
        <v>108.4475019129206</v>
      </c>
      <c r="AM25" s="59">
        <f t="shared" si="5"/>
        <v>392.00305746847613</v>
      </c>
      <c r="AN25" s="59">
        <f ca="1">AVERAGE(OFFSET($AM$3,0,0,'Données projet'!$E$10+1,1))-AVERAGE(OFFSET($H$3,0,0,'Données projet'!$E$10+1,1))</f>
        <v>346.35147716792028</v>
      </c>
      <c r="AO25" s="59">
        <f t="shared" si="36"/>
        <v>231.36959598460686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14.926923076923075</v>
      </c>
      <c r="BD25" s="12">
        <f>IF('Données projet'!$A$88&gt;35,BD24+BC25-BL24,IF(A25&lt;'Données projet'!$A$88,$BA$205^A25,IF(A25='Données projet'!$A$88,'Données projet'!$B$88,BD24+BC25-BL24)))</f>
        <v>158.8807692307692</v>
      </c>
      <c r="BE25" s="13">
        <f>BD25*VLOOKUP('Données projet'!$B$11,Paramètres!$A$1:$I$89,3,0)*VLOOKUP('Données projet'!$B$11,Paramètres!$A$1:$I$89,5,0)</f>
        <v>95.0107</v>
      </c>
      <c r="BF25" s="13">
        <f t="shared" si="37"/>
        <v>25.769848277327686</v>
      </c>
      <c r="BG25" s="20">
        <f t="shared" si="7"/>
        <v>210.3594549163457</v>
      </c>
      <c r="BH25" s="59">
        <f t="shared" si="8"/>
        <v>493.91501047190127</v>
      </c>
      <c r="BI25" s="59">
        <f ca="1">AVERAGE(OFFSET($BH$3,0,0,'Données projet'!$E$11+1,1))-AVERAGE(OFFSET($H$3,0,0,'Données projet'!$E$11+1,1))</f>
        <v>257.80952690600492</v>
      </c>
      <c r="BJ25" s="59">
        <f t="shared" si="38"/>
        <v>269.95358755269427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6.5135246903242177</v>
      </c>
      <c r="BR25" s="21">
        <f>EXP(-LN(2)/2)*BR24+(1-EXP(-LN(2)/2))/(LN(2)/2)*BL25*BO25*VLOOKUP('Données projet'!$B$11,Paramètres!$A$1:$I$89,3,0)*0.475*44/12</f>
        <v>2.5185762335565318</v>
      </c>
      <c r="BS25" s="22">
        <f t="shared" si="9"/>
        <v>9.0321009238807495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3.56</v>
      </c>
      <c r="BY25" s="12">
        <f>IF('Données projet'!$A$114&gt;35,BY24+BX25-CG24,IF(A25&lt;'Données projet'!$A$114,$BV$205^A25,IF(A25='Données projet'!$A$114,'Données projet'!$B$114,BY24+BX25-CG24)))</f>
        <v>51.935367113427411</v>
      </c>
      <c r="BZ25" s="13">
        <f>BY25*VLOOKUP('Données projet'!$B$12,Paramètres!$A$1:$I$89,3,0)*VLOOKUP('Données projet'!$B$12,Paramètres!$A$1:$I$89,5,0)</f>
        <v>40.509586348473384</v>
      </c>
      <c r="CA25" s="13">
        <f t="shared" si="39"/>
        <v>12.133613151721432</v>
      </c>
      <c r="CB25" s="20">
        <f t="shared" si="10"/>
        <v>91.686905796172638</v>
      </c>
      <c r="CC25" s="59">
        <f t="shared" si="11"/>
        <v>375.2424613517282</v>
      </c>
      <c r="CD25" s="59">
        <f ca="1">AVERAGE(OFFSET($CC$3,0,0,'Données projet'!$E$12+1,1))-AVERAGE(OFFSET($H$3,0,0,'Données projet'!$E$12+1,1))</f>
        <v>286.5685205631126</v>
      </c>
      <c r="CE25" s="59">
        <f t="shared" si="40"/>
        <v>264.17357326498581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5.6</v>
      </c>
      <c r="N26" s="13">
        <f>IF('Données projet'!$A$36&gt;35,N25+M26-V25,IF(A26&lt;'Données projet'!$A$36,$K$205^A26,IF(A26='Données projet'!$A$36,'Données projet'!$B$36,N25+M26-V25)))</f>
        <v>58.800000000000004</v>
      </c>
      <c r="O26" s="13">
        <f>N26*VLOOKUP('Données projet'!$B$9,Paramètres!$A$1:$I$89,3,0)*VLOOKUP('Données projet'!$B$9,Paramètres!$A$1:$I$89,5,0)</f>
        <v>53.202240000000003</v>
      </c>
      <c r="P26" s="13">
        <f t="shared" si="33"/>
        <v>15.437740642425908</v>
      </c>
      <c r="Q26" s="20">
        <f t="shared" si="2"/>
        <v>119.54796628555846</v>
      </c>
      <c r="R26" s="59">
        <f t="shared" si="0"/>
        <v>404.32574406333623</v>
      </c>
      <c r="S26" s="59">
        <f ca="1">AVERAGE(OFFSET($R$3,0,0,'Données projet'!$E$9+1,1))-AVERAGE(OFFSET($H$3,0,0,'Données projet'!$E$9+1,1))</f>
        <v>346.35147716792028</v>
      </c>
      <c r="T26" s="59">
        <f t="shared" si="34"/>
        <v>231.36959598460686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5.6</v>
      </c>
      <c r="AI26" s="13">
        <f>IF('Données projet'!$A$62&gt;35,AI25+AH26-AQ25,IF(A26&lt;'Données projet'!$A$62,$AF$205^A26,IF(A26='Données projet'!$A$62,'Données projet'!$B$62,AI25+AH26-AQ25)))</f>
        <v>58.800000000000004</v>
      </c>
      <c r="AJ26" s="13">
        <f>AI26*VLOOKUP('Données projet'!$B$10,Paramètres!$A$1:$I$89,3,0)*VLOOKUP('Données projet'!$B$10,Paramètres!$A$1:$I$89,5,0)</f>
        <v>53.202240000000003</v>
      </c>
      <c r="AK26" s="13">
        <f t="shared" si="35"/>
        <v>15.437740642425908</v>
      </c>
      <c r="AL26" s="20">
        <f t="shared" si="4"/>
        <v>119.54796628555846</v>
      </c>
      <c r="AM26" s="59">
        <f t="shared" si="5"/>
        <v>404.32574406333623</v>
      </c>
      <c r="AN26" s="59">
        <f ca="1">AVERAGE(OFFSET($AM$3,0,0,'Données projet'!$E$10+1,1))-AVERAGE(OFFSET($H$3,0,0,'Données projet'!$E$10+1,1))</f>
        <v>346.35147716792028</v>
      </c>
      <c r="AO26" s="59">
        <f t="shared" si="36"/>
        <v>231.36959598460686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>
        <f>VLOOKUP(A26,'Données projet'!$A$87:$I$107,2,0)</f>
        <v>173.80769230769229</v>
      </c>
      <c r="BB26" s="12">
        <f>VLOOKUP(A26,'Données projet'!$A$87:$I$107,9,0)</f>
        <v>14.926923076923075</v>
      </c>
      <c r="BC26" s="12">
        <f t="array" ref="BC26">INDEX(BB:BB,MIN(IF(ISNUMBER(BB26:BB222),ROW(BB26:BB222),"")))</f>
        <v>14.926923076923075</v>
      </c>
      <c r="BD26" s="12">
        <f>IF('Données projet'!$A$88&gt;35,BD25+BC26-BL25,IF(A26&lt;'Données projet'!$A$88,$BA$205^A26,IF(A26='Données projet'!$A$88,'Données projet'!$B$88,BD25+BC26-BL25)))</f>
        <v>173.80769230769226</v>
      </c>
      <c r="BE26" s="13">
        <f>BD26*VLOOKUP('Données projet'!$B$11,Paramètres!$A$1:$I$89,3,0)*VLOOKUP('Données projet'!$B$11,Paramètres!$A$1:$I$89,5,0)</f>
        <v>103.93699999999998</v>
      </c>
      <c r="BF26" s="13">
        <f t="shared" si="37"/>
        <v>27.897815230264825</v>
      </c>
      <c r="BG26" s="20">
        <f t="shared" si="7"/>
        <v>229.61230319271121</v>
      </c>
      <c r="BH26" s="59">
        <f t="shared" si="8"/>
        <v>514.39008097048895</v>
      </c>
      <c r="BI26" s="59">
        <f ca="1">AVERAGE(OFFSET($BH$3,0,0,'Données projet'!$E$11+1,1))-AVERAGE(OFFSET($H$3,0,0,'Données projet'!$E$11+1,1))</f>
        <v>257.80952690600492</v>
      </c>
      <c r="BJ26" s="59">
        <f t="shared" si="38"/>
        <v>269.95358755269427</v>
      </c>
      <c r="BK26" s="15">
        <f>IF(ISNA(VLOOKUP(A26,'Données projet'!$A$87:$I$107,3,0)),0,VLOOKUP(A26,'Données projet'!$A$87:$I$107,3,0))</f>
        <v>2</v>
      </c>
      <c r="BL26" s="15">
        <f>IF(ISNA(VLOOKUP(A26,'Données projet'!$A$87:$I$107,4,0)),0,VLOOKUP(A26,'Données projet'!$A$87:$I$107,4,0))</f>
        <v>54.099999999999994</v>
      </c>
      <c r="BM26" s="16">
        <f>IF(ISNA(VLOOKUP(A26,'Données projet'!$A$87:$I$107,5,0)),0%,VLOOKUP(A26,'Données projet'!$A$87:$I$107,5,0)*VLOOKUP('Données projet'!$B$11,Paramètres!$A$1:$I$89,7,0))</f>
        <v>9.0000000000000011E-2</v>
      </c>
      <c r="BN26" s="16">
        <f>IF(ISNA(VLOOKUP(A26,'Données projet'!$A$87:$I$107,6,0)),0%,VLOOKUP(A26,'Données projet'!$A$87:$I$107,6,0)*VLOOKUP('Données projet'!$B$11,Paramètres!$A$1:$I$89,7,0))</f>
        <v>0.13500000000000001</v>
      </c>
      <c r="BO26" s="16">
        <f>IF(ISNA(VLOOKUP(A26,'Données projet'!$A$87:$I$107,7,0)),0%,VLOOKUP(A26,'Données projet'!$A$87:$I$107,7,0))</f>
        <v>0.5</v>
      </c>
      <c r="BP26" s="21">
        <f>EXP(-LN(2)/35)*BP25+(1-EXP(-LN(2)/35))/(LN(2)/35)*BL26*BM26*VLOOKUP('Données projet'!$B$11,Paramètres!$A$1:$I$89,3,0)*0.475*44/12</f>
        <v>3.8625073154540033</v>
      </c>
      <c r="BQ26" s="21">
        <f>EXP(-LN(2)/25)*BQ25+(1-EXP(-LN(2)/25))/(LN(2)/25)*Calculateur!BL26*Calculateur!BN26*VLOOKUP('Données projet'!$B$11,Paramètres!$A$1:$I$89,3,0)*0.475*44/12</f>
        <v>12.106360743769512</v>
      </c>
      <c r="BR26" s="21">
        <f>EXP(-LN(2)/2)*BR25+(1-EXP(-LN(2)/2))/(LN(2)/2)*BL26*BO26*VLOOKUP('Données projet'!$B$11,Paramètres!$A$1:$I$89,3,0)*0.475*44/12</f>
        <v>20.095778755241454</v>
      </c>
      <c r="BS26" s="22">
        <f t="shared" si="9"/>
        <v>36.064646814464972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3.56</v>
      </c>
      <c r="BY26" s="12">
        <f>IF('Données projet'!$A$114&gt;35,BY25+BX26-CG25,IF(A26&lt;'Données projet'!$A$114,$BV$205^A26,IF(A26='Données projet'!$A$114,'Données projet'!$B$114,BY25+BX26-CG25)))</f>
        <v>62.149667013426139</v>
      </c>
      <c r="BZ26" s="13">
        <f>BY26*VLOOKUP('Données projet'!$B$12,Paramètres!$A$1:$I$89,3,0)*VLOOKUP('Données projet'!$B$12,Paramètres!$A$1:$I$89,5,0)</f>
        <v>48.476740270472391</v>
      </c>
      <c r="CA26" s="13">
        <f t="shared" si="39"/>
        <v>14.219665651067873</v>
      </c>
      <c r="CB26" s="20">
        <f t="shared" si="10"/>
        <v>109.19624031334928</v>
      </c>
      <c r="CC26" s="59">
        <f t="shared" si="11"/>
        <v>393.97401809112705</v>
      </c>
      <c r="CD26" s="59">
        <f ca="1">AVERAGE(OFFSET($CC$3,0,0,'Données projet'!$E$12+1,1))-AVERAGE(OFFSET($H$3,0,0,'Données projet'!$E$12+1,1))</f>
        <v>286.5685205631126</v>
      </c>
      <c r="CE26" s="59">
        <f t="shared" si="40"/>
        <v>264.17357326498581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5.6</v>
      </c>
      <c r="N27" s="13">
        <f>IF('Données projet'!$A$36&gt;35,N26+M27-V26,IF(A27&lt;'Données projet'!$A$36,$K$205^A27,IF(A27='Données projet'!$A$36,'Données projet'!$B$36,N26+M27-V26)))</f>
        <v>64.400000000000006</v>
      </c>
      <c r="O27" s="13">
        <f>N27*VLOOKUP('Données projet'!$B$9,Paramètres!$A$1:$I$89,3,0)*VLOOKUP('Données projet'!$B$9,Paramètres!$A$1:$I$89,5,0)</f>
        <v>58.269120000000008</v>
      </c>
      <c r="P27" s="13">
        <f t="shared" si="33"/>
        <v>16.729905486873804</v>
      </c>
      <c r="Q27" s="20">
        <f t="shared" si="2"/>
        <v>130.62330272297189</v>
      </c>
      <c r="R27" s="59">
        <f t="shared" si="0"/>
        <v>416.62330272297186</v>
      </c>
      <c r="S27" s="59">
        <f ca="1">AVERAGE(OFFSET($R$3,0,0,'Données projet'!$E$9+1,1))-AVERAGE(OFFSET($H$3,0,0,'Données projet'!$E$9+1,1))</f>
        <v>346.35147716792028</v>
      </c>
      <c r="T27" s="59">
        <f t="shared" si="34"/>
        <v>231.36959598460686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5.6</v>
      </c>
      <c r="AI27" s="13">
        <f>IF('Données projet'!$A$62&gt;35,AI26+AH27-AQ26,IF(A27&lt;'Données projet'!$A$62,$AF$205^A27,IF(A27='Données projet'!$A$62,'Données projet'!$B$62,AI26+AH27-AQ26)))</f>
        <v>64.400000000000006</v>
      </c>
      <c r="AJ27" s="13">
        <f>AI27*VLOOKUP('Données projet'!$B$10,Paramètres!$A$1:$I$89,3,0)*VLOOKUP('Données projet'!$B$10,Paramètres!$A$1:$I$89,5,0)</f>
        <v>58.269120000000008</v>
      </c>
      <c r="AK27" s="13">
        <f t="shared" si="35"/>
        <v>16.729905486873804</v>
      </c>
      <c r="AL27" s="20">
        <f t="shared" si="4"/>
        <v>130.62330272297189</v>
      </c>
      <c r="AM27" s="59">
        <f t="shared" si="5"/>
        <v>416.62330272297186</v>
      </c>
      <c r="AN27" s="59">
        <f ca="1">AVERAGE(OFFSET($AM$3,0,0,'Données projet'!$E$10+1,1))-AVERAGE(OFFSET($H$3,0,0,'Données projet'!$E$10+1,1))</f>
        <v>346.35147716792028</v>
      </c>
      <c r="AO27" s="59">
        <f t="shared" si="36"/>
        <v>231.36959598460686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15.061538461538461</v>
      </c>
      <c r="BD27" s="12">
        <f>IF('Données projet'!$A$88&gt;35,BD26+BC27-BL26,IF(A27&lt;'Données projet'!$A$88,$BA$205^A27,IF(A27='Données projet'!$A$88,'Données projet'!$B$88,BD26+BC27-BL26)))</f>
        <v>134.76923076923075</v>
      </c>
      <c r="BE27" s="13">
        <f>BD27*VLOOKUP('Données projet'!$B$11,Paramètres!$A$1:$I$89,3,0)*VLOOKUP('Données projet'!$B$11,Paramètres!$A$1:$I$89,5,0)</f>
        <v>80.591999999999985</v>
      </c>
      <c r="BF27" s="13">
        <f t="shared" si="37"/>
        <v>22.281869037622069</v>
      </c>
      <c r="BG27" s="20">
        <f t="shared" si="7"/>
        <v>179.17198857385839</v>
      </c>
      <c r="BH27" s="59">
        <f t="shared" si="8"/>
        <v>465.17198857385836</v>
      </c>
      <c r="BI27" s="59">
        <f ca="1">AVERAGE(OFFSET($BH$3,0,0,'Données projet'!$E$11+1,1))-AVERAGE(OFFSET($H$3,0,0,'Données projet'!$E$11+1,1))</f>
        <v>257.80952690600492</v>
      </c>
      <c r="BJ27" s="59">
        <f t="shared" si="38"/>
        <v>269.95358755269427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3.7867659028947873</v>
      </c>
      <c r="BQ27" s="21">
        <f>EXP(-LN(2)/25)*BQ26+(1-EXP(-LN(2)/25))/(LN(2)/25)*Calculateur!BL27*Calculateur!BN27*VLOOKUP('Données projet'!$B$11,Paramètres!$A$1:$I$89,3,0)*0.475*44/12</f>
        <v>11.775311672585293</v>
      </c>
      <c r="BR27" s="21">
        <f>EXP(-LN(2)/2)*BR26+(1-EXP(-LN(2)/2))/(LN(2)/2)*BL27*BO27*VLOOKUP('Données projet'!$B$11,Paramètres!$A$1:$I$89,3,0)*0.475*44/12</f>
        <v>14.20986143105579</v>
      </c>
      <c r="BS27" s="22">
        <f t="shared" si="9"/>
        <v>29.77193900653587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3.56</v>
      </c>
      <c r="BY27" s="12">
        <f>IF('Données projet'!$A$114&gt;35,BY26+BX27-CG26,IF(A27&lt;'Données projet'!$A$114,$BV$205^A27,IF(A27='Données projet'!$A$114,'Données projet'!$B$114,BY26+BX27-CG26)))</f>
        <v>74.372846955020648</v>
      </c>
      <c r="BZ27" s="13">
        <f>BY27*VLOOKUP('Données projet'!$B$12,Paramètres!$A$1:$I$89,3,0)*VLOOKUP('Données projet'!$B$12,Paramètres!$A$1:$I$89,5,0)</f>
        <v>58.010820624916107</v>
      </c>
      <c r="CA27" s="13">
        <f t="shared" si="39"/>
        <v>16.664359469831368</v>
      </c>
      <c r="CB27" s="20">
        <f t="shared" si="10"/>
        <v>130.05927199835185</v>
      </c>
      <c r="CC27" s="59">
        <f t="shared" si="11"/>
        <v>416.05927199835185</v>
      </c>
      <c r="CD27" s="59">
        <f ca="1">AVERAGE(OFFSET($CC$3,0,0,'Données projet'!$E$12+1,1))-AVERAGE(OFFSET($H$3,0,0,'Données projet'!$E$12+1,1))</f>
        <v>286.5685205631126</v>
      </c>
      <c r="CE27" s="59">
        <f t="shared" si="40"/>
        <v>264.17357326498581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70</v>
      </c>
      <c r="L28" s="12">
        <f>VLOOKUP(A28,'Données projet'!$A$35:$I$55,9,0)</f>
        <v>5.6</v>
      </c>
      <c r="M28" s="12">
        <f t="array" ref="M28">INDEX(L:L,MIN(IF(ISNUMBER(L28:L224),ROW(L28:L224),"")))</f>
        <v>5.6</v>
      </c>
      <c r="N28" s="13">
        <f>IF('Données projet'!$A$36&gt;35,N27+M28-V27,IF(A28&lt;'Données projet'!$A$36,$K$205^A28,IF(A28='Données projet'!$A$36,'Données projet'!$B$36,N27+M28-V27)))</f>
        <v>70</v>
      </c>
      <c r="O28" s="13">
        <f>N28*VLOOKUP('Données projet'!$B$9,Paramètres!$A$1:$I$89,3,0)*VLOOKUP('Données projet'!$B$9,Paramètres!$A$1:$I$89,5,0)</f>
        <v>63.335999999999991</v>
      </c>
      <c r="P28" s="13">
        <f t="shared" si="33"/>
        <v>18.009040022946227</v>
      </c>
      <c r="Q28" s="20">
        <f t="shared" si="2"/>
        <v>141.67594470663133</v>
      </c>
      <c r="R28" s="59">
        <f t="shared" si="0"/>
        <v>428.89816692885358</v>
      </c>
      <c r="S28" s="59">
        <f ca="1">AVERAGE(OFFSET($R$3,0,0,'Données projet'!$E$9+1,1))-AVERAGE(OFFSET($H$3,0,0,'Données projet'!$E$9+1,1))</f>
        <v>346.35147716792028</v>
      </c>
      <c r="T28" s="59">
        <f t="shared" si="34"/>
        <v>231.36959598460686</v>
      </c>
      <c r="U28" s="15">
        <f>IF(ISNA(VLOOKUP(A28,'Données projet'!$A$35:$I$55,3,0)),0,VLOOKUP(A28,'Données projet'!$A$35:$I$55,3,0))</f>
        <v>1</v>
      </c>
      <c r="V28" s="15">
        <f>IF(ISNA(VLOOKUP(A28,'Données projet'!$A$35:$I$55,4,0)),0,VLOOKUP(A28,'Données projet'!$A$35:$I$55,4,0))</f>
        <v>8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0.4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2.731850087471857</v>
      </c>
      <c r="AC28" s="22">
        <f t="shared" si="3"/>
        <v>2.731850087471857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70</v>
      </c>
      <c r="AG28" s="12">
        <f>VLOOKUP(A28,'Données projet'!$A$61:$I$81,9,0)</f>
        <v>5.6</v>
      </c>
      <c r="AH28" s="12">
        <f t="array" ref="AH28">INDEX(AG:AG,MIN(IF(ISNUMBER(AG28:AG224),ROW(AG28:AG224),"")))</f>
        <v>5.6</v>
      </c>
      <c r="AI28" s="13">
        <f>IF('Données projet'!$A$62&gt;35,AI27+AH28-AQ27,IF(A28&lt;'Données projet'!$A$62,$AF$205^A28,IF(A28='Données projet'!$A$62,'Données projet'!$B$62,AI27+AH28-AQ27)))</f>
        <v>70</v>
      </c>
      <c r="AJ28" s="13">
        <f>AI28*VLOOKUP('Données projet'!$B$10,Paramètres!$A$1:$I$89,3,0)*VLOOKUP('Données projet'!$B$10,Paramètres!$A$1:$I$89,5,0)</f>
        <v>63.335999999999991</v>
      </c>
      <c r="AK28" s="13">
        <f t="shared" si="35"/>
        <v>18.009040022946227</v>
      </c>
      <c r="AL28" s="20">
        <f t="shared" si="4"/>
        <v>141.67594470663133</v>
      </c>
      <c r="AM28" s="59">
        <f t="shared" si="5"/>
        <v>428.89816692885358</v>
      </c>
      <c r="AN28" s="59">
        <f ca="1">AVERAGE(OFFSET($AM$3,0,0,'Données projet'!$E$10+1,1))-AVERAGE(OFFSET($H$3,0,0,'Données projet'!$E$10+1,1))</f>
        <v>346.35147716792028</v>
      </c>
      <c r="AO28" s="59">
        <f t="shared" si="36"/>
        <v>231.36959598460686</v>
      </c>
      <c r="AP28" s="15">
        <f>IF(ISNA(VLOOKUP(A28,'Données projet'!$A$61:$I$81,3,0)),0,VLOOKUP(A28,'Données projet'!$A$61:$I$81,3,0))</f>
        <v>1</v>
      </c>
      <c r="AQ28" s="15">
        <f>IF(ISNA(VLOOKUP(A28,'Données projet'!$A$61:$I$81,4,0)),0,VLOOKUP(A28,'Données projet'!$A$61:$I$81,4,0))</f>
        <v>8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0.4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2.731850087471857</v>
      </c>
      <c r="AX28" s="21">
        <f t="shared" si="6"/>
        <v>2.731850087471857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149.83076923076922</v>
      </c>
      <c r="BB28" s="12">
        <f>VLOOKUP(A28,'Données projet'!$A$87:$I$107,9,0)</f>
        <v>15.061538461538461</v>
      </c>
      <c r="BC28" s="12">
        <f t="array" ref="BC28">INDEX(BB:BB,MIN(IF(ISNUMBER(BB28:BB224),ROW(BB28:BB224),"")))</f>
        <v>15.061538461538461</v>
      </c>
      <c r="BD28" s="12">
        <f>IF('Données projet'!$A$88&gt;35,BD27+BC28-BL27,IF(A28&lt;'Données projet'!$A$88,$BA$205^A28,IF(A28='Données projet'!$A$88,'Données projet'!$B$88,BD27+BC28-BL27)))</f>
        <v>149.83076923076919</v>
      </c>
      <c r="BE28" s="13">
        <f>BD28*VLOOKUP('Données projet'!$B$11,Paramètres!$A$1:$I$89,3,0)*VLOOKUP('Données projet'!$B$11,Paramètres!$A$1:$I$89,5,0)</f>
        <v>89.598799999999983</v>
      </c>
      <c r="BF28" s="13">
        <f t="shared" si="37"/>
        <v>24.468440069427142</v>
      </c>
      <c r="BG28" s="20">
        <f t="shared" si="7"/>
        <v>198.66710978758559</v>
      </c>
      <c r="BH28" s="59">
        <f t="shared" si="8"/>
        <v>485.88933200980784</v>
      </c>
      <c r="BI28" s="59">
        <f ca="1">AVERAGE(OFFSET($BH$3,0,0,'Données projet'!$E$11+1,1))-AVERAGE(OFFSET($H$3,0,0,'Données projet'!$E$11+1,1))</f>
        <v>257.80952690600492</v>
      </c>
      <c r="BJ28" s="59">
        <f t="shared" si="38"/>
        <v>269.95358755269427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3.7125097332381576</v>
      </c>
      <c r="BQ28" s="21">
        <f>EXP(-LN(2)/25)*BQ27+(1-EXP(-LN(2)/25))/(LN(2)/25)*Calculateur!BL28*Calculateur!BN28*VLOOKUP('Données projet'!$B$11,Paramètres!$A$1:$I$89,3,0)*0.475*44/12</f>
        <v>11.45331515566172</v>
      </c>
      <c r="BR28" s="21">
        <f>EXP(-LN(2)/2)*BR27+(1-EXP(-LN(2)/2))/(LN(2)/2)*BL28*BO28*VLOOKUP('Données projet'!$B$11,Paramètres!$A$1:$I$89,3,0)*0.475*44/12</f>
        <v>10.047889377620729</v>
      </c>
      <c r="BS28" s="22">
        <f t="shared" si="9"/>
        <v>25.213714266520604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89</v>
      </c>
      <c r="BW28" s="12">
        <f>VLOOKUP(A28,'Données projet'!$A$113:$I$133,9,0)</f>
        <v>3.56</v>
      </c>
      <c r="BX28" s="12">
        <f t="array" ref="BX28">INDEX(BW:BW,MIN(IF(ISNUMBER(BW28:BW224),ROW(BW28:BW224),"")))</f>
        <v>3.56</v>
      </c>
      <c r="BY28" s="12">
        <f>IF('Données projet'!$A$114&gt;35,BY27+BX28-CG27,IF(A28&lt;'Données projet'!$A$114,$BV$205^A28,IF(A28='Données projet'!$A$114,'Données projet'!$B$114,BY27+BX28-CG27)))</f>
        <v>89</v>
      </c>
      <c r="BZ28" s="13">
        <f>BY28*VLOOKUP('Données projet'!$B$12,Paramètres!$A$1:$I$89,3,0)*VLOOKUP('Données projet'!$B$12,Paramètres!$A$1:$I$89,5,0)</f>
        <v>69.42</v>
      </c>
      <c r="CA28" s="13">
        <f t="shared" si="39"/>
        <v>19.529353456978352</v>
      </c>
      <c r="CB28" s="20">
        <f t="shared" si="10"/>
        <v>154.92012393757065</v>
      </c>
      <c r="CC28" s="59">
        <f t="shared" si="11"/>
        <v>442.14234615979285</v>
      </c>
      <c r="CD28" s="59">
        <f ca="1">AVERAGE(OFFSET($CC$3,0,0,'Données projet'!$E$12+1,1))-AVERAGE(OFFSET($H$3,0,0,'Données projet'!$E$12+1,1))</f>
        <v>286.5685205631126</v>
      </c>
      <c r="CE28" s="59">
        <f t="shared" si="40"/>
        <v>264.17357326498581</v>
      </c>
      <c r="CF28" s="15">
        <f>IF(ISNA(VLOOKUP(A28,'Données projet'!$A$113:$I$133,3,0)),0,VLOOKUP(A28,'Données projet'!$A$113:$I$133,3,0))</f>
        <v>1</v>
      </c>
      <c r="CG28" s="15">
        <f>IF(ISNA(VLOOKUP(A28,'Données projet'!$A$113:$I$133,4,0)),0,VLOOKUP(A28,'Données projet'!$A$113:$I$133,4,0))</f>
        <v>28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7</v>
      </c>
      <c r="N29" s="13">
        <f>IF('Données projet'!$A$36&gt;35,N28+M29-V28,IF(A29&lt;'Données projet'!$A$36,$K$205^A29,IF(A29='Données projet'!$A$36,'Données projet'!$B$36,N28+M29-V28)))</f>
        <v>69</v>
      </c>
      <c r="O29" s="13">
        <f>N29*VLOOKUP('Données projet'!$B$9,Paramètres!$A$1:$I$89,3,0)*VLOOKUP('Données projet'!$B$9,Paramètres!$A$1:$I$89,5,0)</f>
        <v>62.431199999999997</v>
      </c>
      <c r="P29" s="13">
        <f t="shared" si="33"/>
        <v>17.781524466058684</v>
      </c>
      <c r="Q29" s="20">
        <f t="shared" si="2"/>
        <v>139.70382844505221</v>
      </c>
      <c r="R29" s="59">
        <f t="shared" si="0"/>
        <v>428.14827288949664</v>
      </c>
      <c r="S29" s="59">
        <f ca="1">AVERAGE(OFFSET($R$3,0,0,'Données projet'!$E$9+1,1))-AVERAGE(OFFSET($H$3,0,0,'Données projet'!$E$9+1,1))</f>
        <v>346.35147716792028</v>
      </c>
      <c r="T29" s="59">
        <f t="shared" si="34"/>
        <v>231.36959598460686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1.9317097220364132</v>
      </c>
      <c r="AC29" s="22">
        <f t="shared" si="3"/>
        <v>1.9317097220364132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7</v>
      </c>
      <c r="AI29" s="13">
        <f>IF('Données projet'!$A$62&gt;35,AI28+AH29-AQ28,IF(A29&lt;'Données projet'!$A$62,$AF$205^A29,IF(A29='Données projet'!$A$62,'Données projet'!$B$62,AI28+AH29-AQ28)))</f>
        <v>69</v>
      </c>
      <c r="AJ29" s="13">
        <f>AI29*VLOOKUP('Données projet'!$B$10,Paramètres!$A$1:$I$89,3,0)*VLOOKUP('Données projet'!$B$10,Paramètres!$A$1:$I$89,5,0)</f>
        <v>62.431199999999997</v>
      </c>
      <c r="AK29" s="13">
        <f t="shared" si="35"/>
        <v>17.781524466058684</v>
      </c>
      <c r="AL29" s="20">
        <f t="shared" si="4"/>
        <v>139.70382844505221</v>
      </c>
      <c r="AM29" s="59">
        <f t="shared" si="5"/>
        <v>428.14827288949664</v>
      </c>
      <c r="AN29" s="59">
        <f ca="1">AVERAGE(OFFSET($AM$3,0,0,'Données projet'!$E$10+1,1))-AVERAGE(OFFSET($H$3,0,0,'Données projet'!$E$10+1,1))</f>
        <v>346.35147716792028</v>
      </c>
      <c r="AO29" s="59">
        <f t="shared" si="36"/>
        <v>231.36959598460686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1.9317097220364132</v>
      </c>
      <c r="AX29" s="21">
        <f t="shared" si="6"/>
        <v>1.9317097220364132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15.078846153846158</v>
      </c>
      <c r="BD29" s="12">
        <f>IF('Données projet'!$A$88&gt;35,BD28+BC29-BL28,IF(A29&lt;'Données projet'!$A$88,$BA$205^A29,IF(A29='Données projet'!$A$88,'Données projet'!$B$88,BD28+BC29-BL28)))</f>
        <v>164.90961538461534</v>
      </c>
      <c r="BE29" s="13">
        <f>BD29*VLOOKUP('Données projet'!$B$11,Paramètres!$A$1:$I$89,3,0)*VLOOKUP('Données projet'!$B$11,Paramètres!$A$1:$I$89,5,0)</f>
        <v>98.615949999999984</v>
      </c>
      <c r="BF29" s="13">
        <f t="shared" si="37"/>
        <v>26.631999739513677</v>
      </c>
      <c r="BG29" s="20">
        <f t="shared" si="7"/>
        <v>218.14017912965292</v>
      </c>
      <c r="BH29" s="59">
        <f t="shared" si="8"/>
        <v>506.58462357409735</v>
      </c>
      <c r="BI29" s="59">
        <f ca="1">AVERAGE(OFFSET($BH$3,0,0,'Données projet'!$E$11+1,1))-AVERAGE(OFFSET($H$3,0,0,'Données projet'!$E$11+1,1))</f>
        <v>257.80952690600492</v>
      </c>
      <c r="BJ29" s="59">
        <f t="shared" si="38"/>
        <v>269.95358755269427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3.639709681776703</v>
      </c>
      <c r="BQ29" s="21">
        <f>EXP(-LN(2)/25)*BQ28+(1-EXP(-LN(2)/25))/(LN(2)/25)*Calculateur!BL29*Calculateur!BN29*VLOOKUP('Données projet'!$B$11,Paramètres!$A$1:$I$89,3,0)*0.475*44/12</f>
        <v>11.140123650426483</v>
      </c>
      <c r="BR29" s="21">
        <f>EXP(-LN(2)/2)*BR28+(1-EXP(-LN(2)/2))/(LN(2)/2)*BL29*BO29*VLOOKUP('Données projet'!$B$11,Paramètres!$A$1:$I$89,3,0)*0.475*44/12</f>
        <v>7.1049307155278969</v>
      </c>
      <c r="BS29" s="22">
        <f t="shared" si="9"/>
        <v>21.884764047731082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14.2</v>
      </c>
      <c r="BY29" s="12">
        <f>IF('Données projet'!$A$114&gt;35,BY28+BX29-CG28,IF(A29&lt;'Données projet'!$A$114,$BV$205^A29,IF(A29='Données projet'!$A$114,'Données projet'!$B$114,BY28+BX29-CG28)))</f>
        <v>75.2</v>
      </c>
      <c r="BZ29" s="13">
        <f>BY29*VLOOKUP('Données projet'!$B$12,Paramètres!$A$1:$I$89,3,0)*VLOOKUP('Données projet'!$B$12,Paramètres!$A$1:$I$89,5,0)</f>
        <v>58.656000000000006</v>
      </c>
      <c r="CA29" s="13">
        <f t="shared" si="39"/>
        <v>16.828016909929076</v>
      </c>
      <c r="CB29" s="20">
        <f t="shared" si="10"/>
        <v>131.46799611812648</v>
      </c>
      <c r="CC29" s="59">
        <f t="shared" si="11"/>
        <v>419.91244056257096</v>
      </c>
      <c r="CD29" s="59">
        <f ca="1">AVERAGE(OFFSET($CC$3,0,0,'Données projet'!$E$12+1,1))-AVERAGE(OFFSET($H$3,0,0,'Données projet'!$E$12+1,1))</f>
        <v>286.5685205631126</v>
      </c>
      <c r="CE29" s="59">
        <f t="shared" si="40"/>
        <v>264.17357326498581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7</v>
      </c>
      <c r="N30" s="13">
        <f>IF('Données projet'!$A$36&gt;35,N29+M30-V29,IF(A30&lt;'Données projet'!$A$36,$K$205^A30,IF(A30='Données projet'!$A$36,'Données projet'!$B$36,N29+M30-V29)))</f>
        <v>76</v>
      </c>
      <c r="O30" s="13">
        <f>N30*VLOOKUP('Données projet'!$B$9,Paramètres!$A$1:$I$89,3,0)*VLOOKUP('Données projet'!$B$9,Paramètres!$A$1:$I$89,5,0)</f>
        <v>68.764799999999994</v>
      </c>
      <c r="P30" s="13">
        <f t="shared" si="33"/>
        <v>19.366396769521369</v>
      </c>
      <c r="Q30" s="20">
        <f t="shared" si="2"/>
        <v>153.49516770691636</v>
      </c>
      <c r="R30" s="59">
        <f t="shared" si="0"/>
        <v>443.16183437358302</v>
      </c>
      <c r="S30" s="59">
        <f ca="1">AVERAGE(OFFSET($R$3,0,0,'Données projet'!$E$9+1,1))-AVERAGE(OFFSET($H$3,0,0,'Données projet'!$E$9+1,1))</f>
        <v>346.35147716792028</v>
      </c>
      <c r="T30" s="59">
        <f t="shared" si="34"/>
        <v>231.36959598460686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1.3659250437359287</v>
      </c>
      <c r="AC30" s="22">
        <f t="shared" si="3"/>
        <v>1.3659250437359287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7</v>
      </c>
      <c r="AI30" s="13">
        <f>IF('Données projet'!$A$62&gt;35,AI29+AH30-AQ29,IF(A30&lt;'Données projet'!$A$62,$AF$205^A30,IF(A30='Données projet'!$A$62,'Données projet'!$B$62,AI29+AH30-AQ29)))</f>
        <v>76</v>
      </c>
      <c r="AJ30" s="13">
        <f>AI30*VLOOKUP('Données projet'!$B$10,Paramètres!$A$1:$I$89,3,0)*VLOOKUP('Données projet'!$B$10,Paramètres!$A$1:$I$89,5,0)</f>
        <v>68.764799999999994</v>
      </c>
      <c r="AK30" s="13">
        <f t="shared" si="35"/>
        <v>19.366396769521369</v>
      </c>
      <c r="AL30" s="20">
        <f t="shared" si="4"/>
        <v>153.49516770691636</v>
      </c>
      <c r="AM30" s="59">
        <f t="shared" si="5"/>
        <v>443.16183437358302</v>
      </c>
      <c r="AN30" s="59">
        <f ca="1">AVERAGE(OFFSET($AM$3,0,0,'Données projet'!$E$10+1,1))-AVERAGE(OFFSET($H$3,0,0,'Données projet'!$E$10+1,1))</f>
        <v>346.35147716792028</v>
      </c>
      <c r="AO30" s="59">
        <f t="shared" si="36"/>
        <v>231.36959598460686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1.3659250437359287</v>
      </c>
      <c r="AX30" s="21">
        <f t="shared" si="6"/>
        <v>1.3659250437359287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15.078846153846158</v>
      </c>
      <c r="BD30" s="12">
        <f>IF('Données projet'!$A$88&gt;35,BD29+BC30-BL29,IF(A30&lt;'Données projet'!$A$88,$BA$205^A30,IF(A30='Données projet'!$A$88,'Données projet'!$B$88,BD29+BC30-BL29)))</f>
        <v>179.98846153846148</v>
      </c>
      <c r="BE30" s="13">
        <f>BD30*VLOOKUP('Données projet'!$B$11,Paramètres!$A$1:$I$89,3,0)*VLOOKUP('Données projet'!$B$11,Paramètres!$A$1:$I$89,5,0)</f>
        <v>107.63309999999997</v>
      </c>
      <c r="BF30" s="13">
        <f t="shared" si="37"/>
        <v>28.772620454226065</v>
      </c>
      <c r="BG30" s="20">
        <f t="shared" si="7"/>
        <v>237.57329645777699</v>
      </c>
      <c r="BH30" s="59">
        <f t="shared" si="8"/>
        <v>527.23996312444365</v>
      </c>
      <c r="BI30" s="59">
        <f ca="1">AVERAGE(OFFSET($BH$3,0,0,'Données projet'!$E$11+1,1))-AVERAGE(OFFSET($H$3,0,0,'Données projet'!$E$11+1,1))</f>
        <v>257.80952690600492</v>
      </c>
      <c r="BJ30" s="59">
        <f t="shared" si="38"/>
        <v>269.95358755269427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3.5683371949207605</v>
      </c>
      <c r="BQ30" s="21">
        <f>EXP(-LN(2)/25)*BQ29+(1-EXP(-LN(2)/25))/(LN(2)/25)*Calculateur!BL30*Calculateur!BN30*VLOOKUP('Données projet'!$B$11,Paramètres!$A$1:$I$89,3,0)*0.475*44/12</f>
        <v>10.835496383371929</v>
      </c>
      <c r="BR30" s="21">
        <f>EXP(-LN(2)/2)*BR29+(1-EXP(-LN(2)/2))/(LN(2)/2)*BL30*BO30*VLOOKUP('Données projet'!$B$11,Paramètres!$A$1:$I$89,3,0)*0.475*44/12</f>
        <v>5.0239446888103654</v>
      </c>
      <c r="BS30" s="22">
        <f t="shared" si="9"/>
        <v>19.427778267103054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14.2</v>
      </c>
      <c r="BY30" s="12">
        <f>IF('Données projet'!$A$114&gt;35,BY29+BX30-CG29,IF(A30&lt;'Données projet'!$A$114,$BV$205^A30,IF(A30='Données projet'!$A$114,'Données projet'!$B$114,BY29+BX30-CG29)))</f>
        <v>89.4</v>
      </c>
      <c r="BZ30" s="13">
        <f>BY30*VLOOKUP('Données projet'!$B$12,Paramètres!$A$1:$I$89,3,0)*VLOOKUP('Données projet'!$B$12,Paramètres!$A$1:$I$89,5,0)</f>
        <v>69.732000000000014</v>
      </c>
      <c r="CA30" s="13">
        <f t="shared" si="39"/>
        <v>19.606888874982506</v>
      </c>
      <c r="CB30" s="20">
        <f t="shared" si="10"/>
        <v>155.59856479059454</v>
      </c>
      <c r="CC30" s="59">
        <f t="shared" si="11"/>
        <v>445.26523145726122</v>
      </c>
      <c r="CD30" s="59">
        <f ca="1">AVERAGE(OFFSET($CC$3,0,0,'Données projet'!$E$12+1,1))-AVERAGE(OFFSET($H$3,0,0,'Données projet'!$E$12+1,1))</f>
        <v>286.5685205631126</v>
      </c>
      <c r="CE30" s="59">
        <f t="shared" si="40"/>
        <v>264.17357326498581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7</v>
      </c>
      <c r="N31" s="13">
        <f>IF('Données projet'!$A$36&gt;35,N30+M31-V30,IF(A31&lt;'Données projet'!$A$36,$K$205^A31,IF(A31='Données projet'!$A$36,'Données projet'!$B$36,N30+M31-V30)))</f>
        <v>83</v>
      </c>
      <c r="O31" s="13">
        <f>N31*VLOOKUP('Données projet'!$B$9,Paramètres!$A$1:$I$89,3,0)*VLOOKUP('Données projet'!$B$9,Paramètres!$A$1:$I$89,5,0)</f>
        <v>75.098399999999998</v>
      </c>
      <c r="P31" s="13">
        <f t="shared" si="33"/>
        <v>20.934343091450742</v>
      </c>
      <c r="Q31" s="20">
        <f t="shared" si="2"/>
        <v>167.25702755094335</v>
      </c>
      <c r="R31" s="59">
        <f t="shared" si="0"/>
        <v>458.14591643983221</v>
      </c>
      <c r="S31" s="59">
        <f ca="1">AVERAGE(OFFSET($R$3,0,0,'Données projet'!$E$9+1,1))-AVERAGE(OFFSET($H$3,0,0,'Données projet'!$E$9+1,1))</f>
        <v>346.35147716792028</v>
      </c>
      <c r="T31" s="59">
        <f t="shared" si="34"/>
        <v>231.36959598460686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0.96585486101820672</v>
      </c>
      <c r="AC31" s="22">
        <f t="shared" si="3"/>
        <v>0.96585486101820672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7</v>
      </c>
      <c r="AI31" s="13">
        <f>IF('Données projet'!$A$62&gt;35,AI30+AH31-AQ30,IF(A31&lt;'Données projet'!$A$62,$AF$205^A31,IF(A31='Données projet'!$A$62,'Données projet'!$B$62,AI30+AH31-AQ30)))</f>
        <v>83</v>
      </c>
      <c r="AJ31" s="13">
        <f>AI31*VLOOKUP('Données projet'!$B$10,Paramètres!$A$1:$I$89,3,0)*VLOOKUP('Données projet'!$B$10,Paramètres!$A$1:$I$89,5,0)</f>
        <v>75.098399999999998</v>
      </c>
      <c r="AK31" s="13">
        <f t="shared" si="35"/>
        <v>20.934343091450742</v>
      </c>
      <c r="AL31" s="20">
        <f t="shared" si="4"/>
        <v>167.25702755094335</v>
      </c>
      <c r="AM31" s="59">
        <f t="shared" si="5"/>
        <v>458.14591643983221</v>
      </c>
      <c r="AN31" s="59">
        <f ca="1">AVERAGE(OFFSET($AM$3,0,0,'Données projet'!$E$10+1,1))-AVERAGE(OFFSET($H$3,0,0,'Données projet'!$E$10+1,1))</f>
        <v>346.35147716792028</v>
      </c>
      <c r="AO31" s="59">
        <f t="shared" si="36"/>
        <v>231.36959598460686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0.96585486101820672</v>
      </c>
      <c r="AX31" s="21">
        <f t="shared" si="6"/>
        <v>0.96585486101820672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15.078846153846158</v>
      </c>
      <c r="BD31" s="12">
        <f>IF('Données projet'!$A$88&gt;35,BD30+BC31-BL30,IF(A31&lt;'Données projet'!$A$88,$BA$205^A31,IF(A31='Données projet'!$A$88,'Données projet'!$B$88,BD30+BC31-BL30)))</f>
        <v>195.06730769230762</v>
      </c>
      <c r="BE31" s="13">
        <f>BD31*VLOOKUP('Données projet'!$B$11,Paramètres!$A$1:$I$89,3,0)*VLOOKUP('Données projet'!$B$11,Paramètres!$A$1:$I$89,5,0)</f>
        <v>116.65024999999997</v>
      </c>
      <c r="BF31" s="13">
        <f t="shared" si="37"/>
        <v>30.892442451857754</v>
      </c>
      <c r="BG31" s="20">
        <f t="shared" si="7"/>
        <v>256.97018935365219</v>
      </c>
      <c r="BH31" s="59">
        <f t="shared" si="8"/>
        <v>547.85907824254105</v>
      </c>
      <c r="BI31" s="59">
        <f ca="1">AVERAGE(OFFSET($BH$3,0,0,'Données projet'!$E$11+1,1))-AVERAGE(OFFSET($H$3,0,0,'Données projet'!$E$11+1,1))</f>
        <v>257.80952690600492</v>
      </c>
      <c r="BJ31" s="59">
        <f t="shared" si="38"/>
        <v>269.95358755269427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3.4983642789991447</v>
      </c>
      <c r="BQ31" s="21">
        <f>EXP(-LN(2)/25)*BQ30+(1-EXP(-LN(2)/25))/(LN(2)/25)*Calculateur!BL31*Calculateur!BN31*VLOOKUP('Données projet'!$B$11,Paramètres!$A$1:$I$89,3,0)*0.475*44/12</f>
        <v>10.539199164954633</v>
      </c>
      <c r="BR31" s="21">
        <f>EXP(-LN(2)/2)*BR30+(1-EXP(-LN(2)/2))/(LN(2)/2)*BL31*BO31*VLOOKUP('Données projet'!$B$11,Paramètres!$A$1:$I$89,3,0)*0.475*44/12</f>
        <v>3.5524653577639489</v>
      </c>
      <c r="BS31" s="22">
        <f t="shared" si="9"/>
        <v>17.590028801717725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14.2</v>
      </c>
      <c r="BY31" s="12">
        <f>IF('Données projet'!$A$114&gt;35,BY30+BX31-CG30,IF(A31&lt;'Données projet'!$A$114,$BV$205^A31,IF(A31='Données projet'!$A$114,'Données projet'!$B$114,BY30+BX31-CG30)))</f>
        <v>103.60000000000001</v>
      </c>
      <c r="BZ31" s="13">
        <f>BY31*VLOOKUP('Données projet'!$B$12,Paramètres!$A$1:$I$89,3,0)*VLOOKUP('Données projet'!$B$12,Paramètres!$A$1:$I$89,5,0)</f>
        <v>80.808000000000007</v>
      </c>
      <c r="CA31" s="13">
        <f t="shared" si="39"/>
        <v>22.334628633536209</v>
      </c>
      <c r="CB31" s="20">
        <f t="shared" si="10"/>
        <v>179.64007820340893</v>
      </c>
      <c r="CC31" s="59">
        <f t="shared" si="11"/>
        <v>470.52896709229776</v>
      </c>
      <c r="CD31" s="59">
        <f ca="1">AVERAGE(OFFSET($CC$3,0,0,'Données projet'!$E$12+1,1))-AVERAGE(OFFSET($H$3,0,0,'Données projet'!$E$12+1,1))</f>
        <v>286.5685205631126</v>
      </c>
      <c r="CE31" s="59">
        <f t="shared" si="40"/>
        <v>264.17357326498581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7</v>
      </c>
      <c r="N32" s="13">
        <f>IF('Données projet'!$A$36&gt;35,N31+M32-V31,IF(A32&lt;'Données projet'!$A$36,$K$205^A32,IF(A32='Données projet'!$A$36,'Données projet'!$B$36,N31+M32-V31)))</f>
        <v>90</v>
      </c>
      <c r="O32" s="13">
        <f>N32*VLOOKUP('Données projet'!$B$9,Paramètres!$A$1:$I$89,3,0)*VLOOKUP('Données projet'!$B$9,Paramètres!$A$1:$I$89,5,0)</f>
        <v>81.432000000000002</v>
      </c>
      <c r="P32" s="13">
        <f t="shared" si="33"/>
        <v>22.486953220240881</v>
      </c>
      <c r="Q32" s="20">
        <f t="shared" si="2"/>
        <v>180.99217685858619</v>
      </c>
      <c r="R32" s="59">
        <f t="shared" si="0"/>
        <v>473.10328796969736</v>
      </c>
      <c r="S32" s="59">
        <f ca="1">AVERAGE(OFFSET($R$3,0,0,'Données projet'!$E$9+1,1))-AVERAGE(OFFSET($H$3,0,0,'Données projet'!$E$9+1,1))</f>
        <v>346.35147716792028</v>
      </c>
      <c r="T32" s="59">
        <f t="shared" si="34"/>
        <v>231.36959598460686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0.68296252186796447</v>
      </c>
      <c r="AC32" s="22">
        <f t="shared" si="3"/>
        <v>0.68296252186796447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7</v>
      </c>
      <c r="AI32" s="13">
        <f>IF('Données projet'!$A$62&gt;35,AI31+AH32-AQ31,IF(A32&lt;'Données projet'!$A$62,$AF$205^A32,IF(A32='Données projet'!$A$62,'Données projet'!$B$62,AI31+AH32-AQ31)))</f>
        <v>90</v>
      </c>
      <c r="AJ32" s="13">
        <f>AI32*VLOOKUP('Données projet'!$B$10,Paramètres!$A$1:$I$89,3,0)*VLOOKUP('Données projet'!$B$10,Paramètres!$A$1:$I$89,5,0)</f>
        <v>81.432000000000002</v>
      </c>
      <c r="AK32" s="13">
        <f t="shared" si="35"/>
        <v>22.486953220240881</v>
      </c>
      <c r="AL32" s="20">
        <f t="shared" si="4"/>
        <v>180.99217685858619</v>
      </c>
      <c r="AM32" s="59">
        <f t="shared" si="5"/>
        <v>473.10328796969736</v>
      </c>
      <c r="AN32" s="59">
        <f ca="1">AVERAGE(OFFSET($AM$3,0,0,'Données projet'!$E$10+1,1))-AVERAGE(OFFSET($H$3,0,0,'Données projet'!$E$10+1,1))</f>
        <v>346.35147716792028</v>
      </c>
      <c r="AO32" s="59">
        <f t="shared" si="36"/>
        <v>231.36959598460686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0.68296252186796447</v>
      </c>
      <c r="AX32" s="21">
        <f t="shared" si="6"/>
        <v>0.68296252186796447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>
        <f>VLOOKUP(A32,'Données projet'!$A$87:$I$107,2,0)</f>
        <v>210.14615384615385</v>
      </c>
      <c r="BB32" s="12">
        <f>VLOOKUP(A32,'Données projet'!$A$87:$I$107,9,0)</f>
        <v>15.078846153846158</v>
      </c>
      <c r="BC32" s="12">
        <f t="array" ref="BC32">INDEX(BB:BB,MIN(IF(ISNUMBER(BB32:BB228),ROW(BB32:BB228),"")))</f>
        <v>15.078846153846158</v>
      </c>
      <c r="BD32" s="12">
        <f>IF('Données projet'!$A$88&gt;35,BD31+BC32-BL31,IF(A32&lt;'Données projet'!$A$88,$BA$205^A32,IF(A32='Données projet'!$A$88,'Données projet'!$B$88,BD31+BC32-BL31)))</f>
        <v>210.14615384615377</v>
      </c>
      <c r="BE32" s="13">
        <f>BD32*VLOOKUP('Données projet'!$B$11,Paramètres!$A$1:$I$89,3,0)*VLOOKUP('Données projet'!$B$11,Paramètres!$A$1:$I$89,5,0)</f>
        <v>125.66739999999997</v>
      </c>
      <c r="BF32" s="13">
        <f t="shared" si="37"/>
        <v>32.993256286656127</v>
      </c>
      <c r="BG32" s="20">
        <f t="shared" si="7"/>
        <v>276.33397636592599</v>
      </c>
      <c r="BH32" s="59">
        <f t="shared" si="8"/>
        <v>568.44508747703708</v>
      </c>
      <c r="BI32" s="59">
        <f ca="1">AVERAGE(OFFSET($BH$3,0,0,'Données projet'!$E$11+1,1))-AVERAGE(OFFSET($H$3,0,0,'Données projet'!$E$11+1,1))</f>
        <v>257.80952690600492</v>
      </c>
      <c r="BJ32" s="59">
        <f t="shared" si="38"/>
        <v>269.95358755269427</v>
      </c>
      <c r="BK32" s="15">
        <f>IF(ISNA(VLOOKUP(A32,'Données projet'!$A$87:$I$107,3,0)),0,VLOOKUP(A32,'Données projet'!$A$87:$I$107,3,0))</f>
        <v>3</v>
      </c>
      <c r="BL32" s="15">
        <f>IF(ISNA(VLOOKUP(A32,'Données projet'!$A$87:$I$107,4,0)),0,VLOOKUP(A32,'Données projet'!$A$87:$I$107,4,0))</f>
        <v>47.661538461538463</v>
      </c>
      <c r="BM32" s="16">
        <f>IF(ISNA(VLOOKUP(A32,'Données projet'!$A$87:$I$107,5,0)),0%,VLOOKUP(A32,'Données projet'!$A$87:$I$107,5,0)*VLOOKUP('Données projet'!$B$11,Paramètres!$A$1:$I$89,7,0))</f>
        <v>0.18000000000000002</v>
      </c>
      <c r="BN32" s="16">
        <f>IF(ISNA(VLOOKUP(A32,'Données projet'!$A$87:$I$107,6,0)),0%,VLOOKUP(A32,'Données projet'!$A$87:$I$107,6,0)*VLOOKUP('Données projet'!$B$11,Paramètres!$A$1:$I$89,7,0))</f>
        <v>0.13500000000000001</v>
      </c>
      <c r="BO32" s="16">
        <f>IF(ISNA(VLOOKUP(A32,'Données projet'!$A$87:$I$107,7,0)),0%,VLOOKUP(A32,'Données projet'!$A$87:$I$107,7,0))</f>
        <v>0.3</v>
      </c>
      <c r="BP32" s="21">
        <f>EXP(-LN(2)/35)*BP31+(1-EXP(-LN(2)/35))/(LN(2)/35)*BL32*BM32*VLOOKUP('Données projet'!$B$11,Paramètres!$A$1:$I$89,3,0)*0.475*44/12</f>
        <v>10.235421196247493</v>
      </c>
      <c r="BQ32" s="21">
        <f>EXP(-LN(2)/25)*BQ31+(1-EXP(-LN(2)/25))/(LN(2)/25)*Calculateur!BL32*Calculateur!BN32*VLOOKUP('Données projet'!$B$11,Paramètres!$A$1:$I$89,3,0)*0.475*44/12</f>
        <v>15.335150139119143</v>
      </c>
      <c r="BR32" s="21">
        <f>EXP(-LN(2)/2)*BR31+(1-EXP(-LN(2)/2))/(LN(2)/2)*BL32*BO32*VLOOKUP('Données projet'!$B$11,Paramètres!$A$1:$I$89,3,0)*0.475*44/12</f>
        <v>12.193101959759279</v>
      </c>
      <c r="BS32" s="22">
        <f t="shared" si="9"/>
        <v>37.763673295125912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14.2</v>
      </c>
      <c r="BY32" s="12">
        <f>IF('Données projet'!$A$114&gt;35,BY31+BX32-CG31,IF(A32&lt;'Données projet'!$A$114,$BV$205^A32,IF(A32='Données projet'!$A$114,'Données projet'!$B$114,BY31+BX32-CG31)))</f>
        <v>117.80000000000001</v>
      </c>
      <c r="BZ32" s="13">
        <f>BY32*VLOOKUP('Données projet'!$B$12,Paramètres!$A$1:$I$89,3,0)*VLOOKUP('Données projet'!$B$12,Paramètres!$A$1:$I$89,5,0)</f>
        <v>91.884000000000015</v>
      </c>
      <c r="CA32" s="13">
        <f t="shared" si="39"/>
        <v>25.019051117801563</v>
      </c>
      <c r="CB32" s="20">
        <f t="shared" si="10"/>
        <v>203.60614736350442</v>
      </c>
      <c r="CC32" s="59">
        <f t="shared" si="11"/>
        <v>495.71725847461556</v>
      </c>
      <c r="CD32" s="59">
        <f ca="1">AVERAGE(OFFSET($CC$3,0,0,'Données projet'!$E$12+1,1))-AVERAGE(OFFSET($H$3,0,0,'Données projet'!$E$12+1,1))</f>
        <v>286.5685205631126</v>
      </c>
      <c r="CE32" s="59">
        <f t="shared" si="40"/>
        <v>264.17357326498581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97</v>
      </c>
      <c r="L33" s="12">
        <f>VLOOKUP(A33,'Données projet'!$A$35:$I$55,9,0)</f>
        <v>7</v>
      </c>
      <c r="M33" s="12">
        <f t="array" ref="M33">INDEX(L:L,MIN(IF(ISNUMBER(L33:L229),ROW(L33:L229),"")))</f>
        <v>7</v>
      </c>
      <c r="N33" s="13">
        <f>IF('Données projet'!$A$36&gt;35,N32+M33-V32,IF(A33&lt;'Données projet'!$A$36,$K$205^A33,IF(A33='Données projet'!$A$36,'Données projet'!$B$36,N32+M33-V32)))</f>
        <v>97</v>
      </c>
      <c r="O33" s="13">
        <f>N33*VLOOKUP('Données projet'!$B$9,Paramètres!$A$1:$I$89,3,0)*VLOOKUP('Données projet'!$B$9,Paramètres!$A$1:$I$89,5,0)</f>
        <v>87.765600000000006</v>
      </c>
      <c r="P33" s="13">
        <f t="shared" si="33"/>
        <v>24.025555589247954</v>
      </c>
      <c r="Q33" s="20">
        <f t="shared" si="2"/>
        <v>194.7029293179402</v>
      </c>
      <c r="R33" s="59">
        <f t="shared" si="0"/>
        <v>488.03626265127355</v>
      </c>
      <c r="S33" s="59">
        <f ca="1">AVERAGE(OFFSET($R$3,0,0,'Données projet'!$E$9+1,1))-AVERAGE(OFFSET($H$3,0,0,'Données projet'!$E$9+1,1))</f>
        <v>346.35147716792028</v>
      </c>
      <c r="T33" s="59">
        <f t="shared" si="34"/>
        <v>231.36959598460686</v>
      </c>
      <c r="U33" s="15">
        <f>IF(ISNA(VLOOKUP(A33,'Données projet'!$A$35:$I$55,3,0)),0,VLOOKUP(A33,'Données projet'!$A$35:$I$55,3,0))</f>
        <v>2</v>
      </c>
      <c r="V33" s="15">
        <f>IF(ISNA(VLOOKUP(A33,'Données projet'!$A$35:$I$55,4,0)),0,VLOOKUP(A33,'Données projet'!$A$35:$I$55,4,0))</f>
        <v>21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0.4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7.6540339101227266</v>
      </c>
      <c r="AC33" s="22">
        <f t="shared" si="3"/>
        <v>7.6540339101227266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97</v>
      </c>
      <c r="AG33" s="12">
        <f>VLOOKUP(A33,'Données projet'!$A$61:$I$81,9,0)</f>
        <v>7</v>
      </c>
      <c r="AH33" s="12">
        <f t="array" ref="AH33">INDEX(AG:AG,MIN(IF(ISNUMBER(AG33:AG229),ROW(AG33:AG229),"")))</f>
        <v>7</v>
      </c>
      <c r="AI33" s="13">
        <f>IF('Données projet'!$A$62&gt;35,AI32+AH33-AQ32,IF(A33&lt;'Données projet'!$A$62,$AF$205^A33,IF(A33='Données projet'!$A$62,'Données projet'!$B$62,AI32+AH33-AQ32)))</f>
        <v>97</v>
      </c>
      <c r="AJ33" s="13">
        <f>AI33*VLOOKUP('Données projet'!$B$10,Paramètres!$A$1:$I$89,3,0)*VLOOKUP('Données projet'!$B$10,Paramètres!$A$1:$I$89,5,0)</f>
        <v>87.765600000000006</v>
      </c>
      <c r="AK33" s="13">
        <f t="shared" si="35"/>
        <v>24.025555589247954</v>
      </c>
      <c r="AL33" s="20">
        <f t="shared" si="4"/>
        <v>194.7029293179402</v>
      </c>
      <c r="AM33" s="59">
        <f t="shared" si="5"/>
        <v>488.03626265127355</v>
      </c>
      <c r="AN33" s="59">
        <f ca="1">AVERAGE(OFFSET($AM$3,0,0,'Données projet'!$E$10+1,1))-AVERAGE(OFFSET($H$3,0,0,'Données projet'!$E$10+1,1))</f>
        <v>346.35147716792028</v>
      </c>
      <c r="AO33" s="59">
        <f t="shared" si="36"/>
        <v>231.36959598460686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21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0.4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7.6540339101227266</v>
      </c>
      <c r="AX33" s="21">
        <f t="shared" si="6"/>
        <v>7.6540339101227266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14.175384615384615</v>
      </c>
      <c r="BD33" s="12">
        <f>IF('Données projet'!$A$88&gt;35,BD32+BC33-BL32,IF(A33&lt;'Données projet'!$A$88,$BA$205^A33,IF(A33='Données projet'!$A$88,'Données projet'!$B$88,BD32+BC33-BL32)))</f>
        <v>176.65999999999991</v>
      </c>
      <c r="BE33" s="13">
        <f>BD33*VLOOKUP('Données projet'!$B$11,Paramètres!$A$1:$I$89,3,0)*VLOOKUP('Données projet'!$B$11,Paramètres!$A$1:$I$89,5,0)</f>
        <v>105.64267999999996</v>
      </c>
      <c r="BF33" s="13">
        <f t="shared" si="37"/>
        <v>28.301963570925022</v>
      </c>
      <c r="BG33" s="20">
        <f t="shared" si="7"/>
        <v>233.28692088602762</v>
      </c>
      <c r="BH33" s="59">
        <f t="shared" si="8"/>
        <v>526.62025421936096</v>
      </c>
      <c r="BI33" s="59">
        <f ca="1">AVERAGE(OFFSET($BH$3,0,0,'Données projet'!$E$11+1,1))-AVERAGE(OFFSET($H$3,0,0,'Données projet'!$E$11+1,1))</f>
        <v>257.80952690600492</v>
      </c>
      <c r="BJ33" s="59">
        <f t="shared" si="38"/>
        <v>269.95358755269427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10.034710829579566</v>
      </c>
      <c r="BQ33" s="21">
        <f>EXP(-LN(2)/25)*BQ32+(1-EXP(-LN(2)/25))/(LN(2)/25)*Calculateur!BL33*Calculateur!BN33*VLOOKUP('Données projet'!$B$11,Paramètres!$A$1:$I$89,3,0)*0.475*44/12</f>
        <v>14.915809652124434</v>
      </c>
      <c r="BR33" s="21">
        <f>EXP(-LN(2)/2)*BR32+(1-EXP(-LN(2)/2))/(LN(2)/2)*BL33*BO33*VLOOKUP('Données projet'!$B$11,Paramètres!$A$1:$I$89,3,0)*0.475*44/12</f>
        <v>8.6218250794447684</v>
      </c>
      <c r="BS33" s="22">
        <f t="shared" si="9"/>
        <v>33.572345561148765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132</v>
      </c>
      <c r="BW33" s="12">
        <f>VLOOKUP(A33,'Données projet'!$A$113:$I$133,9,0)</f>
        <v>14.2</v>
      </c>
      <c r="BX33" s="12">
        <f t="array" ref="BX33">INDEX(BW:BW,MIN(IF(ISNUMBER(BW33:BW229),ROW(BW33:BW229),"")))</f>
        <v>14.2</v>
      </c>
      <c r="BY33" s="12">
        <f>IF('Données projet'!$A$114&gt;35,BY32+BX33-CG32,IF(A33&lt;'Données projet'!$A$114,$BV$205^A33,IF(A33='Données projet'!$A$114,'Données projet'!$B$114,BY32+BX33-CG32)))</f>
        <v>132</v>
      </c>
      <c r="BZ33" s="13">
        <f>BY33*VLOOKUP('Données projet'!$B$12,Paramètres!$A$1:$I$89,3,0)*VLOOKUP('Données projet'!$B$12,Paramètres!$A$1:$I$89,5,0)</f>
        <v>102.96000000000001</v>
      </c>
      <c r="CA33" s="13">
        <f t="shared" si="39"/>
        <v>27.665975080374633</v>
      </c>
      <c r="CB33" s="20">
        <f t="shared" si="10"/>
        <v>227.50690659831915</v>
      </c>
      <c r="CC33" s="59">
        <f t="shared" si="11"/>
        <v>520.84023993165249</v>
      </c>
      <c r="CD33" s="59">
        <f ca="1">AVERAGE(OFFSET($CC$3,0,0,'Données projet'!$E$12+1,1))-AVERAGE(OFFSET($H$3,0,0,'Données projet'!$E$12+1,1))</f>
        <v>286.5685205631126</v>
      </c>
      <c r="CE33" s="59">
        <f t="shared" si="40"/>
        <v>264.17357326498581</v>
      </c>
      <c r="CF33" s="15">
        <f>IF(ISNA(VLOOKUP(A33,'Données projet'!$A$113:$I$133,3,0)),0,VLOOKUP(A33,'Données projet'!$A$113:$I$133,3,0))</f>
        <v>2</v>
      </c>
      <c r="CG33" s="15">
        <f>IF(ISNA(VLOOKUP(A33,'Données projet'!$A$113:$I$133,4,0)),0,VLOOKUP(A33,'Données projet'!$A$113:$I$133,4,0))</f>
        <v>24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8.1999999999999993</v>
      </c>
      <c r="N34" s="13">
        <f>IF('Données projet'!$A$36&gt;35,N33+M34-V33,IF(A34&lt;'Données projet'!$A$36,$K$205^A34,IF(A34='Données projet'!$A$36,'Données projet'!$B$36,N33+M34-V33)))</f>
        <v>84.2</v>
      </c>
      <c r="O34" s="13">
        <f>N34*VLOOKUP('Données projet'!$B$9,Paramètres!$A$1:$I$89,3,0)*VLOOKUP('Données projet'!$B$9,Paramètres!$A$1:$I$89,5,0)</f>
        <v>76.184160000000006</v>
      </c>
      <c r="P34" s="13">
        <f t="shared" si="33"/>
        <v>21.201554232857223</v>
      </c>
      <c r="Q34" s="20">
        <f t="shared" si="2"/>
        <v>169.613452288893</v>
      </c>
      <c r="R34" s="59">
        <f t="shared" si="0"/>
        <v>462.94678562222634</v>
      </c>
      <c r="S34" s="59">
        <f ca="1">AVERAGE(OFFSET($R$3,0,0,'Données projet'!$E$9+1,1))-AVERAGE(OFFSET($H$3,0,0,'Données projet'!$E$9+1,1))</f>
        <v>346.35147716792028</v>
      </c>
      <c r="T34" s="59">
        <f t="shared" si="34"/>
        <v>231.36959598460686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5.4122192812795662</v>
      </c>
      <c r="AC34" s="22">
        <f t="shared" si="3"/>
        <v>5.4122192812795662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8.1999999999999993</v>
      </c>
      <c r="AI34" s="13">
        <f>IF('Données projet'!$A$62&gt;35,AI33+AH34-AQ33,IF(A34&lt;'Données projet'!$A$62,$AF$205^A34,IF(A34='Données projet'!$A$62,'Données projet'!$B$62,AI33+AH34-AQ33)))</f>
        <v>84.2</v>
      </c>
      <c r="AJ34" s="13">
        <f>AI34*VLOOKUP('Données projet'!$B$10,Paramètres!$A$1:$I$89,3,0)*VLOOKUP('Données projet'!$B$10,Paramètres!$A$1:$I$89,5,0)</f>
        <v>76.184160000000006</v>
      </c>
      <c r="AK34" s="13">
        <f t="shared" si="35"/>
        <v>21.201554232857223</v>
      </c>
      <c r="AL34" s="20">
        <f t="shared" si="4"/>
        <v>169.613452288893</v>
      </c>
      <c r="AM34" s="59">
        <f t="shared" si="5"/>
        <v>462.94678562222634</v>
      </c>
      <c r="AN34" s="59">
        <f ca="1">AVERAGE(OFFSET($AM$3,0,0,'Données projet'!$E$10+1,1))-AVERAGE(OFFSET($H$3,0,0,'Données projet'!$E$10+1,1))</f>
        <v>346.35147716792028</v>
      </c>
      <c r="AO34" s="59">
        <f t="shared" si="36"/>
        <v>231.36959598460686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5.4122192812795662</v>
      </c>
      <c r="AX34" s="21">
        <f t="shared" si="6"/>
        <v>5.4122192812795662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14.175384615384615</v>
      </c>
      <c r="BD34" s="12">
        <f>IF('Données projet'!$A$88&gt;35,BD33+BC34-BL33,IF(A34&lt;'Données projet'!$A$88,$BA$205^A34,IF(A34='Données projet'!$A$88,'Données projet'!$B$88,BD33+BC34-BL33)))</f>
        <v>190.83538461538453</v>
      </c>
      <c r="BE34" s="13">
        <f>BD34*VLOOKUP('Données projet'!$B$11,Paramètres!$A$1:$I$89,3,0)*VLOOKUP('Données projet'!$B$11,Paramètres!$A$1:$I$89,5,0)</f>
        <v>114.11955999999996</v>
      </c>
      <c r="BF34" s="13">
        <f t="shared" si="37"/>
        <v>30.299498410587454</v>
      </c>
      <c r="BG34" s="20">
        <f t="shared" si="7"/>
        <v>251.52986006510639</v>
      </c>
      <c r="BH34" s="59">
        <f t="shared" si="8"/>
        <v>544.86319339843976</v>
      </c>
      <c r="BI34" s="59">
        <f ca="1">AVERAGE(OFFSET($BH$3,0,0,'Données projet'!$E$11+1,1))-AVERAGE(OFFSET($H$3,0,0,'Données projet'!$E$11+1,1))</f>
        <v>257.80952690600492</v>
      </c>
      <c r="BJ34" s="59">
        <f t="shared" si="38"/>
        <v>269.95358755269427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9.8379362707807605</v>
      </c>
      <c r="BQ34" s="21">
        <f>EXP(-LN(2)/25)*BQ33+(1-EXP(-LN(2)/25))/(LN(2)/25)*Calculateur!BL34*Calculateur!BN34*VLOOKUP('Données projet'!$B$11,Paramètres!$A$1:$I$89,3,0)*0.475*44/12</f>
        <v>14.507936052798753</v>
      </c>
      <c r="BR34" s="21">
        <f>EXP(-LN(2)/2)*BR33+(1-EXP(-LN(2)/2))/(LN(2)/2)*BL34*BO34*VLOOKUP('Données projet'!$B$11,Paramètres!$A$1:$I$89,3,0)*0.475*44/12</f>
        <v>6.0965509798796402</v>
      </c>
      <c r="BS34" s="22">
        <f t="shared" si="9"/>
        <v>30.442423303459154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13</v>
      </c>
      <c r="BY34" s="12">
        <f>IF('Données projet'!$A$114&gt;35,BY33+BX34-CG33,IF(A34&lt;'Données projet'!$A$114,$BV$205^A34,IF(A34='Données projet'!$A$114,'Données projet'!$B$114,BY33+BX34-CG33)))</f>
        <v>121</v>
      </c>
      <c r="BZ34" s="13">
        <f>BY34*VLOOKUP('Données projet'!$B$12,Paramètres!$A$1:$I$89,3,0)*VLOOKUP('Données projet'!$B$12,Paramètres!$A$1:$I$89,5,0)</f>
        <v>94.38000000000001</v>
      </c>
      <c r="CA34" s="13">
        <f t="shared" si="39"/>
        <v>25.618636348883211</v>
      </c>
      <c r="CB34" s="20">
        <f t="shared" si="10"/>
        <v>208.99762497430493</v>
      </c>
      <c r="CC34" s="59">
        <f t="shared" si="11"/>
        <v>502.33095830763824</v>
      </c>
      <c r="CD34" s="59">
        <f ca="1">AVERAGE(OFFSET($CC$3,0,0,'Données projet'!$E$12+1,1))-AVERAGE(OFFSET($H$3,0,0,'Données projet'!$E$12+1,1))</f>
        <v>286.5685205631126</v>
      </c>
      <c r="CE34" s="59">
        <f t="shared" si="40"/>
        <v>264.17357326498581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8.1999999999999993</v>
      </c>
      <c r="N35" s="13">
        <f>IF('Données projet'!$A$36&gt;35,N34+M35-V34,IF(A35&lt;'Données projet'!$A$36,$K$205^A35,IF(A35='Données projet'!$A$36,'Données projet'!$B$36,N34+M35-V34)))</f>
        <v>92.4</v>
      </c>
      <c r="O35" s="13">
        <f>N35*VLOOKUP('Données projet'!$B$9,Paramètres!$A$1:$I$89,3,0)*VLOOKUP('Données projet'!$B$9,Paramètres!$A$1:$I$89,5,0)</f>
        <v>83.603520000000003</v>
      </c>
      <c r="P35" s="13">
        <f t="shared" si="33"/>
        <v>23.0159915192997</v>
      </c>
      <c r="Q35" s="20">
        <f t="shared" ref="Q35:Q66" si="53">(O35+P35)*0.475*44/12</f>
        <v>185.69564922944699</v>
      </c>
      <c r="R35" s="59">
        <f t="shared" si="0"/>
        <v>479.0289825627803</v>
      </c>
      <c r="S35" s="59">
        <f ca="1">AVERAGE(OFFSET($R$3,0,0,'Données projet'!$E$9+1,1))-AVERAGE(OFFSET($H$3,0,0,'Données projet'!$E$9+1,1))</f>
        <v>346.35147716792028</v>
      </c>
      <c r="T35" s="59">
        <f t="shared" si="34"/>
        <v>231.36959598460686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3.8270169550613642</v>
      </c>
      <c r="AC35" s="22">
        <f t="shared" si="3"/>
        <v>3.8270169550613642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8.1999999999999993</v>
      </c>
      <c r="AI35" s="13">
        <f>IF('Données projet'!$A$62&gt;35,AI34+AH35-AQ34,IF(A35&lt;'Données projet'!$A$62,$AF$205^A35,IF(A35='Données projet'!$A$62,'Données projet'!$B$62,AI34+AH35-AQ34)))</f>
        <v>92.4</v>
      </c>
      <c r="AJ35" s="13">
        <f>AI35*VLOOKUP('Données projet'!$B$10,Paramètres!$A$1:$I$89,3,0)*VLOOKUP('Données projet'!$B$10,Paramètres!$A$1:$I$89,5,0)</f>
        <v>83.603520000000003</v>
      </c>
      <c r="AK35" s="13">
        <f t="shared" si="35"/>
        <v>23.0159915192997</v>
      </c>
      <c r="AL35" s="20">
        <f t="shared" si="4"/>
        <v>185.69564922944699</v>
      </c>
      <c r="AM35" s="59">
        <f t="shared" si="5"/>
        <v>479.0289825627803</v>
      </c>
      <c r="AN35" s="59">
        <f ca="1">AVERAGE(OFFSET($AM$3,0,0,'Données projet'!$E$10+1,1))-AVERAGE(OFFSET($H$3,0,0,'Données projet'!$E$10+1,1))</f>
        <v>346.35147716792028</v>
      </c>
      <c r="AO35" s="59">
        <f t="shared" si="36"/>
        <v>231.36959598460686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3.8270169550613642</v>
      </c>
      <c r="AX35" s="21">
        <f t="shared" si="6"/>
        <v>3.8270169550613642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14.175384615384615</v>
      </c>
      <c r="BD35" s="12">
        <f>IF('Données projet'!$A$88&gt;35,BD34+BC35-BL34,IF(A35&lt;'Données projet'!$A$88,$BA$205^A35,IF(A35='Données projet'!$A$88,'Données projet'!$B$88,BD34+BC35-BL34)))</f>
        <v>205.01076923076914</v>
      </c>
      <c r="BE35" s="13">
        <f>BD35*VLOOKUP('Données projet'!$B$11,Paramètres!$A$1:$I$89,3,0)*VLOOKUP('Données projet'!$B$11,Paramètres!$A$1:$I$89,5,0)</f>
        <v>122.59643999999996</v>
      </c>
      <c r="BF35" s="13">
        <f t="shared" si="37"/>
        <v>32.279819769615763</v>
      </c>
      <c r="BG35" s="20">
        <f t="shared" si="7"/>
        <v>269.74281909874736</v>
      </c>
      <c r="BH35" s="59">
        <f t="shared" si="8"/>
        <v>563.07615243208068</v>
      </c>
      <c r="BI35" s="59">
        <f ca="1">AVERAGE(OFFSET($BH$3,0,0,'Données projet'!$E$11+1,1))-AVERAGE(OFFSET($H$3,0,0,'Données projet'!$E$11+1,1))</f>
        <v>257.80952690600492</v>
      </c>
      <c r="BJ35" s="59">
        <f t="shared" si="38"/>
        <v>269.95358755269427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9.6450203410593698</v>
      </c>
      <c r="BQ35" s="21">
        <f>EXP(-LN(2)/25)*BQ34+(1-EXP(-LN(2)/25))/(LN(2)/25)*Calculateur!BL35*Calculateur!BN35*VLOOKUP('Données projet'!$B$11,Paramètres!$A$1:$I$89,3,0)*0.475*44/12</f>
        <v>14.111215778495772</v>
      </c>
      <c r="BR35" s="21">
        <f>EXP(-LN(2)/2)*BR34+(1-EXP(-LN(2)/2))/(LN(2)/2)*BL35*BO35*VLOOKUP('Données projet'!$B$11,Paramètres!$A$1:$I$89,3,0)*0.475*44/12</f>
        <v>4.3109125397223851</v>
      </c>
      <c r="BS35" s="22">
        <f t="shared" si="9"/>
        <v>28.067148659277525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13</v>
      </c>
      <c r="BY35" s="12">
        <f>IF('Données projet'!$A$114&gt;35,BY34+BX35-CG34,IF(A35&lt;'Données projet'!$A$114,$BV$205^A35,IF(A35='Données projet'!$A$114,'Données projet'!$B$114,BY34+BX35-CG34)))</f>
        <v>134</v>
      </c>
      <c r="BZ35" s="13">
        <f>BY35*VLOOKUP('Données projet'!$B$12,Paramètres!$A$1:$I$89,3,0)*VLOOKUP('Données projet'!$B$12,Paramètres!$A$1:$I$89,5,0)</f>
        <v>104.52000000000001</v>
      </c>
      <c r="CA35" s="13">
        <f t="shared" si="39"/>
        <v>28.036039012748962</v>
      </c>
      <c r="CB35" s="20">
        <f t="shared" si="10"/>
        <v>230.86843461387113</v>
      </c>
      <c r="CC35" s="59">
        <f t="shared" si="11"/>
        <v>524.20176794720442</v>
      </c>
      <c r="CD35" s="59">
        <f ca="1">AVERAGE(OFFSET($CC$3,0,0,'Données projet'!$E$12+1,1))-AVERAGE(OFFSET($H$3,0,0,'Données projet'!$E$12+1,1))</f>
        <v>286.5685205631126</v>
      </c>
      <c r="CE35" s="59">
        <f t="shared" si="40"/>
        <v>264.17357326498581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8.1999999999999993</v>
      </c>
      <c r="N36" s="13">
        <f>IF('Données projet'!$A$36&gt;35,N35+M36-V35,IF(A36&lt;'Données projet'!$A$36,$K$205^A36,IF(A36='Données projet'!$A$36,'Données projet'!$B$36,N35+M36-V35)))</f>
        <v>100.60000000000001</v>
      </c>
      <c r="O36" s="13">
        <f>N36*VLOOKUP('Données projet'!$B$9,Paramètres!$A$1:$I$89,3,0)*VLOOKUP('Données projet'!$B$9,Paramètres!$A$1:$I$89,5,0)</f>
        <v>91.022880000000001</v>
      </c>
      <c r="P36" s="13">
        <f t="shared" si="33"/>
        <v>24.811756526220293</v>
      </c>
      <c r="Q36" s="20">
        <f t="shared" si="53"/>
        <v>201.74532528316698</v>
      </c>
      <c r="R36" s="59">
        <f t="shared" si="0"/>
        <v>495.07865861650032</v>
      </c>
      <c r="S36" s="59">
        <f ca="1">AVERAGE(OFFSET($R$3,0,0,'Données projet'!$E$9+1,1))-AVERAGE(OFFSET($H$3,0,0,'Données projet'!$E$9+1,1))</f>
        <v>346.35147716792028</v>
      </c>
      <c r="T36" s="59">
        <f t="shared" si="34"/>
        <v>231.36959598460686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2.7061096406397835</v>
      </c>
      <c r="AC36" s="22">
        <f t="shared" si="3"/>
        <v>2.7061096406397835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8.1999999999999993</v>
      </c>
      <c r="AI36" s="13">
        <f>IF('Données projet'!$A$62&gt;35,AI35+AH36-AQ35,IF(A36&lt;'Données projet'!$A$62,$AF$205^A36,IF(A36='Données projet'!$A$62,'Données projet'!$B$62,AI35+AH36-AQ35)))</f>
        <v>100.60000000000001</v>
      </c>
      <c r="AJ36" s="13">
        <f>AI36*VLOOKUP('Données projet'!$B$10,Paramètres!$A$1:$I$89,3,0)*VLOOKUP('Données projet'!$B$10,Paramètres!$A$1:$I$89,5,0)</f>
        <v>91.022880000000001</v>
      </c>
      <c r="AK36" s="13">
        <f t="shared" si="35"/>
        <v>24.811756526220293</v>
      </c>
      <c r="AL36" s="20">
        <f t="shared" si="4"/>
        <v>201.74532528316698</v>
      </c>
      <c r="AM36" s="59">
        <f t="shared" si="5"/>
        <v>495.07865861650032</v>
      </c>
      <c r="AN36" s="59">
        <f ca="1">AVERAGE(OFFSET($AM$3,0,0,'Données projet'!$E$10+1,1))-AVERAGE(OFFSET($H$3,0,0,'Données projet'!$E$10+1,1))</f>
        <v>346.35147716792028</v>
      </c>
      <c r="AO36" s="59">
        <f t="shared" si="36"/>
        <v>231.36959598460686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2.7061096406397835</v>
      </c>
      <c r="AX36" s="21">
        <f t="shared" si="6"/>
        <v>2.7061096406397835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14.175384615384615</v>
      </c>
      <c r="BD36" s="12">
        <f>IF('Données projet'!$A$88&gt;35,BD35+BC36-BL35,IF(A36&lt;'Données projet'!$A$88,$BA$205^A36,IF(A36='Données projet'!$A$88,'Données projet'!$B$88,BD35+BC36-BL35)))</f>
        <v>219.18615384615376</v>
      </c>
      <c r="BE36" s="13">
        <f>BD36*VLOOKUP('Données projet'!$B$11,Paramètres!$A$1:$I$89,3,0)*VLOOKUP('Données projet'!$B$11,Paramètres!$A$1:$I$89,5,0)</f>
        <v>131.07331999999994</v>
      </c>
      <c r="BF36" s="13">
        <f t="shared" si="37"/>
        <v>34.244253261100795</v>
      </c>
      <c r="BG36" s="20">
        <f t="shared" si="7"/>
        <v>287.92810676308375</v>
      </c>
      <c r="BH36" s="59">
        <f t="shared" si="8"/>
        <v>581.26144009641712</v>
      </c>
      <c r="BI36" s="59">
        <f ca="1">AVERAGE(OFFSET($BH$3,0,0,'Données projet'!$E$11+1,1))-AVERAGE(OFFSET($H$3,0,0,'Données projet'!$E$11+1,1))</f>
        <v>257.80952690600492</v>
      </c>
      <c r="BJ36" s="59">
        <f t="shared" si="38"/>
        <v>269.95358755269427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9.4558873750527166</v>
      </c>
      <c r="BQ36" s="21">
        <f>EXP(-LN(2)/25)*BQ35+(1-EXP(-LN(2)/25))/(LN(2)/25)*Calculateur!BL36*Calculateur!BN36*VLOOKUP('Données projet'!$B$11,Paramètres!$A$1:$I$89,3,0)*0.475*44/12</f>
        <v>13.725343840956219</v>
      </c>
      <c r="BR36" s="21">
        <f>EXP(-LN(2)/2)*BR35+(1-EXP(-LN(2)/2))/(LN(2)/2)*BL36*BO36*VLOOKUP('Données projet'!$B$11,Paramètres!$A$1:$I$89,3,0)*0.475*44/12</f>
        <v>3.0482754899398206</v>
      </c>
      <c r="BS36" s="22">
        <f t="shared" si="9"/>
        <v>26.229506705948758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13</v>
      </c>
      <c r="BY36" s="12">
        <f>IF('Données projet'!$A$114&gt;35,BY35+BX36-CG35,IF(A36&lt;'Données projet'!$A$114,$BV$205^A36,IF(A36='Données projet'!$A$114,'Données projet'!$B$114,BY35+BX36-CG35)))</f>
        <v>147</v>
      </c>
      <c r="BZ36" s="13">
        <f>BY36*VLOOKUP('Données projet'!$B$12,Paramètres!$A$1:$I$89,3,0)*VLOOKUP('Données projet'!$B$12,Paramètres!$A$1:$I$89,5,0)</f>
        <v>114.66000000000001</v>
      </c>
      <c r="CA36" s="13">
        <f t="shared" si="39"/>
        <v>30.426251641117418</v>
      </c>
      <c r="CB36" s="20">
        <f t="shared" si="10"/>
        <v>252.69188827494614</v>
      </c>
      <c r="CC36" s="59">
        <f t="shared" si="11"/>
        <v>546.02522160827948</v>
      </c>
      <c r="CD36" s="59">
        <f ca="1">AVERAGE(OFFSET($CC$3,0,0,'Données projet'!$E$12+1,1))-AVERAGE(OFFSET($H$3,0,0,'Données projet'!$E$12+1,1))</f>
        <v>286.5685205631126</v>
      </c>
      <c r="CE36" s="59">
        <f t="shared" si="40"/>
        <v>264.17357326498581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8.1999999999999993</v>
      </c>
      <c r="N37" s="13">
        <f>IF('Données projet'!$A$36&gt;35,N36+M37-V36,IF(A37&lt;'Données projet'!$A$36,$K$205^A37,IF(A37='Données projet'!$A$36,'Données projet'!$B$36,N36+M37-V36)))</f>
        <v>108.80000000000001</v>
      </c>
      <c r="O37" s="13">
        <f>N37*VLOOKUP('Données projet'!$B$9,Paramètres!$A$1:$I$89,3,0)*VLOOKUP('Données projet'!$B$9,Paramètres!$A$1:$I$89,5,0)</f>
        <v>98.442239999999998</v>
      </c>
      <c r="P37" s="13">
        <f t="shared" si="33"/>
        <v>26.590544283900247</v>
      </c>
      <c r="Q37" s="20">
        <f t="shared" si="53"/>
        <v>217.76543262779288</v>
      </c>
      <c r="R37" s="59">
        <f t="shared" si="0"/>
        <v>511.09876596112622</v>
      </c>
      <c r="S37" s="59">
        <f ca="1">AVERAGE(OFFSET($R$3,0,0,'Données projet'!$E$9+1,1))-AVERAGE(OFFSET($H$3,0,0,'Données projet'!$E$9+1,1))</f>
        <v>346.35147716792028</v>
      </c>
      <c r="T37" s="59">
        <f t="shared" si="34"/>
        <v>231.36959598460686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1.9135084775306823</v>
      </c>
      <c r="AC37" s="22">
        <f t="shared" si="3"/>
        <v>1.9135084775306823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8.1999999999999993</v>
      </c>
      <c r="AI37" s="13">
        <f>IF('Données projet'!$A$62&gt;35,AI36+AH37-AQ36,IF(A37&lt;'Données projet'!$A$62,$AF$205^A37,IF(A37='Données projet'!$A$62,'Données projet'!$B$62,AI36+AH37-AQ36)))</f>
        <v>108.80000000000001</v>
      </c>
      <c r="AJ37" s="13">
        <f>AI37*VLOOKUP('Données projet'!$B$10,Paramètres!$A$1:$I$89,3,0)*VLOOKUP('Données projet'!$B$10,Paramètres!$A$1:$I$89,5,0)</f>
        <v>98.442239999999998</v>
      </c>
      <c r="AK37" s="13">
        <f t="shared" si="35"/>
        <v>26.590544283900247</v>
      </c>
      <c r="AL37" s="20">
        <f t="shared" si="4"/>
        <v>217.76543262779288</v>
      </c>
      <c r="AM37" s="59">
        <f t="shared" si="5"/>
        <v>511.09876596112622</v>
      </c>
      <c r="AN37" s="59">
        <f ca="1">AVERAGE(OFFSET($AM$3,0,0,'Données projet'!$E$10+1,1))-AVERAGE(OFFSET($H$3,0,0,'Données projet'!$E$10+1,1))</f>
        <v>346.35147716792028</v>
      </c>
      <c r="AO37" s="59">
        <f t="shared" si="36"/>
        <v>231.36959598460686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1.9135084775306823</v>
      </c>
      <c r="AX37" s="21">
        <f t="shared" si="6"/>
        <v>1.9135084775306823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>
        <f>VLOOKUP(A37,'Données projet'!$A$87:$I$107,2,0)</f>
        <v>233.36153846153846</v>
      </c>
      <c r="BB37" s="12">
        <f>VLOOKUP(A37,'Données projet'!$A$87:$I$107,9,0)</f>
        <v>14.175384615384615</v>
      </c>
      <c r="BC37" s="12">
        <f t="array" ref="BC37">INDEX(BB:BB,MIN(IF(ISNUMBER(BB37:BB233),ROW(BB37:BB233),"")))</f>
        <v>14.175384615384615</v>
      </c>
      <c r="BD37" s="12">
        <f>IF('Données projet'!$A$88&gt;35,BD36+BC37-BL36,IF(A37&lt;'Données projet'!$A$88,$BA$205^A37,IF(A37='Données projet'!$A$88,'Données projet'!$B$88,BD36+BC37-BL36)))</f>
        <v>233.36153846153837</v>
      </c>
      <c r="BE37" s="13">
        <f>BD37*VLOOKUP('Données projet'!$B$11,Paramètres!$A$1:$I$89,3,0)*VLOOKUP('Données projet'!$B$11,Paramètres!$A$1:$I$89,5,0)</f>
        <v>139.55019999999996</v>
      </c>
      <c r="BF37" s="13">
        <f t="shared" si="37"/>
        <v>36.193943340422692</v>
      </c>
      <c r="BG37" s="20">
        <f t="shared" si="7"/>
        <v>306.08771631790279</v>
      </c>
      <c r="BH37" s="59">
        <f t="shared" si="8"/>
        <v>599.4210496512361</v>
      </c>
      <c r="BI37" s="59">
        <f ca="1">AVERAGE(OFFSET($BH$3,0,0,'Données projet'!$E$11+1,1))-AVERAGE(OFFSET($H$3,0,0,'Données projet'!$E$11+1,1))</f>
        <v>257.80952690600492</v>
      </c>
      <c r="BJ37" s="59">
        <f t="shared" si="38"/>
        <v>269.95358755269427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 t="e">
        <f>IF(ISNA(VLOOKUP(A37,'Données projet'!$A$87:$I$107,5,0)),0%,VLOOKUP(A37,'Données projet'!$A$87:$I$107,5,0)*VLOOKUP('Données projet'!$B$11,Paramètres!$A$1:$I$89,7,0))</f>
        <v>#VALUE!</v>
      </c>
      <c r="BN37" s="16" t="e">
        <f>IF(ISNA(VLOOKUP(A37,'Données projet'!$A$87:$I$107,6,0)),0%,VLOOKUP(A37,'Données projet'!$A$87:$I$107,6,0)*VLOOKUP('Données projet'!$B$11,Paramètres!$A$1:$I$89,7,0))</f>
        <v>#VALUE!</v>
      </c>
      <c r="BO37" s="16" t="str">
        <f>IF(ISNA(VLOOKUP(A37,'Données projet'!$A$87:$I$107,7,0)),0%,VLOOKUP(A37,'Données projet'!$A$87:$I$107,7,0))</f>
        <v/>
      </c>
      <c r="BP37" s="21" t="e">
        <f>EXP(-LN(2)/35)*BP36+(1-EXP(-LN(2)/35))/(LN(2)/35)*BL37*BM37*VLOOKUP('Données projet'!$B$11,Paramètres!$A$1:$I$89,3,0)*0.475*44/12</f>
        <v>#VALUE!</v>
      </c>
      <c r="BQ37" s="21" t="e">
        <f>EXP(-LN(2)/25)*BQ36+(1-EXP(-LN(2)/25))/(LN(2)/25)*Calculateur!BL37*Calculateur!BN37*VLOOKUP('Données projet'!$B$11,Paramètres!$A$1:$I$89,3,0)*0.475*44/12</f>
        <v>#VALUE!</v>
      </c>
      <c r="BR37" s="21" t="e">
        <f>EXP(-LN(2)/2)*BR36+(1-EXP(-LN(2)/2))/(LN(2)/2)*BL37*BO37*VLOOKUP('Données projet'!$B$11,Paramètres!$A$1:$I$89,3,0)*0.475*44/12</f>
        <v>#VALUE!</v>
      </c>
      <c r="BS37" s="22" t="e">
        <f t="shared" si="9"/>
        <v>#VALUE!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13</v>
      </c>
      <c r="BY37" s="12">
        <f>IF('Données projet'!$A$114&gt;35,BY36+BX37-CG36,IF(A37&lt;'Données projet'!$A$114,$BV$205^A37,IF(A37='Données projet'!$A$114,'Données projet'!$B$114,BY36+BX37-CG36)))</f>
        <v>160</v>
      </c>
      <c r="BZ37" s="13">
        <f>BY37*VLOOKUP('Données projet'!$B$12,Paramètres!$A$1:$I$89,3,0)*VLOOKUP('Données projet'!$B$12,Paramètres!$A$1:$I$89,5,0)</f>
        <v>124.80000000000001</v>
      </c>
      <c r="CA37" s="13">
        <f t="shared" si="39"/>
        <v>32.791952217579265</v>
      </c>
      <c r="CB37" s="20">
        <f t="shared" si="10"/>
        <v>274.47265011228387</v>
      </c>
      <c r="CC37" s="59">
        <f t="shared" si="11"/>
        <v>567.80598344561713</v>
      </c>
      <c r="CD37" s="59">
        <f ca="1">AVERAGE(OFFSET($CC$3,0,0,'Données projet'!$E$12+1,1))-AVERAGE(OFFSET($H$3,0,0,'Données projet'!$E$12+1,1))</f>
        <v>286.5685205631126</v>
      </c>
      <c r="CE37" s="59">
        <f t="shared" si="40"/>
        <v>264.17357326498581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8.1999999999999993</v>
      </c>
      <c r="N38" s="13">
        <f>IF('Données projet'!$A$36&gt;35,N37+M38-V37,IF(A38&lt;'Données projet'!$A$36,$K$205^A38,IF(A38='Données projet'!$A$36,'Données projet'!$B$36,N37+M38-V37)))</f>
        <v>117.00000000000001</v>
      </c>
      <c r="O38" s="13">
        <f>N38*VLOOKUP('Données projet'!$B$9,Paramètres!$A$1:$I$89,3,0)*VLOOKUP('Données projet'!$B$9,Paramètres!$A$1:$I$89,5,0)</f>
        <v>105.8616</v>
      </c>
      <c r="P38" s="13">
        <f t="shared" si="33"/>
        <v>28.353779818951288</v>
      </c>
      <c r="Q38" s="20">
        <f t="shared" si="53"/>
        <v>233.75845318467347</v>
      </c>
      <c r="R38" s="59">
        <f t="shared" si="0"/>
        <v>527.09178651800676</v>
      </c>
      <c r="S38" s="59">
        <f ca="1">AVERAGE(OFFSET($R$3,0,0,'Données projet'!$E$9+1,1))-AVERAGE(OFFSET($H$3,0,0,'Données projet'!$E$9+1,1))</f>
        <v>346.35147716792028</v>
      </c>
      <c r="T38" s="59">
        <f t="shared" si="34"/>
        <v>231.36959598460686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1.353054820319892</v>
      </c>
      <c r="AC38" s="22">
        <f t="shared" si="3"/>
        <v>1.353054820319892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8.1999999999999993</v>
      </c>
      <c r="AI38" s="13">
        <f>IF('Données projet'!$A$62&gt;35,AI37+AH38-AQ37,IF(A38&lt;'Données projet'!$A$62,$AF$205^A38,IF(A38='Données projet'!$A$62,'Données projet'!$B$62,AI37+AH38-AQ37)))</f>
        <v>117.00000000000001</v>
      </c>
      <c r="AJ38" s="13">
        <f>AI38*VLOOKUP('Données projet'!$B$10,Paramètres!$A$1:$I$89,3,0)*VLOOKUP('Données projet'!$B$10,Paramètres!$A$1:$I$89,5,0)</f>
        <v>105.8616</v>
      </c>
      <c r="AK38" s="13">
        <f t="shared" si="35"/>
        <v>28.353779818951288</v>
      </c>
      <c r="AL38" s="20">
        <f t="shared" si="4"/>
        <v>233.75845318467347</v>
      </c>
      <c r="AM38" s="59">
        <f t="shared" si="5"/>
        <v>527.09178651800676</v>
      </c>
      <c r="AN38" s="59">
        <f ca="1">AVERAGE(OFFSET($AM$3,0,0,'Données projet'!$E$10+1,1))-AVERAGE(OFFSET($H$3,0,0,'Données projet'!$E$10+1,1))</f>
        <v>346.35147716792028</v>
      </c>
      <c r="AO38" s="59">
        <f t="shared" si="36"/>
        <v>231.36959598460686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1.353054820319892</v>
      </c>
      <c r="AX38" s="21">
        <f t="shared" si="6"/>
        <v>1.353054820319892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14.607692307692318</v>
      </c>
      <c r="BD38" s="12">
        <f>IF('Données projet'!$A$88&gt;35,BD37+BC38-BL37,IF(A38&lt;'Données projet'!$A$88,$BA$205^A38,IF(A38='Données projet'!$A$88,'Données projet'!$B$88,BD37+BC38-BL37)))</f>
        <v>247.96923076923071</v>
      </c>
      <c r="BE38" s="13">
        <f>BD38*VLOOKUP('Données projet'!$B$11,Paramètres!$A$1:$I$89,3,0)*VLOOKUP('Données projet'!$B$11,Paramètres!$A$1:$I$89,5,0)</f>
        <v>148.28559999999996</v>
      </c>
      <c r="BF38" s="13">
        <f t="shared" si="37"/>
        <v>38.188721800687638</v>
      </c>
      <c r="BG38" s="20">
        <f t="shared" si="7"/>
        <v>324.77611046953086</v>
      </c>
      <c r="BH38" s="59">
        <f t="shared" si="8"/>
        <v>618.10944380286423</v>
      </c>
      <c r="BI38" s="59">
        <f ca="1">AVERAGE(OFFSET($BH$3,0,0,'Données projet'!$E$11+1,1))-AVERAGE(OFFSET($H$3,0,0,'Données projet'!$E$11+1,1))</f>
        <v>257.80952690600492</v>
      </c>
      <c r="BJ38" s="59">
        <f t="shared" si="38"/>
        <v>269.95358755269427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#VALUE!</v>
      </c>
      <c r="BQ38" s="21" t="e">
        <f>EXP(-LN(2)/25)*BQ37+(1-EXP(-LN(2)/25))/(LN(2)/25)*Calculateur!BL38*Calculateur!BN38*VLOOKUP('Données projet'!$B$11,Paramètres!$A$1:$I$89,3,0)*0.475*44/12</f>
        <v>#VALUE!</v>
      </c>
      <c r="BR38" s="21" t="e">
        <f>EXP(-LN(2)/2)*BR37+(1-EXP(-LN(2)/2))/(LN(2)/2)*BL38*BO38*VLOOKUP('Données projet'!$B$11,Paramètres!$A$1:$I$89,3,0)*0.475*44/12</f>
        <v>#VALUE!</v>
      </c>
      <c r="BS38" s="22" t="e">
        <f t="shared" si="9"/>
        <v>#VALUE!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173</v>
      </c>
      <c r="BW38" s="12">
        <f>VLOOKUP(A38,'Données projet'!$A$113:$I$133,9,0)</f>
        <v>13</v>
      </c>
      <c r="BX38" s="12">
        <f t="array" ref="BX38">INDEX(BW:BW,MIN(IF(ISNUMBER(BW38:BW234),ROW(BW38:BW234),"")))</f>
        <v>13</v>
      </c>
      <c r="BY38" s="12">
        <f>IF('Données projet'!$A$114&gt;35,BY37+BX38-CG37,IF(A38&lt;'Données projet'!$A$114,$BV$205^A38,IF(A38='Données projet'!$A$114,'Données projet'!$B$114,BY37+BX38-CG37)))</f>
        <v>173</v>
      </c>
      <c r="BZ38" s="13">
        <f>BY38*VLOOKUP('Données projet'!$B$12,Paramètres!$A$1:$I$89,3,0)*VLOOKUP('Données projet'!$B$12,Paramètres!$A$1:$I$89,5,0)</f>
        <v>134.94</v>
      </c>
      <c r="CA38" s="13">
        <f t="shared" si="39"/>
        <v>35.135358771568036</v>
      </c>
      <c r="CB38" s="20">
        <f t="shared" si="10"/>
        <v>296.21458319381429</v>
      </c>
      <c r="CC38" s="59">
        <f t="shared" si="11"/>
        <v>589.54791652714766</v>
      </c>
      <c r="CD38" s="59">
        <f ca="1">AVERAGE(OFFSET($CC$3,0,0,'Données projet'!$E$12+1,1))-AVERAGE(OFFSET($H$3,0,0,'Données projet'!$E$12+1,1))</f>
        <v>286.5685205631126</v>
      </c>
      <c r="CE38" s="59">
        <f t="shared" si="40"/>
        <v>264.17357326498581</v>
      </c>
      <c r="CF38" s="15">
        <f>IF(ISNA(VLOOKUP(A38,'Données projet'!$A$113:$I$133,3,0)),0,VLOOKUP(A38,'Données projet'!$A$113:$I$133,3,0))</f>
        <v>3</v>
      </c>
      <c r="CG38" s="15">
        <f>IF(ISNA(VLOOKUP(A38,'Données projet'!$A$113:$I$133,4,0)),0,VLOOKUP(A38,'Données projet'!$A$113:$I$133,4,0))</f>
        <v>27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8.1999999999999993</v>
      </c>
      <c r="N39" s="13">
        <f>IF('Données projet'!$A$36&gt;35,N38+M39-V38,IF(A39&lt;'Données projet'!$A$36,$K$205^A39,IF(A39='Données projet'!$A$36,'Données projet'!$B$36,N38+M39-V38)))</f>
        <v>125.20000000000002</v>
      </c>
      <c r="O39" s="13">
        <f>N39*VLOOKUP('Données projet'!$B$9,Paramètres!$A$1:$I$89,3,0)*VLOOKUP('Données projet'!$B$9,Paramètres!$A$1:$I$89,5,0)</f>
        <v>113.28096000000001</v>
      </c>
      <c r="P39" s="13">
        <f t="shared" si="33"/>
        <v>30.102677097724484</v>
      </c>
      <c r="Q39" s="20">
        <f t="shared" si="53"/>
        <v>249.7265012785368</v>
      </c>
      <c r="R39" s="59">
        <f t="shared" si="0"/>
        <v>543.05983461187009</v>
      </c>
      <c r="S39" s="59">
        <f ca="1">AVERAGE(OFFSET($R$3,0,0,'Données projet'!$E$9+1,1))-AVERAGE(OFFSET($H$3,0,0,'Données projet'!$E$9+1,1))</f>
        <v>346.35147716792028</v>
      </c>
      <c r="T39" s="59">
        <f t="shared" si="34"/>
        <v>231.36959598460686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0.95675423876534127</v>
      </c>
      <c r="AC39" s="22">
        <f t="shared" si="3"/>
        <v>0.95675423876534127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8.1999999999999993</v>
      </c>
      <c r="AI39" s="13">
        <f>IF('Données projet'!$A$62&gt;35,AI38+AH39-AQ38,IF(A39&lt;'Données projet'!$A$62,$AF$205^A39,IF(A39='Données projet'!$A$62,'Données projet'!$B$62,AI38+AH39-AQ38)))</f>
        <v>125.20000000000002</v>
      </c>
      <c r="AJ39" s="13">
        <f>AI39*VLOOKUP('Données projet'!$B$10,Paramètres!$A$1:$I$89,3,0)*VLOOKUP('Données projet'!$B$10,Paramètres!$A$1:$I$89,5,0)</f>
        <v>113.28096000000001</v>
      </c>
      <c r="AK39" s="13">
        <f t="shared" si="35"/>
        <v>30.102677097724484</v>
      </c>
      <c r="AL39" s="20">
        <f t="shared" si="4"/>
        <v>249.7265012785368</v>
      </c>
      <c r="AM39" s="59">
        <f t="shared" si="5"/>
        <v>543.05983461187009</v>
      </c>
      <c r="AN39" s="59">
        <f ca="1">AVERAGE(OFFSET($AM$3,0,0,'Données projet'!$E$10+1,1))-AVERAGE(OFFSET($H$3,0,0,'Données projet'!$E$10+1,1))</f>
        <v>346.35147716792028</v>
      </c>
      <c r="AO39" s="59">
        <f t="shared" si="36"/>
        <v>231.36959598460686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0.95675423876534127</v>
      </c>
      <c r="AX39" s="21">
        <f t="shared" si="6"/>
        <v>0.95675423876534127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>
        <f>VLOOKUP(A39,'Données projet'!$A$87:$I$107,2,0)</f>
        <v>262.57692307692309</v>
      </c>
      <c r="BB39" s="12">
        <f>VLOOKUP(A39,'Données projet'!$A$87:$I$107,9,0)</f>
        <v>14.607692307692318</v>
      </c>
      <c r="BC39" s="12">
        <f t="array" ref="BC39">INDEX(BB:BB,MIN(IF(ISNUMBER(BB39:BB235),ROW(BB39:BB235),"")))</f>
        <v>14.607692307692318</v>
      </c>
      <c r="BD39" s="12">
        <f>IF('Données projet'!$A$88&gt;35,BD38+BC39-BL38,IF(A39&lt;'Données projet'!$A$88,$BA$205^A39,IF(A39='Données projet'!$A$88,'Données projet'!$B$88,BD38+BC39-BL38)))</f>
        <v>262.57692307692304</v>
      </c>
      <c r="BE39" s="13">
        <f>BD39*VLOOKUP('Données projet'!$B$11,Paramètres!$A$1:$I$89,3,0)*VLOOKUP('Données projet'!$B$11,Paramètres!$A$1:$I$89,5,0)</f>
        <v>157.02099999999999</v>
      </c>
      <c r="BF39" s="13">
        <f t="shared" si="37"/>
        <v>40.169860444278903</v>
      </c>
      <c r="BG39" s="20">
        <f t="shared" si="7"/>
        <v>343.44074860711902</v>
      </c>
      <c r="BH39" s="59">
        <f t="shared" si="8"/>
        <v>636.77408194045233</v>
      </c>
      <c r="BI39" s="59">
        <f ca="1">AVERAGE(OFFSET($BH$3,0,0,'Données projet'!$E$11+1,1))-AVERAGE(OFFSET($H$3,0,0,'Données projet'!$E$11+1,1))</f>
        <v>257.80952690600492</v>
      </c>
      <c r="BJ39" s="59">
        <f t="shared" si="38"/>
        <v>269.95358755269427</v>
      </c>
      <c r="BK39" s="15">
        <f>IF(ISNA(VLOOKUP(A39,'Données projet'!$A$87:$I$107,3,0)),0,VLOOKUP(A39,'Données projet'!$A$87:$I$107,3,0))</f>
        <v>4</v>
      </c>
      <c r="BL39" s="15">
        <f>IF(ISNA(VLOOKUP(A39,'Données projet'!$A$87:$I$107,4,0)),0,VLOOKUP(A39,'Données projet'!$A$87:$I$107,4,0))</f>
        <v>64.553846153846152</v>
      </c>
      <c r="BM39" s="16" t="e">
        <f>IF(ISNA(VLOOKUP(A39,'Données projet'!$A$87:$I$107,5,0)),0%,VLOOKUP(A39,'Données projet'!$A$87:$I$107,5,0)*VLOOKUP('Données projet'!$B$11,Paramètres!$A$1:$I$89,7,0))</f>
        <v>#VALUE!</v>
      </c>
      <c r="BN39" s="16" t="e">
        <f>IF(ISNA(VLOOKUP(A39,'Données projet'!$A$87:$I$107,6,0)),0%,VLOOKUP(A39,'Données projet'!$A$87:$I$107,6,0)*VLOOKUP('Données projet'!$B$11,Paramètres!$A$1:$I$89,7,0))</f>
        <v>#VALUE!</v>
      </c>
      <c r="BO39" s="16" t="str">
        <f>IF(ISNA(VLOOKUP(A39,'Données projet'!$A$87:$I$107,7,0)),0%,VLOOKUP(A39,'Données projet'!$A$87:$I$107,7,0))</f>
        <v/>
      </c>
      <c r="BP39" s="21" t="e">
        <f>EXP(-LN(2)/35)*BP38+(1-EXP(-LN(2)/35))/(LN(2)/35)*BL39*BM39*VLOOKUP('Données projet'!$B$11,Paramètres!$A$1:$I$89,3,0)*0.475*44/12</f>
        <v>#VALUE!</v>
      </c>
      <c r="BQ39" s="21" t="e">
        <f>EXP(-LN(2)/25)*BQ38+(1-EXP(-LN(2)/25))/(LN(2)/25)*Calculateur!BL39*Calculateur!BN39*VLOOKUP('Données projet'!$B$11,Paramètres!$A$1:$I$89,3,0)*0.475*44/12</f>
        <v>#VALUE!</v>
      </c>
      <c r="BR39" s="21" t="e">
        <f>EXP(-LN(2)/2)*BR38+(1-EXP(-LN(2)/2))/(LN(2)/2)*BL39*BO39*VLOOKUP('Données projet'!$B$11,Paramètres!$A$1:$I$89,3,0)*0.475*44/12</f>
        <v>#VALUE!</v>
      </c>
      <c r="BS39" s="22" t="e">
        <f t="shared" si="9"/>
        <v>#VALUE!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12.4</v>
      </c>
      <c r="BY39" s="12">
        <f>IF('Données projet'!$A$114&gt;35,BY38+BX39-CG38,IF(A39&lt;'Données projet'!$A$114,$BV$205^A39,IF(A39='Données projet'!$A$114,'Données projet'!$B$114,BY38+BX39-CG38)))</f>
        <v>158.4</v>
      </c>
      <c r="BZ39" s="13">
        <f>BY39*VLOOKUP('Données projet'!$B$12,Paramètres!$A$1:$I$89,3,0)*VLOOKUP('Données projet'!$B$12,Paramètres!$A$1:$I$89,5,0)</f>
        <v>123.55200000000001</v>
      </c>
      <c r="CA39" s="13">
        <f t="shared" si="39"/>
        <v>32.502033262579566</v>
      </c>
      <c r="CB39" s="20">
        <f t="shared" si="10"/>
        <v>271.79410793232609</v>
      </c>
      <c r="CC39" s="59">
        <f t="shared" si="11"/>
        <v>565.1274412656594</v>
      </c>
      <c r="CD39" s="59">
        <f ca="1">AVERAGE(OFFSET($CC$3,0,0,'Données projet'!$E$12+1,1))-AVERAGE(OFFSET($H$3,0,0,'Données projet'!$E$12+1,1))</f>
        <v>286.5685205631126</v>
      </c>
      <c r="CE39" s="59">
        <f t="shared" si="40"/>
        <v>264.17357326498581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8.1999999999999993</v>
      </c>
      <c r="N40" s="13">
        <f>IF('Données projet'!$A$36&gt;35,N39+M40-V39,IF(A40&lt;'Données projet'!$A$36,$K$205^A40,IF(A40='Données projet'!$A$36,'Données projet'!$B$36,N39+M40-V39)))</f>
        <v>133.4</v>
      </c>
      <c r="O40" s="13">
        <f>N40*VLOOKUP('Données projet'!$B$9,Paramètres!$A$1:$I$89,3,0)*VLOOKUP('Données projet'!$B$9,Paramètres!$A$1:$I$89,5,0)</f>
        <v>120.70032</v>
      </c>
      <c r="P40" s="13">
        <f t="shared" si="33"/>
        <v>31.838282075030818</v>
      </c>
      <c r="Q40" s="20">
        <f t="shared" si="53"/>
        <v>265.67139861401199</v>
      </c>
      <c r="R40" s="59">
        <f t="shared" si="0"/>
        <v>559.00473194734536</v>
      </c>
      <c r="S40" s="59">
        <f ca="1">AVERAGE(OFFSET($R$3,0,0,'Données projet'!$E$9+1,1))-AVERAGE(OFFSET($H$3,0,0,'Données projet'!$E$9+1,1))</f>
        <v>346.35147716792028</v>
      </c>
      <c r="T40" s="59">
        <f t="shared" si="34"/>
        <v>231.36959598460686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0.67652741015994611</v>
      </c>
      <c r="AC40" s="22">
        <f t="shared" si="3"/>
        <v>0.67652741015994611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8.1999999999999993</v>
      </c>
      <c r="AI40" s="13">
        <f>IF('Données projet'!$A$62&gt;35,AI39+AH40-AQ39,IF(A40&lt;'Données projet'!$A$62,$AF$205^A40,IF(A40='Données projet'!$A$62,'Données projet'!$B$62,AI39+AH40-AQ39)))</f>
        <v>133.4</v>
      </c>
      <c r="AJ40" s="13">
        <f>AI40*VLOOKUP('Données projet'!$B$10,Paramètres!$A$1:$I$89,3,0)*VLOOKUP('Données projet'!$B$10,Paramètres!$A$1:$I$89,5,0)</f>
        <v>120.70032</v>
      </c>
      <c r="AK40" s="13">
        <f t="shared" si="35"/>
        <v>31.838282075030818</v>
      </c>
      <c r="AL40" s="20">
        <f t="shared" si="4"/>
        <v>265.67139861401199</v>
      </c>
      <c r="AM40" s="59">
        <f t="shared" si="5"/>
        <v>559.00473194734536</v>
      </c>
      <c r="AN40" s="59">
        <f ca="1">AVERAGE(OFFSET($AM$3,0,0,'Données projet'!$E$10+1,1))-AVERAGE(OFFSET($H$3,0,0,'Données projet'!$E$10+1,1))</f>
        <v>346.35147716792028</v>
      </c>
      <c r="AO40" s="59">
        <f t="shared" si="36"/>
        <v>231.36959598460686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0.67652741015994611</v>
      </c>
      <c r="AX40" s="21">
        <f t="shared" si="6"/>
        <v>0.67652741015994611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11.491346153846152</v>
      </c>
      <c r="BD40" s="12">
        <f>IF('Données projet'!$A$88&gt;35,BD39+BC40-BL39,IF(A40&lt;'Données projet'!$A$88,$BA$205^A40,IF(A40='Données projet'!$A$88,'Données projet'!$B$88,BD39+BC40-BL39)))</f>
        <v>209.51442307692304</v>
      </c>
      <c r="BE40" s="13">
        <f>BD40*VLOOKUP('Données projet'!$B$11,Paramètres!$A$1:$I$89,3,0)*VLOOKUP('Données projet'!$B$11,Paramètres!$A$1:$I$89,5,0)</f>
        <v>125.28962499999999</v>
      </c>
      <c r="BF40" s="13">
        <f t="shared" si="37"/>
        <v>32.905603135457035</v>
      </c>
      <c r="BG40" s="20">
        <f t="shared" si="7"/>
        <v>275.52335566925433</v>
      </c>
      <c r="BH40" s="59">
        <f t="shared" si="8"/>
        <v>568.8566890025877</v>
      </c>
      <c r="BI40" s="59">
        <f ca="1">AVERAGE(OFFSET($BH$3,0,0,'Données projet'!$E$11+1,1))-AVERAGE(OFFSET($H$3,0,0,'Données projet'!$E$11+1,1))</f>
        <v>257.80952690600492</v>
      </c>
      <c r="BJ40" s="59">
        <f t="shared" si="38"/>
        <v>269.95358755269427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#VALUE!</v>
      </c>
      <c r="BQ40" s="21" t="e">
        <f>EXP(-LN(2)/25)*BQ39+(1-EXP(-LN(2)/25))/(LN(2)/25)*Calculateur!BL40*Calculateur!BN40*VLOOKUP('Données projet'!$B$11,Paramètres!$A$1:$I$89,3,0)*0.475*44/12</f>
        <v>#VALUE!</v>
      </c>
      <c r="BR40" s="21" t="e">
        <f>EXP(-LN(2)/2)*BR39+(1-EXP(-LN(2)/2))/(LN(2)/2)*BL40*BO40*VLOOKUP('Données projet'!$B$11,Paramètres!$A$1:$I$89,3,0)*0.475*44/12</f>
        <v>#VALUE!</v>
      </c>
      <c r="BS40" s="22" t="e">
        <f t="shared" si="9"/>
        <v>#VALUE!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12.4</v>
      </c>
      <c r="BY40" s="12">
        <f>IF('Données projet'!$A$114&gt;35,BY39+BX40-CG39,IF(A40&lt;'Données projet'!$A$114,$BV$205^A40,IF(A40='Données projet'!$A$114,'Données projet'!$B$114,BY39+BX40-CG39)))</f>
        <v>170.8</v>
      </c>
      <c r="BZ40" s="13">
        <f>BY40*VLOOKUP('Données projet'!$B$12,Paramètres!$A$1:$I$89,3,0)*VLOOKUP('Données projet'!$B$12,Paramètres!$A$1:$I$89,5,0)</f>
        <v>133.22400000000002</v>
      </c>
      <c r="CA40" s="13">
        <f t="shared" si="39"/>
        <v>34.740265606230608</v>
      </c>
      <c r="CB40" s="20">
        <f t="shared" si="10"/>
        <v>292.53776259751834</v>
      </c>
      <c r="CC40" s="59">
        <f t="shared" si="11"/>
        <v>585.87109593085165</v>
      </c>
      <c r="CD40" s="59">
        <f ca="1">AVERAGE(OFFSET($CC$3,0,0,'Données projet'!$E$12+1,1))-AVERAGE(OFFSET($H$3,0,0,'Données projet'!$E$12+1,1))</f>
        <v>286.5685205631126</v>
      </c>
      <c r="CE40" s="59">
        <f t="shared" si="40"/>
        <v>264.17357326498581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8.1999999999999993</v>
      </c>
      <c r="N41" s="13">
        <f>IF('Données projet'!$A$36&gt;35,N40+M41-V40,IF(A41&lt;'Données projet'!$A$36,$K$205^A41,IF(A41='Données projet'!$A$36,'Données projet'!$B$36,N40+M41-V40)))</f>
        <v>141.6</v>
      </c>
      <c r="O41" s="13">
        <f>N41*VLOOKUP('Données projet'!$B$9,Paramètres!$A$1:$I$89,3,0)*VLOOKUP('Données projet'!$B$9,Paramètres!$A$1:$I$89,5,0)</f>
        <v>128.11967999999999</v>
      </c>
      <c r="P41" s="13">
        <f t="shared" si="33"/>
        <v>33.561504850994297</v>
      </c>
      <c r="Q41" s="20">
        <f t="shared" si="53"/>
        <v>281.5947302821483</v>
      </c>
      <c r="R41" s="59">
        <f t="shared" si="0"/>
        <v>574.92806361548162</v>
      </c>
      <c r="S41" s="59">
        <f ca="1">AVERAGE(OFFSET($R$3,0,0,'Données projet'!$E$9+1,1))-AVERAGE(OFFSET($H$3,0,0,'Données projet'!$E$9+1,1))</f>
        <v>346.35147716792028</v>
      </c>
      <c r="T41" s="59">
        <f t="shared" si="34"/>
        <v>231.36959598460686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0.47837711938267075</v>
      </c>
      <c r="AC41" s="22">
        <f t="shared" si="3"/>
        <v>0.47837711938267075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8.1999999999999993</v>
      </c>
      <c r="AI41" s="13">
        <f>IF('Données projet'!$A$62&gt;35,AI40+AH41-AQ40,IF(A41&lt;'Données projet'!$A$62,$AF$205^A41,IF(A41='Données projet'!$A$62,'Données projet'!$B$62,AI40+AH41-AQ40)))</f>
        <v>141.6</v>
      </c>
      <c r="AJ41" s="13">
        <f>AI41*VLOOKUP('Données projet'!$B$10,Paramètres!$A$1:$I$89,3,0)*VLOOKUP('Données projet'!$B$10,Paramètres!$A$1:$I$89,5,0)</f>
        <v>128.11967999999999</v>
      </c>
      <c r="AK41" s="13">
        <f t="shared" si="35"/>
        <v>33.561504850994297</v>
      </c>
      <c r="AL41" s="20">
        <f t="shared" si="4"/>
        <v>281.5947302821483</v>
      </c>
      <c r="AM41" s="59">
        <f t="shared" si="5"/>
        <v>574.92806361548162</v>
      </c>
      <c r="AN41" s="59">
        <f ca="1">AVERAGE(OFFSET($AM$3,0,0,'Données projet'!$E$10+1,1))-AVERAGE(OFFSET($H$3,0,0,'Données projet'!$E$10+1,1))</f>
        <v>346.35147716792028</v>
      </c>
      <c r="AO41" s="59">
        <f t="shared" si="36"/>
        <v>231.36959598460686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0.47837711938267075</v>
      </c>
      <c r="AX41" s="21">
        <f t="shared" si="6"/>
        <v>0.47837711938267075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11.491346153846152</v>
      </c>
      <c r="BD41" s="12">
        <f>IF('Données projet'!$A$88&gt;35,BD40+BC41-BL40,IF(A41&lt;'Données projet'!$A$88,$BA$205^A41,IF(A41='Données projet'!$A$88,'Données projet'!$B$88,BD40+BC41-BL40)))</f>
        <v>221.0057692307692</v>
      </c>
      <c r="BE41" s="13">
        <f>BD41*VLOOKUP('Données projet'!$B$11,Paramètres!$A$1:$I$89,3,0)*VLOOKUP('Données projet'!$B$11,Paramètres!$A$1:$I$89,5,0)</f>
        <v>132.16145</v>
      </c>
      <c r="BF41" s="13">
        <f t="shared" si="37"/>
        <v>34.495326632118967</v>
      </c>
      <c r="BG41" s="20">
        <f t="shared" si="7"/>
        <v>290.26055263427389</v>
      </c>
      <c r="BH41" s="59">
        <f t="shared" si="8"/>
        <v>583.59388596760721</v>
      </c>
      <c r="BI41" s="59">
        <f ca="1">AVERAGE(OFFSET($BH$3,0,0,'Données projet'!$E$11+1,1))-AVERAGE(OFFSET($H$3,0,0,'Données projet'!$E$11+1,1))</f>
        <v>257.80952690600492</v>
      </c>
      <c r="BJ41" s="59">
        <f t="shared" si="38"/>
        <v>269.95358755269427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#VALUE!</v>
      </c>
      <c r="BQ41" s="21" t="e">
        <f>EXP(-LN(2)/25)*BQ40+(1-EXP(-LN(2)/25))/(LN(2)/25)*Calculateur!BL41*Calculateur!BN41*VLOOKUP('Données projet'!$B$11,Paramètres!$A$1:$I$89,3,0)*0.475*44/12</f>
        <v>#VALUE!</v>
      </c>
      <c r="BR41" s="21" t="e">
        <f>EXP(-LN(2)/2)*BR40+(1-EXP(-LN(2)/2))/(LN(2)/2)*BL41*BO41*VLOOKUP('Données projet'!$B$11,Paramètres!$A$1:$I$89,3,0)*0.475*44/12</f>
        <v>#VALUE!</v>
      </c>
      <c r="BS41" s="22" t="e">
        <f t="shared" si="9"/>
        <v>#VALUE!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12.4</v>
      </c>
      <c r="BY41" s="12">
        <f>IF('Données projet'!$A$114&gt;35,BY40+BX41-CG40,IF(A41&lt;'Données projet'!$A$114,$BV$205^A41,IF(A41='Données projet'!$A$114,'Données projet'!$B$114,BY40+BX41-CG40)))</f>
        <v>183.20000000000002</v>
      </c>
      <c r="BZ41" s="13">
        <f>BY41*VLOOKUP('Données projet'!$B$12,Paramètres!$A$1:$I$89,3,0)*VLOOKUP('Données projet'!$B$12,Paramètres!$A$1:$I$89,5,0)</f>
        <v>142.89600000000002</v>
      </c>
      <c r="CA41" s="13">
        <f t="shared" si="39"/>
        <v>36.959645797372403</v>
      </c>
      <c r="CB41" s="20">
        <f t="shared" si="10"/>
        <v>313.24858309709026</v>
      </c>
      <c r="CC41" s="59">
        <f t="shared" si="11"/>
        <v>606.58191643042358</v>
      </c>
      <c r="CD41" s="59">
        <f ca="1">AVERAGE(OFFSET($CC$3,0,0,'Données projet'!$E$12+1,1))-AVERAGE(OFFSET($H$3,0,0,'Données projet'!$E$12+1,1))</f>
        <v>286.5685205631126</v>
      </c>
      <c r="CE41" s="59">
        <f t="shared" si="40"/>
        <v>264.17357326498581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8.1999999999999993</v>
      </c>
      <c r="N42" s="13">
        <f>IF('Données projet'!$A$36&gt;35,N41+M42-V41,IF(A42&lt;'Données projet'!$A$36,$K$205^A42,IF(A42='Données projet'!$A$36,'Données projet'!$B$36,N41+M42-V41)))</f>
        <v>149.79999999999998</v>
      </c>
      <c r="O42" s="13">
        <f>N42*VLOOKUP('Données projet'!$B$9,Paramètres!$A$1:$I$89,3,0)*VLOOKUP('Données projet'!$B$9,Paramètres!$A$1:$I$89,5,0)</f>
        <v>135.53903999999997</v>
      </c>
      <c r="P42" s="13">
        <f t="shared" si="33"/>
        <v>35.273144164630104</v>
      </c>
      <c r="Q42" s="20">
        <f t="shared" si="53"/>
        <v>297.49788742006405</v>
      </c>
      <c r="R42" s="59">
        <f t="shared" si="0"/>
        <v>590.83122075339736</v>
      </c>
      <c r="S42" s="59">
        <f ca="1">AVERAGE(OFFSET($R$3,0,0,'Données projet'!$E$9+1,1))-AVERAGE(OFFSET($H$3,0,0,'Données projet'!$E$9+1,1))</f>
        <v>346.35147716792028</v>
      </c>
      <c r="T42" s="59">
        <f t="shared" si="34"/>
        <v>231.36959598460686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0.33826370507997311</v>
      </c>
      <c r="AC42" s="22">
        <f t="shared" si="3"/>
        <v>0.33826370507997311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8.1999999999999993</v>
      </c>
      <c r="AI42" s="13">
        <f>IF('Données projet'!$A$62&gt;35,AI41+AH42-AQ41,IF(A42&lt;'Données projet'!$A$62,$AF$205^A42,IF(A42='Données projet'!$A$62,'Données projet'!$B$62,AI41+AH42-AQ41)))</f>
        <v>149.79999999999998</v>
      </c>
      <c r="AJ42" s="13">
        <f>AI42*VLOOKUP('Données projet'!$B$10,Paramètres!$A$1:$I$89,3,0)*VLOOKUP('Données projet'!$B$10,Paramètres!$A$1:$I$89,5,0)</f>
        <v>135.53903999999997</v>
      </c>
      <c r="AK42" s="13">
        <f t="shared" si="35"/>
        <v>35.273144164630104</v>
      </c>
      <c r="AL42" s="20">
        <f t="shared" si="4"/>
        <v>297.49788742006405</v>
      </c>
      <c r="AM42" s="59">
        <f t="shared" si="5"/>
        <v>590.83122075339736</v>
      </c>
      <c r="AN42" s="59">
        <f ca="1">AVERAGE(OFFSET($AM$3,0,0,'Données projet'!$E$10+1,1))-AVERAGE(OFFSET($H$3,0,0,'Données projet'!$E$10+1,1))</f>
        <v>346.35147716792028</v>
      </c>
      <c r="AO42" s="59">
        <f t="shared" si="36"/>
        <v>231.36959598460686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0.33826370507997311</v>
      </c>
      <c r="AX42" s="21">
        <f t="shared" si="6"/>
        <v>0.33826370507997311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11.491346153846152</v>
      </c>
      <c r="BD42" s="12">
        <f>IF('Données projet'!$A$88&gt;35,BD41+BC42-BL41,IF(A42&lt;'Données projet'!$A$88,$BA$205^A42,IF(A42='Données projet'!$A$88,'Données projet'!$B$88,BD41+BC42-BL41)))</f>
        <v>232.49711538461537</v>
      </c>
      <c r="BE42" s="13">
        <f>BD42*VLOOKUP('Données projet'!$B$11,Paramètres!$A$1:$I$89,3,0)*VLOOKUP('Données projet'!$B$11,Paramètres!$A$1:$I$89,5,0)</f>
        <v>139.033275</v>
      </c>
      <c r="BF42" s="13">
        <f t="shared" si="37"/>
        <v>36.075453141255842</v>
      </c>
      <c r="BG42" s="20">
        <f t="shared" si="7"/>
        <v>304.98103484602058</v>
      </c>
      <c r="BH42" s="59">
        <f t="shared" si="8"/>
        <v>598.31436817935389</v>
      </c>
      <c r="BI42" s="59">
        <f ca="1">AVERAGE(OFFSET($BH$3,0,0,'Données projet'!$E$11+1,1))-AVERAGE(OFFSET($H$3,0,0,'Données projet'!$E$11+1,1))</f>
        <v>257.80952690600492</v>
      </c>
      <c r="BJ42" s="59">
        <f t="shared" si="38"/>
        <v>269.95358755269427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#VALUE!</v>
      </c>
      <c r="BQ42" s="21" t="e">
        <f>EXP(-LN(2)/25)*BQ41+(1-EXP(-LN(2)/25))/(LN(2)/25)*Calculateur!BL42*Calculateur!BN42*VLOOKUP('Données projet'!$B$11,Paramètres!$A$1:$I$89,3,0)*0.475*44/12</f>
        <v>#VALUE!</v>
      </c>
      <c r="BR42" s="21" t="e">
        <f>EXP(-LN(2)/2)*BR41+(1-EXP(-LN(2)/2))/(LN(2)/2)*BL42*BO42*VLOOKUP('Données projet'!$B$11,Paramètres!$A$1:$I$89,3,0)*0.475*44/12</f>
        <v>#VALUE!</v>
      </c>
      <c r="BS42" s="22" t="e">
        <f t="shared" si="9"/>
        <v>#VALUE!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12.4</v>
      </c>
      <c r="BY42" s="12">
        <f>IF('Données projet'!$A$114&gt;35,BY41+BX42-CG41,IF(A42&lt;'Données projet'!$A$114,$BV$205^A42,IF(A42='Données projet'!$A$114,'Données projet'!$B$114,BY41+BX42-CG41)))</f>
        <v>195.60000000000002</v>
      </c>
      <c r="BZ42" s="13">
        <f>BY42*VLOOKUP('Données projet'!$B$12,Paramètres!$A$1:$I$89,3,0)*VLOOKUP('Données projet'!$B$12,Paramètres!$A$1:$I$89,5,0)</f>
        <v>152.56800000000001</v>
      </c>
      <c r="CA42" s="13">
        <f t="shared" si="39"/>
        <v>39.161595030150863</v>
      </c>
      <c r="CB42" s="20">
        <f t="shared" si="10"/>
        <v>333.92904467751276</v>
      </c>
      <c r="CC42" s="59">
        <f t="shared" si="11"/>
        <v>627.26237801084608</v>
      </c>
      <c r="CD42" s="59">
        <f ca="1">AVERAGE(OFFSET($CC$3,0,0,'Données projet'!$E$12+1,1))-AVERAGE(OFFSET($H$3,0,0,'Données projet'!$E$12+1,1))</f>
        <v>286.5685205631126</v>
      </c>
      <c r="CE42" s="59">
        <f t="shared" si="40"/>
        <v>264.17357326498581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158</v>
      </c>
      <c r="L43" s="12">
        <f>VLOOKUP(A43,'Données projet'!$A$35:$I$55,9,0)</f>
        <v>8.1999999999999993</v>
      </c>
      <c r="M43" s="12">
        <f t="array" ref="M43">INDEX(L:L,MIN(IF(ISNUMBER(L43:L239),ROW(L43:L239),"")))</f>
        <v>8.1999999999999993</v>
      </c>
      <c r="N43" s="13">
        <f>IF('Données projet'!$A$36&gt;35,N42+M43-V42,IF(A43&lt;'Données projet'!$A$36,$K$205^A43,IF(A43='Données projet'!$A$36,'Données projet'!$B$36,N42+M43-V42)))</f>
        <v>157.99999999999997</v>
      </c>
      <c r="O43" s="13">
        <f>N43*VLOOKUP('Données projet'!$B$9,Paramètres!$A$1:$I$89,3,0)*VLOOKUP('Données projet'!$B$9,Paramètres!$A$1:$I$89,5,0)</f>
        <v>142.95839999999995</v>
      </c>
      <c r="P43" s="13">
        <f t="shared" si="33"/>
        <v>36.973906370811264</v>
      </c>
      <c r="Q43" s="20">
        <f t="shared" si="53"/>
        <v>313.38210026249618</v>
      </c>
      <c r="R43" s="59">
        <f t="shared" si="0"/>
        <v>606.7154335958295</v>
      </c>
      <c r="S43" s="59">
        <f ca="1">AVERAGE(OFFSET($R$3,0,0,'Données projet'!$E$9+1,1))-AVERAGE(OFFSET($H$3,0,0,'Données projet'!$E$9+1,1))</f>
        <v>346.35147716792028</v>
      </c>
      <c r="T43" s="59">
        <f t="shared" si="34"/>
        <v>231.36959598460686</v>
      </c>
      <c r="U43" s="15">
        <f>IF(ISNA(VLOOKUP(A43,'Données projet'!$A$35:$I$55,3,0)),0,VLOOKUP(A43,'Données projet'!$A$35:$I$55,3,0))</f>
        <v>3</v>
      </c>
      <c r="V43" s="15">
        <f>IF(ISNA(VLOOKUP(A43,'Données projet'!$A$35:$I$55,4,0)),0,VLOOKUP(A43,'Données projet'!$A$35:$I$55,4,0))</f>
        <v>42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0.2391885596913354</v>
      </c>
      <c r="AC43" s="22">
        <f t="shared" si="3"/>
        <v>0.2391885596913354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158</v>
      </c>
      <c r="AG43" s="12">
        <f>VLOOKUP(A43,'Données projet'!$A$61:$I$81,9,0)</f>
        <v>8.1999999999999993</v>
      </c>
      <c r="AH43" s="12">
        <f t="array" ref="AH43">INDEX(AG:AG,MIN(IF(ISNUMBER(AG43:AG239),ROW(AG43:AG239),"")))</f>
        <v>8.1999999999999993</v>
      </c>
      <c r="AI43" s="13">
        <f>IF('Données projet'!$A$62&gt;35,AI42+AH43-AQ42,IF(A43&lt;'Données projet'!$A$62,$AF$205^A43,IF(A43='Données projet'!$A$62,'Données projet'!$B$62,AI42+AH43-AQ42)))</f>
        <v>157.99999999999997</v>
      </c>
      <c r="AJ43" s="13">
        <f>AI43*VLOOKUP('Données projet'!$B$10,Paramètres!$A$1:$I$89,3,0)*VLOOKUP('Données projet'!$B$10,Paramètres!$A$1:$I$89,5,0)</f>
        <v>142.95839999999995</v>
      </c>
      <c r="AK43" s="13">
        <f t="shared" si="35"/>
        <v>36.973906370811264</v>
      </c>
      <c r="AL43" s="20">
        <f t="shared" si="4"/>
        <v>313.38210026249618</v>
      </c>
      <c r="AM43" s="59">
        <f t="shared" si="5"/>
        <v>606.7154335958295</v>
      </c>
      <c r="AN43" s="59">
        <f ca="1">AVERAGE(OFFSET($AM$3,0,0,'Données projet'!$E$10+1,1))-AVERAGE(OFFSET($H$3,0,0,'Données projet'!$E$10+1,1))</f>
        <v>346.35147716792028</v>
      </c>
      <c r="AO43" s="59">
        <f t="shared" si="36"/>
        <v>231.36959598460686</v>
      </c>
      <c r="AP43" s="15">
        <f>IF(ISNA(VLOOKUP(A43,'Données projet'!$A$61:$I$81,3,0)),0,VLOOKUP(A43,'Données projet'!$A$61:$I$81,3,0))</f>
        <v>3</v>
      </c>
      <c r="AQ43" s="15">
        <f>IF(ISNA(VLOOKUP(A43,'Données projet'!$A$61:$I$81,4,0)),0,VLOOKUP(A43,'Données projet'!$A$61:$I$81,4,0))</f>
        <v>42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0.2391885596913354</v>
      </c>
      <c r="AX43" s="21">
        <f t="shared" si="6"/>
        <v>0.2391885596913354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11.491346153846152</v>
      </c>
      <c r="BD43" s="12">
        <f>IF('Données projet'!$A$88&gt;35,BD42+BC43-BL42,IF(A43&lt;'Données projet'!$A$88,$BA$205^A43,IF(A43='Données projet'!$A$88,'Données projet'!$B$88,BD42+BC43-BL42)))</f>
        <v>243.98846153846154</v>
      </c>
      <c r="BE43" s="13">
        <f>BD43*VLOOKUP('Données projet'!$B$11,Paramètres!$A$1:$I$89,3,0)*VLOOKUP('Données projet'!$B$11,Paramètres!$A$1:$I$89,5,0)</f>
        <v>145.9051</v>
      </c>
      <c r="BF43" s="13">
        <f t="shared" si="37"/>
        <v>37.646511134433219</v>
      </c>
      <c r="BG43" s="20">
        <f t="shared" si="7"/>
        <v>319.68572272580451</v>
      </c>
      <c r="BH43" s="59">
        <f t="shared" si="8"/>
        <v>613.01905605913782</v>
      </c>
      <c r="BI43" s="59">
        <f ca="1">AVERAGE(OFFSET($BH$3,0,0,'Données projet'!$E$11+1,1))-AVERAGE(OFFSET($H$3,0,0,'Données projet'!$E$11+1,1))</f>
        <v>257.80952690600492</v>
      </c>
      <c r="BJ43" s="59">
        <f t="shared" si="38"/>
        <v>269.95358755269427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#VALUE!</v>
      </c>
      <c r="BQ43" s="21" t="e">
        <f>EXP(-LN(2)/25)*BQ42+(1-EXP(-LN(2)/25))/(LN(2)/25)*Calculateur!BL43*Calculateur!BN43*VLOOKUP('Données projet'!$B$11,Paramètres!$A$1:$I$89,3,0)*0.475*44/12</f>
        <v>#VALUE!</v>
      </c>
      <c r="BR43" s="21" t="e">
        <f>EXP(-LN(2)/2)*BR42+(1-EXP(-LN(2)/2))/(LN(2)/2)*BL43*BO43*VLOOKUP('Données projet'!$B$11,Paramètres!$A$1:$I$89,3,0)*0.475*44/12</f>
        <v>#VALUE!</v>
      </c>
      <c r="BS43" s="22" t="e">
        <f t="shared" si="9"/>
        <v>#VALUE!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208</v>
      </c>
      <c r="BW43" s="12">
        <f>VLOOKUP(A43,'Données projet'!$A$113:$I$133,9,0)</f>
        <v>12.4</v>
      </c>
      <c r="BX43" s="12">
        <f t="array" ref="BX43">INDEX(BW:BW,MIN(IF(ISNUMBER(BW43:BW239),ROW(BW43:BW239),"")))</f>
        <v>12.4</v>
      </c>
      <c r="BY43" s="12">
        <f>IF('Données projet'!$A$114&gt;35,BY42+BX43-CG42,IF(A43&lt;'Données projet'!$A$114,$BV$205^A43,IF(A43='Données projet'!$A$114,'Données projet'!$B$114,BY42+BX43-CG42)))</f>
        <v>208.00000000000003</v>
      </c>
      <c r="BZ43" s="13">
        <f>BY43*VLOOKUP('Données projet'!$B$12,Paramètres!$A$1:$I$89,3,0)*VLOOKUP('Données projet'!$B$12,Paramètres!$A$1:$I$89,5,0)</f>
        <v>162.24000000000004</v>
      </c>
      <c r="CA43" s="13">
        <f t="shared" si="39"/>
        <v>41.347344120141088</v>
      </c>
      <c r="CB43" s="20">
        <f t="shared" si="10"/>
        <v>354.58129100924572</v>
      </c>
      <c r="CC43" s="59">
        <f t="shared" si="11"/>
        <v>647.91462434257903</v>
      </c>
      <c r="CD43" s="59">
        <f ca="1">AVERAGE(OFFSET($CC$3,0,0,'Données projet'!$E$12+1,1))-AVERAGE(OFFSET($H$3,0,0,'Données projet'!$E$12+1,1))</f>
        <v>286.5685205631126</v>
      </c>
      <c r="CE43" s="59">
        <f t="shared" si="40"/>
        <v>264.17357326498581</v>
      </c>
      <c r="CF43" s="15">
        <f>IF(ISNA(VLOOKUP(A43,'Données projet'!$A$113:$I$133,3,0)),0,VLOOKUP(A43,'Données projet'!$A$113:$I$133,3,0))</f>
        <v>4</v>
      </c>
      <c r="CG43" s="15">
        <f>IF(ISNA(VLOOKUP(A43,'Données projet'!$A$113:$I$133,4,0)),0,VLOOKUP(A43,'Données projet'!$A$113:$I$133,4,0))</f>
        <v>32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0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8.3000000000000007</v>
      </c>
      <c r="N44" s="13">
        <f>IF('Données projet'!$A$36&gt;35,N43+M44-V43,IF(A44&lt;'Données projet'!$A$36,$K$205^A44,IF(A44='Données projet'!$A$36,'Données projet'!$B$36,N43+M44-V43)))</f>
        <v>124.29999999999998</v>
      </c>
      <c r="O44" s="13">
        <f>N44*VLOOKUP('Données projet'!$B$9,Paramètres!$A$1:$I$89,3,0)*VLOOKUP('Données projet'!$B$9,Paramètres!$A$1:$I$89,5,0)</f>
        <v>112.46663999999997</v>
      </c>
      <c r="P44" s="13">
        <f t="shared" si="33"/>
        <v>29.911391992758421</v>
      </c>
      <c r="Q44" s="20">
        <f t="shared" si="53"/>
        <v>247.97507238738754</v>
      </c>
      <c r="R44" s="59">
        <f t="shared" si="0"/>
        <v>541.30840572072088</v>
      </c>
      <c r="S44" s="59">
        <f ca="1">AVERAGE(OFFSET($R$3,0,0,'Données projet'!$E$9+1,1))-AVERAGE(OFFSET($H$3,0,0,'Données projet'!$E$9+1,1))</f>
        <v>346.35147716792028</v>
      </c>
      <c r="T44" s="59">
        <f t="shared" si="34"/>
        <v>231.36959598460686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0.16913185253998658</v>
      </c>
      <c r="AC44" s="22">
        <f t="shared" si="3"/>
        <v>0.16913185253998658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8.3000000000000007</v>
      </c>
      <c r="AI44" s="13">
        <f>IF('Données projet'!$A$62&gt;35,AI43+AH44-AQ43,IF(A44&lt;'Données projet'!$A$62,$AF$205^A44,IF(A44='Données projet'!$A$62,'Données projet'!$B$62,AI43+AH44-AQ43)))</f>
        <v>124.29999999999998</v>
      </c>
      <c r="AJ44" s="13">
        <f>AI44*VLOOKUP('Données projet'!$B$10,Paramètres!$A$1:$I$89,3,0)*VLOOKUP('Données projet'!$B$10,Paramètres!$A$1:$I$89,5,0)</f>
        <v>112.46663999999997</v>
      </c>
      <c r="AK44" s="13">
        <f t="shared" si="35"/>
        <v>29.911391992758421</v>
      </c>
      <c r="AL44" s="20">
        <f t="shared" si="4"/>
        <v>247.97507238738754</v>
      </c>
      <c r="AM44" s="59">
        <f t="shared" si="5"/>
        <v>541.30840572072088</v>
      </c>
      <c r="AN44" s="59">
        <f ca="1">AVERAGE(OFFSET($AM$3,0,0,'Données projet'!$E$10+1,1))-AVERAGE(OFFSET($H$3,0,0,'Données projet'!$E$10+1,1))</f>
        <v>346.35147716792028</v>
      </c>
      <c r="AO44" s="59">
        <f t="shared" si="36"/>
        <v>231.36959598460686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0.16913185253998658</v>
      </c>
      <c r="AX44" s="21">
        <f t="shared" si="6"/>
        <v>0.16913185253998658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11.491346153846152</v>
      </c>
      <c r="BD44" s="12">
        <f>IF('Données projet'!$A$88&gt;35,BD43+BC44-BL43,IF(A44&lt;'Données projet'!$A$88,$BA$205^A44,IF(A44='Données projet'!$A$88,'Données projet'!$B$88,BD43+BC44-BL43)))</f>
        <v>255.4798076923077</v>
      </c>
      <c r="BE44" s="13">
        <f>BD44*VLOOKUP('Données projet'!$B$11,Paramètres!$A$1:$I$89,3,0)*VLOOKUP('Données projet'!$B$11,Paramètres!$A$1:$I$89,5,0)</f>
        <v>152.77692500000003</v>
      </c>
      <c r="BF44" s="13">
        <f t="shared" si="37"/>
        <v>39.208976490344781</v>
      </c>
      <c r="BG44" s="20">
        <f t="shared" si="7"/>
        <v>334.37544509568392</v>
      </c>
      <c r="BH44" s="59">
        <f t="shared" si="8"/>
        <v>627.70877842901723</v>
      </c>
      <c r="BI44" s="59">
        <f ca="1">AVERAGE(OFFSET($BH$3,0,0,'Données projet'!$E$11+1,1))-AVERAGE(OFFSET($H$3,0,0,'Données projet'!$E$11+1,1))</f>
        <v>257.80952690600492</v>
      </c>
      <c r="BJ44" s="59">
        <f t="shared" si="38"/>
        <v>269.95358755269427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#VALUE!</v>
      </c>
      <c r="BQ44" s="21" t="e">
        <f>EXP(-LN(2)/25)*BQ43+(1-EXP(-LN(2)/25))/(LN(2)/25)*Calculateur!BL44*Calculateur!BN44*VLOOKUP('Données projet'!$B$11,Paramètres!$A$1:$I$89,3,0)*0.475*44/12</f>
        <v>#VALUE!</v>
      </c>
      <c r="BR44" s="21" t="e">
        <f>EXP(-LN(2)/2)*BR43+(1-EXP(-LN(2)/2))/(LN(2)/2)*BL44*BO44*VLOOKUP('Données projet'!$B$11,Paramètres!$A$1:$I$89,3,0)*0.475*44/12</f>
        <v>#VALUE!</v>
      </c>
      <c r="BS44" s="22" t="e">
        <f t="shared" si="9"/>
        <v>#VALUE!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11.4</v>
      </c>
      <c r="BY44" s="12">
        <f>IF('Données projet'!$A$114&gt;35,BY43+BX44-CG43,IF(A44&lt;'Données projet'!$A$114,$BV$205^A44,IF(A44='Données projet'!$A$114,'Données projet'!$B$114,BY43+BX44-CG43)))</f>
        <v>187.40000000000003</v>
      </c>
      <c r="BZ44" s="13">
        <f>BY44*VLOOKUP('Données projet'!$B$12,Paramètres!$A$1:$I$89,3,0)*VLOOKUP('Données projet'!$B$12,Paramètres!$A$1:$I$89,5,0)</f>
        <v>146.17200000000003</v>
      </c>
      <c r="CA44" s="13">
        <f t="shared" si="39"/>
        <v>37.707354374771185</v>
      </c>
      <c r="CB44" s="20">
        <f t="shared" si="10"/>
        <v>320.25654220272645</v>
      </c>
      <c r="CC44" s="59">
        <f t="shared" si="11"/>
        <v>613.58987553605971</v>
      </c>
      <c r="CD44" s="59">
        <f ca="1">AVERAGE(OFFSET($CC$3,0,0,'Données projet'!$E$12+1,1))-AVERAGE(OFFSET($H$3,0,0,'Données projet'!$E$12+1,1))</f>
        <v>286.5685205631126</v>
      </c>
      <c r="CE44" s="59">
        <f t="shared" si="40"/>
        <v>264.17357326498581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0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8.3000000000000007</v>
      </c>
      <c r="N45" s="13">
        <f>IF('Données projet'!$A$36&gt;35,N44+M45-V44,IF(A45&lt;'Données projet'!$A$36,$K$205^A45,IF(A45='Données projet'!$A$36,'Données projet'!$B$36,N44+M45-V44)))</f>
        <v>132.6</v>
      </c>
      <c r="O45" s="13">
        <f>N45*VLOOKUP('Données projet'!$B$9,Paramètres!$A$1:$I$89,3,0)*VLOOKUP('Données projet'!$B$9,Paramètres!$A$1:$I$89,5,0)</f>
        <v>119.97647999999998</v>
      </c>
      <c r="P45" s="13">
        <f t="shared" si="33"/>
        <v>31.669513577784763</v>
      </c>
      <c r="Q45" s="20">
        <f t="shared" si="53"/>
        <v>264.11677214797504</v>
      </c>
      <c r="R45" s="59">
        <f t="shared" si="0"/>
        <v>557.45010548130836</v>
      </c>
      <c r="S45" s="59">
        <f ca="1">AVERAGE(OFFSET($R$3,0,0,'Données projet'!$E$9+1,1))-AVERAGE(OFFSET($H$3,0,0,'Données projet'!$E$9+1,1))</f>
        <v>346.35147716792028</v>
      </c>
      <c r="T45" s="59">
        <f t="shared" si="34"/>
        <v>231.36959598460686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0.11959427984566773</v>
      </c>
      <c r="AC45" s="22">
        <f t="shared" si="3"/>
        <v>0.11959427984566773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8.3000000000000007</v>
      </c>
      <c r="AI45" s="13">
        <f>IF('Données projet'!$A$62&gt;35,AI44+AH45-AQ44,IF(A45&lt;'Données projet'!$A$62,$AF$205^A45,IF(A45='Données projet'!$A$62,'Données projet'!$B$62,AI44+AH45-AQ44)))</f>
        <v>132.6</v>
      </c>
      <c r="AJ45" s="13">
        <f>AI45*VLOOKUP('Données projet'!$B$10,Paramètres!$A$1:$I$89,3,0)*VLOOKUP('Données projet'!$B$10,Paramètres!$A$1:$I$89,5,0)</f>
        <v>119.97647999999998</v>
      </c>
      <c r="AK45" s="13">
        <f t="shared" si="35"/>
        <v>31.669513577784763</v>
      </c>
      <c r="AL45" s="20">
        <f t="shared" si="4"/>
        <v>264.11677214797504</v>
      </c>
      <c r="AM45" s="59">
        <f t="shared" si="5"/>
        <v>557.45010548130836</v>
      </c>
      <c r="AN45" s="59">
        <f ca="1">AVERAGE(OFFSET($AM$3,0,0,'Données projet'!$E$10+1,1))-AVERAGE(OFFSET($H$3,0,0,'Données projet'!$E$10+1,1))</f>
        <v>346.35147716792028</v>
      </c>
      <c r="AO45" s="59">
        <f t="shared" si="36"/>
        <v>231.36959598460686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0.11959427984566773</v>
      </c>
      <c r="AX45" s="21">
        <f t="shared" si="6"/>
        <v>0.11959427984566773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11.491346153846152</v>
      </c>
      <c r="BD45" s="12">
        <f>IF('Données projet'!$A$88&gt;35,BD44+BC45-BL44,IF(A45&lt;'Données projet'!$A$88,$BA$205^A45,IF(A45='Données projet'!$A$88,'Données projet'!$B$88,BD44+BC45-BL44)))</f>
        <v>266.97115384615387</v>
      </c>
      <c r="BE45" s="13">
        <f>BD45*VLOOKUP('Données projet'!$B$11,Paramètres!$A$1:$I$89,3,0)*VLOOKUP('Données projet'!$B$11,Paramètres!$A$1:$I$89,5,0)</f>
        <v>159.64875000000004</v>
      </c>
      <c r="BF45" s="13">
        <f t="shared" si="37"/>
        <v>40.763279858052016</v>
      </c>
      <c r="BG45" s="20">
        <f t="shared" si="7"/>
        <v>349.05095200277395</v>
      </c>
      <c r="BH45" s="59">
        <f t="shared" si="8"/>
        <v>642.38428533610727</v>
      </c>
      <c r="BI45" s="59">
        <f ca="1">AVERAGE(OFFSET($BH$3,0,0,'Données projet'!$E$11+1,1))-AVERAGE(OFFSET($H$3,0,0,'Données projet'!$E$11+1,1))</f>
        <v>257.80952690600492</v>
      </c>
      <c r="BJ45" s="59">
        <f t="shared" si="38"/>
        <v>269.95358755269427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#VALUE!</v>
      </c>
      <c r="BQ45" s="21" t="e">
        <f>EXP(-LN(2)/25)*BQ44+(1-EXP(-LN(2)/25))/(LN(2)/25)*Calculateur!BL45*Calculateur!BN45*VLOOKUP('Données projet'!$B$11,Paramètres!$A$1:$I$89,3,0)*0.475*44/12</f>
        <v>#VALUE!</v>
      </c>
      <c r="BR45" s="21" t="e">
        <f>EXP(-LN(2)/2)*BR44+(1-EXP(-LN(2)/2))/(LN(2)/2)*BL45*BO45*VLOOKUP('Données projet'!$B$11,Paramètres!$A$1:$I$89,3,0)*0.475*44/12</f>
        <v>#VALUE!</v>
      </c>
      <c r="BS45" s="22" t="e">
        <f t="shared" si="9"/>
        <v>#VALUE!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11.4</v>
      </c>
      <c r="BY45" s="12">
        <f>IF('Données projet'!$A$114&gt;35,BY44+BX45-CG44,IF(A45&lt;'Données projet'!$A$114,$BV$205^A45,IF(A45='Données projet'!$A$114,'Données projet'!$B$114,BY44+BX45-CG44)))</f>
        <v>198.80000000000004</v>
      </c>
      <c r="BZ45" s="13">
        <f>BY45*VLOOKUP('Données projet'!$B$12,Paramètres!$A$1:$I$89,3,0)*VLOOKUP('Données projet'!$B$12,Paramètres!$A$1:$I$89,5,0)</f>
        <v>155.06400000000005</v>
      </c>
      <c r="CA45" s="13">
        <f t="shared" si="39"/>
        <v>39.727164550120094</v>
      </c>
      <c r="CB45" s="20">
        <f t="shared" si="10"/>
        <v>339.26127825812586</v>
      </c>
      <c r="CC45" s="59">
        <f t="shared" si="11"/>
        <v>632.59461159145917</v>
      </c>
      <c r="CD45" s="59">
        <f ca="1">AVERAGE(OFFSET($CC$3,0,0,'Données projet'!$E$12+1,1))-AVERAGE(OFFSET($H$3,0,0,'Données projet'!$E$12+1,1))</f>
        <v>286.5685205631126</v>
      </c>
      <c r="CE45" s="59">
        <f t="shared" si="40"/>
        <v>264.17357326498581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0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8.3000000000000007</v>
      </c>
      <c r="N46" s="13">
        <f>IF('Données projet'!$A$36&gt;35,N45+M46-V45,IF(A46&lt;'Données projet'!$A$36,$K$205^A46,IF(A46='Données projet'!$A$36,'Données projet'!$B$36,N45+M46-V45)))</f>
        <v>140.9</v>
      </c>
      <c r="O46" s="13">
        <f>N46*VLOOKUP('Données projet'!$B$9,Paramètres!$A$1:$I$89,3,0)*VLOOKUP('Données projet'!$B$9,Paramètres!$A$1:$I$89,5,0)</f>
        <v>127.48631999999999</v>
      </c>
      <c r="P46" s="13">
        <f t="shared" si="33"/>
        <v>33.414863287066048</v>
      </c>
      <c r="Q46" s="20">
        <f t="shared" si="53"/>
        <v>280.23622755830667</v>
      </c>
      <c r="R46" s="59">
        <f t="shared" si="0"/>
        <v>573.56956089163998</v>
      </c>
      <c r="S46" s="59">
        <f ca="1">AVERAGE(OFFSET($R$3,0,0,'Données projet'!$E$9+1,1))-AVERAGE(OFFSET($H$3,0,0,'Données projet'!$E$9+1,1))</f>
        <v>346.35147716792028</v>
      </c>
      <c r="T46" s="59">
        <f t="shared" si="34"/>
        <v>231.36959598460686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8.4565926269993305E-2</v>
      </c>
      <c r="AC46" s="22">
        <f t="shared" si="3"/>
        <v>8.4565926269993305E-2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8.3000000000000007</v>
      </c>
      <c r="AI46" s="13">
        <f>IF('Données projet'!$A$62&gt;35,AI45+AH46-AQ45,IF(A46&lt;'Données projet'!$A$62,$AF$205^A46,IF(A46='Données projet'!$A$62,'Données projet'!$B$62,AI45+AH46-AQ45)))</f>
        <v>140.9</v>
      </c>
      <c r="AJ46" s="13">
        <f>AI46*VLOOKUP('Données projet'!$B$10,Paramètres!$A$1:$I$89,3,0)*VLOOKUP('Données projet'!$B$10,Paramètres!$A$1:$I$89,5,0)</f>
        <v>127.48631999999999</v>
      </c>
      <c r="AK46" s="13">
        <f t="shared" si="35"/>
        <v>33.414863287066048</v>
      </c>
      <c r="AL46" s="20">
        <f t="shared" si="4"/>
        <v>280.23622755830667</v>
      </c>
      <c r="AM46" s="59">
        <f t="shared" si="5"/>
        <v>573.56956089163998</v>
      </c>
      <c r="AN46" s="59">
        <f ca="1">AVERAGE(OFFSET($AM$3,0,0,'Données projet'!$E$10+1,1))-AVERAGE(OFFSET($H$3,0,0,'Données projet'!$E$10+1,1))</f>
        <v>346.35147716792028</v>
      </c>
      <c r="AO46" s="59">
        <f t="shared" si="36"/>
        <v>231.36959598460686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8.4565926269993305E-2</v>
      </c>
      <c r="AX46" s="21">
        <f t="shared" si="6"/>
        <v>8.4565926269993305E-2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11.491346153846152</v>
      </c>
      <c r="BD46" s="12">
        <f>IF('Données projet'!$A$88&gt;35,BD45+BC46-BL45,IF(A46&lt;'Données projet'!$A$88,$BA$205^A46,IF(A46='Données projet'!$A$88,'Données projet'!$B$88,BD45+BC46-BL45)))</f>
        <v>278.46250000000003</v>
      </c>
      <c r="BE46" s="13">
        <f>BD46*VLOOKUP('Données projet'!$B$11,Paramètres!$A$1:$I$89,3,0)*VLOOKUP('Données projet'!$B$11,Paramètres!$A$1:$I$89,5,0)</f>
        <v>166.52057500000004</v>
      </c>
      <c r="BF46" s="13">
        <f t="shared" si="37"/>
        <v>42.309812716708549</v>
      </c>
      <c r="BG46" s="20">
        <f t="shared" si="7"/>
        <v>363.71292527326744</v>
      </c>
      <c r="BH46" s="59">
        <f t="shared" si="8"/>
        <v>657.04625860660076</v>
      </c>
      <c r="BI46" s="59">
        <f ca="1">AVERAGE(OFFSET($BH$3,0,0,'Données projet'!$E$11+1,1))-AVERAGE(OFFSET($H$3,0,0,'Données projet'!$E$11+1,1))</f>
        <v>257.80952690600492</v>
      </c>
      <c r="BJ46" s="59">
        <f t="shared" si="38"/>
        <v>269.95358755269427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#VALUE!</v>
      </c>
      <c r="BQ46" s="21" t="e">
        <f>EXP(-LN(2)/25)*BQ45+(1-EXP(-LN(2)/25))/(LN(2)/25)*Calculateur!BL46*Calculateur!BN46*VLOOKUP('Données projet'!$B$11,Paramètres!$A$1:$I$89,3,0)*0.475*44/12</f>
        <v>#VALUE!</v>
      </c>
      <c r="BR46" s="21" t="e">
        <f>EXP(-LN(2)/2)*BR45+(1-EXP(-LN(2)/2))/(LN(2)/2)*BL46*BO46*VLOOKUP('Données projet'!$B$11,Paramètres!$A$1:$I$89,3,0)*0.475*44/12</f>
        <v>#VALUE!</v>
      </c>
      <c r="BS46" s="22" t="e">
        <f t="shared" si="9"/>
        <v>#VALUE!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11.4</v>
      </c>
      <c r="BY46" s="12">
        <f>IF('Données projet'!$A$114&gt;35,BY45+BX46-CG45,IF(A46&lt;'Données projet'!$A$114,$BV$205^A46,IF(A46='Données projet'!$A$114,'Données projet'!$B$114,BY45+BX46-CG45)))</f>
        <v>210.20000000000005</v>
      </c>
      <c r="BZ46" s="13">
        <f>BY46*VLOOKUP('Données projet'!$B$12,Paramètres!$A$1:$I$89,3,0)*VLOOKUP('Données projet'!$B$12,Paramètres!$A$1:$I$89,5,0)</f>
        <v>163.95600000000005</v>
      </c>
      <c r="CA46" s="13">
        <f t="shared" si="39"/>
        <v>41.733529914742604</v>
      </c>
      <c r="CB46" s="20">
        <f t="shared" si="10"/>
        <v>358.24259793484339</v>
      </c>
      <c r="CC46" s="59">
        <f t="shared" si="11"/>
        <v>651.57593126817665</v>
      </c>
      <c r="CD46" s="59">
        <f ca="1">AVERAGE(OFFSET($CC$3,0,0,'Données projet'!$E$12+1,1))-AVERAGE(OFFSET($H$3,0,0,'Données projet'!$E$12+1,1))</f>
        <v>286.5685205631126</v>
      </c>
      <c r="CE46" s="59">
        <f t="shared" si="40"/>
        <v>264.17357326498581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0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8.3000000000000007</v>
      </c>
      <c r="N47" s="13">
        <f>IF('Données projet'!$A$36&gt;35,N46+M47-V46,IF(A47&lt;'Données projet'!$A$36,$K$205^A47,IF(A47='Données projet'!$A$36,'Données projet'!$B$36,N46+M47-V46)))</f>
        <v>149.20000000000002</v>
      </c>
      <c r="O47" s="13">
        <f>N47*VLOOKUP('Données projet'!$B$9,Paramètres!$A$1:$I$89,3,0)*VLOOKUP('Données projet'!$B$9,Paramètres!$A$1:$I$89,5,0)</f>
        <v>134.99616</v>
      </c>
      <c r="P47" s="13">
        <f t="shared" si="33"/>
        <v>35.148279172043118</v>
      </c>
      <c r="Q47" s="20">
        <f t="shared" si="53"/>
        <v>296.33489822464173</v>
      </c>
      <c r="R47" s="59">
        <f t="shared" si="0"/>
        <v>589.6682315579751</v>
      </c>
      <c r="S47" s="59">
        <f ca="1">AVERAGE(OFFSET($R$3,0,0,'Données projet'!$E$9+1,1))-AVERAGE(OFFSET($H$3,0,0,'Données projet'!$E$9+1,1))</f>
        <v>346.35147716792028</v>
      </c>
      <c r="T47" s="59">
        <f t="shared" si="34"/>
        <v>231.36959598460686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5.9797139922833871E-2</v>
      </c>
      <c r="AC47" s="22">
        <f t="shared" si="3"/>
        <v>5.9797139922833871E-2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8.3000000000000007</v>
      </c>
      <c r="AI47" s="13">
        <f>IF('Données projet'!$A$62&gt;35,AI46+AH47-AQ46,IF(A47&lt;'Données projet'!$A$62,$AF$205^A47,IF(A47='Données projet'!$A$62,'Données projet'!$B$62,AI46+AH47-AQ46)))</f>
        <v>149.20000000000002</v>
      </c>
      <c r="AJ47" s="13">
        <f>AI47*VLOOKUP('Données projet'!$B$10,Paramètres!$A$1:$I$89,3,0)*VLOOKUP('Données projet'!$B$10,Paramètres!$A$1:$I$89,5,0)</f>
        <v>134.99616</v>
      </c>
      <c r="AK47" s="13">
        <f t="shared" si="35"/>
        <v>35.148279172043118</v>
      </c>
      <c r="AL47" s="20">
        <f t="shared" si="4"/>
        <v>296.33489822464173</v>
      </c>
      <c r="AM47" s="59">
        <f t="shared" si="5"/>
        <v>589.6682315579751</v>
      </c>
      <c r="AN47" s="59">
        <f ca="1">AVERAGE(OFFSET($AM$3,0,0,'Données projet'!$E$10+1,1))-AVERAGE(OFFSET($H$3,0,0,'Données projet'!$E$10+1,1))</f>
        <v>346.35147716792028</v>
      </c>
      <c r="AO47" s="59">
        <f t="shared" si="36"/>
        <v>231.36959598460686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5.9797139922833871E-2</v>
      </c>
      <c r="AX47" s="21">
        <f t="shared" si="6"/>
        <v>5.9797139922833871E-2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>
        <f>VLOOKUP(A47,'Données projet'!$A$87:$I$107,2,0)</f>
        <v>289.95384615384614</v>
      </c>
      <c r="BB47" s="12">
        <f>VLOOKUP(A47,'Données projet'!$A$87:$I$107,9,0)</f>
        <v>11.491346153846152</v>
      </c>
      <c r="BC47" s="12">
        <f t="array" ref="BC47">INDEX(BB:BB,MIN(IF(ISNUMBER(BB47:BB243),ROW(BB47:BB243),"")))</f>
        <v>11.491346153846152</v>
      </c>
      <c r="BD47" s="12">
        <f>IF('Données projet'!$A$88&gt;35,BD46+BC47-BL46,IF(A47&lt;'Données projet'!$A$88,$BA$205^A47,IF(A47='Données projet'!$A$88,'Données projet'!$B$88,BD46+BC47-BL46)))</f>
        <v>289.9538461538462</v>
      </c>
      <c r="BE47" s="13">
        <f>BD47*VLOOKUP('Données projet'!$B$11,Paramètres!$A$1:$I$89,3,0)*VLOOKUP('Données projet'!$B$11,Paramètres!$A$1:$I$89,5,0)</f>
        <v>173.39240000000004</v>
      </c>
      <c r="BF47" s="13">
        <f t="shared" si="37"/>
        <v>43.848932406837015</v>
      </c>
      <c r="BG47" s="20">
        <f t="shared" si="7"/>
        <v>378.36198727524112</v>
      </c>
      <c r="BH47" s="59">
        <f t="shared" si="8"/>
        <v>671.69532060857443</v>
      </c>
      <c r="BI47" s="59">
        <f ca="1">AVERAGE(OFFSET($BH$3,0,0,'Données projet'!$E$11+1,1))-AVERAGE(OFFSET($H$3,0,0,'Données projet'!$E$11+1,1))</f>
        <v>257.80952690600492</v>
      </c>
      <c r="BJ47" s="59">
        <f t="shared" si="38"/>
        <v>269.95358755269427</v>
      </c>
      <c r="BK47" s="15">
        <f>IF(ISNA(VLOOKUP(A47,'Données projet'!$A$87:$I$107,3,0)),0,VLOOKUP(A47,'Données projet'!$A$87:$I$107,3,0))</f>
        <v>5</v>
      </c>
      <c r="BL47" s="15">
        <f>IF(ISNA(VLOOKUP(A47,'Données projet'!$A$87:$I$107,4,0)),0,VLOOKUP(A47,'Données projet'!$A$87:$I$107,4,0))</f>
        <v>64.476923076923072</v>
      </c>
      <c r="BM47" s="16" t="e">
        <f>IF(ISNA(VLOOKUP(A47,'Données projet'!$A$87:$I$107,5,0)),0%,VLOOKUP(A47,'Données projet'!$A$87:$I$107,5,0)*VLOOKUP('Données projet'!$B$11,Paramètres!$A$1:$I$89,7,0))</f>
        <v>#VALUE!</v>
      </c>
      <c r="BN47" s="16" t="e">
        <f>IF(ISNA(VLOOKUP(A47,'Données projet'!$A$87:$I$107,6,0)),0%,VLOOKUP(A47,'Données projet'!$A$87:$I$107,6,0)*VLOOKUP('Données projet'!$B$11,Paramètres!$A$1:$I$89,7,0))</f>
        <v>#VALUE!</v>
      </c>
      <c r="BO47" s="16" t="str">
        <f>IF(ISNA(VLOOKUP(A47,'Données projet'!$A$87:$I$107,7,0)),0%,VLOOKUP(A47,'Données projet'!$A$87:$I$107,7,0))</f>
        <v/>
      </c>
      <c r="BP47" s="21" t="e">
        <f>EXP(-LN(2)/35)*BP46+(1-EXP(-LN(2)/35))/(LN(2)/35)*BL47*BM47*VLOOKUP('Données projet'!$B$11,Paramètres!$A$1:$I$89,3,0)*0.475*44/12</f>
        <v>#VALUE!</v>
      </c>
      <c r="BQ47" s="21" t="e">
        <f>EXP(-LN(2)/25)*BQ46+(1-EXP(-LN(2)/25))/(LN(2)/25)*Calculateur!BL47*Calculateur!BN47*VLOOKUP('Données projet'!$B$11,Paramètres!$A$1:$I$89,3,0)*0.475*44/12</f>
        <v>#VALUE!</v>
      </c>
      <c r="BR47" s="21" t="e">
        <f>EXP(-LN(2)/2)*BR46+(1-EXP(-LN(2)/2))/(LN(2)/2)*BL47*BO47*VLOOKUP('Données projet'!$B$11,Paramètres!$A$1:$I$89,3,0)*0.475*44/12</f>
        <v>#VALUE!</v>
      </c>
      <c r="BS47" s="22" t="e">
        <f t="shared" si="9"/>
        <v>#VALUE!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11.4</v>
      </c>
      <c r="BY47" s="12">
        <f>IF('Données projet'!$A$114&gt;35,BY46+BX47-CG46,IF(A47&lt;'Données projet'!$A$114,$BV$205^A47,IF(A47='Données projet'!$A$114,'Données projet'!$B$114,BY46+BX47-CG46)))</f>
        <v>221.60000000000005</v>
      </c>
      <c r="BZ47" s="13">
        <f>BY47*VLOOKUP('Données projet'!$B$12,Paramètres!$A$1:$I$89,3,0)*VLOOKUP('Données projet'!$B$12,Paramètres!$A$1:$I$89,5,0)</f>
        <v>172.84800000000004</v>
      </c>
      <c r="CA47" s="13">
        <f t="shared" si="39"/>
        <v>43.727262763680358</v>
      </c>
      <c r="CB47" s="20">
        <f t="shared" si="10"/>
        <v>377.20191598007665</v>
      </c>
      <c r="CC47" s="59">
        <f t="shared" si="11"/>
        <v>670.53524931340996</v>
      </c>
      <c r="CD47" s="59">
        <f ca="1">AVERAGE(OFFSET($CC$3,0,0,'Données projet'!$E$12+1,1))-AVERAGE(OFFSET($H$3,0,0,'Données projet'!$E$12+1,1))</f>
        <v>286.5685205631126</v>
      </c>
      <c r="CE47" s="59">
        <f t="shared" si="40"/>
        <v>264.17357326498581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0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8.3000000000000007</v>
      </c>
      <c r="N48" s="13">
        <f>IF('Données projet'!$A$36&gt;35,N47+M48-V47,IF(A48&lt;'Données projet'!$A$36,$K$205^A48,IF(A48='Données projet'!$A$36,'Données projet'!$B$36,N47+M48-V47)))</f>
        <v>157.50000000000003</v>
      </c>
      <c r="O48" s="13">
        <f>N48*VLOOKUP('Données projet'!$B$9,Paramètres!$A$1:$I$89,3,0)*VLOOKUP('Données projet'!$B$9,Paramètres!$A$1:$I$89,5,0)</f>
        <v>142.50600000000003</v>
      </c>
      <c r="P48" s="13">
        <f t="shared" si="33"/>
        <v>36.870500776307573</v>
      </c>
      <c r="Q48" s="20">
        <f t="shared" si="53"/>
        <v>312.4140721854024</v>
      </c>
      <c r="R48" s="59">
        <f t="shared" si="0"/>
        <v>605.74740551873572</v>
      </c>
      <c r="S48" s="59">
        <f ca="1">AVERAGE(OFFSET($R$3,0,0,'Données projet'!$E$9+1,1))-AVERAGE(OFFSET($H$3,0,0,'Données projet'!$E$9+1,1))</f>
        <v>346.35147716792028</v>
      </c>
      <c r="T48" s="59">
        <f t="shared" si="34"/>
        <v>231.36959598460686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4.2282963134996659E-2</v>
      </c>
      <c r="AC48" s="22">
        <f t="shared" si="3"/>
        <v>4.2282963134996659E-2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8.3000000000000007</v>
      </c>
      <c r="AI48" s="13">
        <f>IF('Données projet'!$A$62&gt;35,AI47+AH48-AQ47,IF(A48&lt;'Données projet'!$A$62,$AF$205^A48,IF(A48='Données projet'!$A$62,'Données projet'!$B$62,AI47+AH48-AQ47)))</f>
        <v>157.50000000000003</v>
      </c>
      <c r="AJ48" s="13">
        <f>AI48*VLOOKUP('Données projet'!$B$10,Paramètres!$A$1:$I$89,3,0)*VLOOKUP('Données projet'!$B$10,Paramètres!$A$1:$I$89,5,0)</f>
        <v>142.50600000000003</v>
      </c>
      <c r="AK48" s="13">
        <f t="shared" si="35"/>
        <v>36.870500776307573</v>
      </c>
      <c r="AL48" s="20">
        <f t="shared" si="4"/>
        <v>312.4140721854024</v>
      </c>
      <c r="AM48" s="59">
        <f t="shared" si="5"/>
        <v>605.74740551873572</v>
      </c>
      <c r="AN48" s="59">
        <f ca="1">AVERAGE(OFFSET($AM$3,0,0,'Données projet'!$E$10+1,1))-AVERAGE(OFFSET($H$3,0,0,'Données projet'!$E$10+1,1))</f>
        <v>346.35147716792028</v>
      </c>
      <c r="AO48" s="59">
        <f t="shared" si="36"/>
        <v>231.36959598460686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4.2282963134996659E-2</v>
      </c>
      <c r="AX48" s="21">
        <f t="shared" si="6"/>
        <v>4.2282963134996659E-2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13.292307692307695</v>
      </c>
      <c r="BD48" s="12">
        <f>IF('Données projet'!$A$88&gt;35,BD47+BC48-BL47,IF(A48&lt;'Données projet'!$A$88,$BA$205^A48,IF(A48='Données projet'!$A$88,'Données projet'!$B$88,BD47+BC48-BL47)))</f>
        <v>238.76923076923083</v>
      </c>
      <c r="BE48" s="13">
        <f>BD48*VLOOKUP('Données projet'!$B$11,Paramètres!$A$1:$I$89,3,0)*VLOOKUP('Données projet'!$B$11,Paramètres!$A$1:$I$89,5,0)</f>
        <v>142.78400000000005</v>
      </c>
      <c r="BF48" s="13">
        <f t="shared" si="37"/>
        <v>36.934048077938577</v>
      </c>
      <c r="BG48" s="20">
        <f t="shared" si="7"/>
        <v>313.00893373574308</v>
      </c>
      <c r="BH48" s="59">
        <f t="shared" si="8"/>
        <v>606.34226706907634</v>
      </c>
      <c r="BI48" s="59">
        <f ca="1">AVERAGE(OFFSET($BH$3,0,0,'Données projet'!$E$11+1,1))-AVERAGE(OFFSET($H$3,0,0,'Données projet'!$E$11+1,1))</f>
        <v>257.80952690600492</v>
      </c>
      <c r="BJ48" s="59">
        <f t="shared" si="38"/>
        <v>269.95358755269427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#VALUE!</v>
      </c>
      <c r="BQ48" s="21" t="e">
        <f>EXP(-LN(2)/25)*BQ47+(1-EXP(-LN(2)/25))/(LN(2)/25)*Calculateur!BL48*Calculateur!BN48*VLOOKUP('Données projet'!$B$11,Paramètres!$A$1:$I$89,3,0)*0.475*44/12</f>
        <v>#VALUE!</v>
      </c>
      <c r="BR48" s="21" t="e">
        <f>EXP(-LN(2)/2)*BR47+(1-EXP(-LN(2)/2))/(LN(2)/2)*BL48*BO48*VLOOKUP('Données projet'!$B$11,Paramètres!$A$1:$I$89,3,0)*0.475*44/12</f>
        <v>#VALUE!</v>
      </c>
      <c r="BS48" s="22" t="e">
        <f t="shared" si="9"/>
        <v>#VALUE!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233</v>
      </c>
      <c r="BW48" s="12">
        <f>VLOOKUP(A48,'Données projet'!$A$113:$I$133,9,0)</f>
        <v>11.4</v>
      </c>
      <c r="BX48" s="12">
        <f t="array" ref="BX48">INDEX(BW:BW,MIN(IF(ISNUMBER(BW48:BW244),ROW(BW48:BW244),"")))</f>
        <v>11.4</v>
      </c>
      <c r="BY48" s="12">
        <f>IF('Données projet'!$A$114&gt;35,BY47+BX48-CG47,IF(A48&lt;'Données projet'!$A$114,$BV$205^A48,IF(A48='Données projet'!$A$114,'Données projet'!$B$114,BY47+BX48-CG47)))</f>
        <v>233.00000000000006</v>
      </c>
      <c r="BZ48" s="13">
        <f>BY48*VLOOKUP('Données projet'!$B$12,Paramètres!$A$1:$I$89,3,0)*VLOOKUP('Données projet'!$B$12,Paramètres!$A$1:$I$89,5,0)</f>
        <v>181.74000000000004</v>
      </c>
      <c r="CA48" s="13">
        <f t="shared" si="39"/>
        <v>45.709087095891377</v>
      </c>
      <c r="CB48" s="20">
        <f t="shared" si="10"/>
        <v>396.14049335867753</v>
      </c>
      <c r="CC48" s="59">
        <f t="shared" si="11"/>
        <v>689.47382669201079</v>
      </c>
      <c r="CD48" s="59">
        <f ca="1">AVERAGE(OFFSET($CC$3,0,0,'Données projet'!$E$12+1,1))-AVERAGE(OFFSET($H$3,0,0,'Données projet'!$E$12+1,1))</f>
        <v>286.5685205631126</v>
      </c>
      <c r="CE48" s="59">
        <f t="shared" si="40"/>
        <v>264.17357326498581</v>
      </c>
      <c r="CF48" s="15">
        <f>IF(ISNA(VLOOKUP(A48,'Données projet'!$A$113:$I$133,3,0)),0,VLOOKUP(A48,'Données projet'!$A$113:$I$133,3,0))</f>
        <v>5</v>
      </c>
      <c r="CG48" s="15">
        <f>IF(ISNA(VLOOKUP(A48,'Données projet'!$A$113:$I$133,4,0)),0,VLOOKUP(A48,'Données projet'!$A$113:$I$133,4,0))</f>
        <v>31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0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8.3000000000000007</v>
      </c>
      <c r="N49" s="13">
        <f>IF('Données projet'!$A$36&gt;35,N48+M49-V48,IF(A49&lt;'Données projet'!$A$36,$K$205^A49,IF(A49='Données projet'!$A$36,'Données projet'!$B$36,N48+M49-V48)))</f>
        <v>165.80000000000004</v>
      </c>
      <c r="O49" s="13">
        <f>N49*VLOOKUP('Données projet'!$B$9,Paramètres!$A$1:$I$89,3,0)*VLOOKUP('Données projet'!$B$9,Paramètres!$A$1:$I$89,5,0)</f>
        <v>150.01584000000003</v>
      </c>
      <c r="P49" s="13">
        <f t="shared" si="33"/>
        <v>38.582185295570788</v>
      </c>
      <c r="Q49" s="20">
        <f t="shared" si="53"/>
        <v>328.47489405645246</v>
      </c>
      <c r="R49" s="59">
        <f t="shared" si="0"/>
        <v>621.80822738978577</v>
      </c>
      <c r="S49" s="59">
        <f ca="1">AVERAGE(OFFSET($R$3,0,0,'Données projet'!$E$9+1,1))-AVERAGE(OFFSET($H$3,0,0,'Données projet'!$E$9+1,1))</f>
        <v>346.35147716792028</v>
      </c>
      <c r="T49" s="59">
        <f t="shared" si="34"/>
        <v>231.36959598460686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2.9898569961416939E-2</v>
      </c>
      <c r="AC49" s="22">
        <f t="shared" si="3"/>
        <v>2.9898569961416939E-2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8.3000000000000007</v>
      </c>
      <c r="AI49" s="13">
        <f>IF('Données projet'!$A$62&gt;35,AI48+AH49-AQ48,IF(A49&lt;'Données projet'!$A$62,$AF$205^A49,IF(A49='Données projet'!$A$62,'Données projet'!$B$62,AI48+AH49-AQ48)))</f>
        <v>165.80000000000004</v>
      </c>
      <c r="AJ49" s="13">
        <f>AI49*VLOOKUP('Données projet'!$B$10,Paramètres!$A$1:$I$89,3,0)*VLOOKUP('Données projet'!$B$10,Paramètres!$A$1:$I$89,5,0)</f>
        <v>150.01584000000003</v>
      </c>
      <c r="AK49" s="13">
        <f t="shared" si="35"/>
        <v>38.582185295570788</v>
      </c>
      <c r="AL49" s="20">
        <f t="shared" si="4"/>
        <v>328.47489405645246</v>
      </c>
      <c r="AM49" s="59">
        <f t="shared" si="5"/>
        <v>621.80822738978577</v>
      </c>
      <c r="AN49" s="59">
        <f ca="1">AVERAGE(OFFSET($AM$3,0,0,'Données projet'!$E$10+1,1))-AVERAGE(OFFSET($H$3,0,0,'Données projet'!$E$10+1,1))</f>
        <v>346.35147716792028</v>
      </c>
      <c r="AO49" s="59">
        <f t="shared" si="36"/>
        <v>231.36959598460686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2.9898569961416939E-2</v>
      </c>
      <c r="AX49" s="21">
        <f t="shared" si="6"/>
        <v>2.9898569961416939E-2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13.292307692307695</v>
      </c>
      <c r="BD49" s="12">
        <f>IF('Données projet'!$A$88&gt;35,BD48+BC49-BL48,IF(A49&lt;'Données projet'!$A$88,$BA$205^A49,IF(A49='Données projet'!$A$88,'Données projet'!$B$88,BD48+BC49-BL48)))</f>
        <v>252.06153846153853</v>
      </c>
      <c r="BE49" s="13">
        <f>BD49*VLOOKUP('Données projet'!$B$11,Paramètres!$A$1:$I$89,3,0)*VLOOKUP('Données projet'!$B$11,Paramètres!$A$1:$I$89,5,0)</f>
        <v>150.73280000000005</v>
      </c>
      <c r="BF49" s="13">
        <f t="shared" si="37"/>
        <v>38.745069786983869</v>
      </c>
      <c r="BG49" s="20">
        <f t="shared" si="7"/>
        <v>330.00728987899697</v>
      </c>
      <c r="BH49" s="59">
        <f t="shared" si="8"/>
        <v>623.34062321233023</v>
      </c>
      <c r="BI49" s="59">
        <f ca="1">AVERAGE(OFFSET($BH$3,0,0,'Données projet'!$E$11+1,1))-AVERAGE(OFFSET($H$3,0,0,'Données projet'!$E$11+1,1))</f>
        <v>257.80952690600492</v>
      </c>
      <c r="BJ49" s="59">
        <f t="shared" si="38"/>
        <v>269.95358755269427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#VALUE!</v>
      </c>
      <c r="BQ49" s="21" t="e">
        <f>EXP(-LN(2)/25)*BQ48+(1-EXP(-LN(2)/25))/(LN(2)/25)*Calculateur!BL49*Calculateur!BN49*VLOOKUP('Données projet'!$B$11,Paramètres!$A$1:$I$89,3,0)*0.475*44/12</f>
        <v>#VALUE!</v>
      </c>
      <c r="BR49" s="21" t="e">
        <f>EXP(-LN(2)/2)*BR48+(1-EXP(-LN(2)/2))/(LN(2)/2)*BL49*BO49*VLOOKUP('Données projet'!$B$11,Paramètres!$A$1:$I$89,3,0)*0.475*44/12</f>
        <v>#VALUE!</v>
      </c>
      <c r="BS49" s="22" t="e">
        <f t="shared" si="9"/>
        <v>#VALUE!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10.199999999999999</v>
      </c>
      <c r="BY49" s="12">
        <f>IF('Données projet'!$A$114&gt;35,BY48+BX49-CG48,IF(A49&lt;'Données projet'!$A$114,$BV$205^A49,IF(A49='Données projet'!$A$114,'Données projet'!$B$114,BY48+BX49-CG48)))</f>
        <v>212.20000000000005</v>
      </c>
      <c r="BZ49" s="13">
        <f>BY49*VLOOKUP('Données projet'!$B$12,Paramètres!$A$1:$I$89,3,0)*VLOOKUP('Données projet'!$B$12,Paramètres!$A$1:$I$89,5,0)</f>
        <v>165.51600000000005</v>
      </c>
      <c r="CA49" s="13">
        <f t="shared" si="39"/>
        <v>42.084199740832013</v>
      </c>
      <c r="CB49" s="20">
        <f t="shared" si="10"/>
        <v>361.57034788194915</v>
      </c>
      <c r="CC49" s="59">
        <f t="shared" si="11"/>
        <v>654.9036812152824</v>
      </c>
      <c r="CD49" s="59">
        <f ca="1">AVERAGE(OFFSET($CC$3,0,0,'Données projet'!$E$12+1,1))-AVERAGE(OFFSET($H$3,0,0,'Données projet'!$E$12+1,1))</f>
        <v>286.5685205631126</v>
      </c>
      <c r="CE49" s="59">
        <f t="shared" si="40"/>
        <v>264.17357326498581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0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8.3000000000000007</v>
      </c>
      <c r="N50" s="13">
        <f>IF('Données projet'!$A$36&gt;35,N49+M50-V49,IF(A50&lt;'Données projet'!$A$36,$K$205^A50,IF(A50='Données projet'!$A$36,'Données projet'!$B$36,N49+M50-V49)))</f>
        <v>174.10000000000005</v>
      </c>
      <c r="O50" s="13">
        <f>N50*VLOOKUP('Données projet'!$B$9,Paramètres!$A$1:$I$89,3,0)*VLOOKUP('Données projet'!$B$9,Paramètres!$A$1:$I$89,5,0)</f>
        <v>157.52568000000005</v>
      </c>
      <c r="P50" s="13">
        <f t="shared" si="33"/>
        <v>40.283920409774808</v>
      </c>
      <c r="Q50" s="20">
        <f t="shared" si="53"/>
        <v>344.51838738035786</v>
      </c>
      <c r="R50" s="59">
        <f t="shared" si="0"/>
        <v>637.85172071369118</v>
      </c>
      <c r="S50" s="59">
        <f ca="1">AVERAGE(OFFSET($R$3,0,0,'Données projet'!$E$9+1,1))-AVERAGE(OFFSET($H$3,0,0,'Données projet'!$E$9+1,1))</f>
        <v>346.35147716792028</v>
      </c>
      <c r="T50" s="59">
        <f t="shared" si="34"/>
        <v>231.36959598460686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2.1141481567498333E-2</v>
      </c>
      <c r="AC50" s="22">
        <f t="shared" si="3"/>
        <v>2.1141481567498333E-2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8.3000000000000007</v>
      </c>
      <c r="AI50" s="13">
        <f>IF('Données projet'!$A$62&gt;35,AI49+AH50-AQ49,IF(A50&lt;'Données projet'!$A$62,$AF$205^A50,IF(A50='Données projet'!$A$62,'Données projet'!$B$62,AI49+AH50-AQ49)))</f>
        <v>174.10000000000005</v>
      </c>
      <c r="AJ50" s="13">
        <f>AI50*VLOOKUP('Données projet'!$B$10,Paramètres!$A$1:$I$89,3,0)*VLOOKUP('Données projet'!$B$10,Paramètres!$A$1:$I$89,5,0)</f>
        <v>157.52568000000005</v>
      </c>
      <c r="AK50" s="13">
        <f t="shared" si="35"/>
        <v>40.283920409774808</v>
      </c>
      <c r="AL50" s="20">
        <f t="shared" si="4"/>
        <v>344.51838738035786</v>
      </c>
      <c r="AM50" s="59">
        <f t="shared" si="5"/>
        <v>637.85172071369118</v>
      </c>
      <c r="AN50" s="59">
        <f ca="1">AVERAGE(OFFSET($AM$3,0,0,'Données projet'!$E$10+1,1))-AVERAGE(OFFSET($H$3,0,0,'Données projet'!$E$10+1,1))</f>
        <v>346.35147716792028</v>
      </c>
      <c r="AO50" s="59">
        <f t="shared" si="36"/>
        <v>231.36959598460686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2.1141481567498333E-2</v>
      </c>
      <c r="AX50" s="21">
        <f t="shared" si="6"/>
        <v>2.1141481567498333E-2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13.292307692307695</v>
      </c>
      <c r="BD50" s="12">
        <f>IF('Données projet'!$A$88&gt;35,BD49+BC50-BL49,IF(A50&lt;'Données projet'!$A$88,$BA$205^A50,IF(A50='Données projet'!$A$88,'Données projet'!$B$88,BD49+BC50-BL49)))</f>
        <v>265.35384615384623</v>
      </c>
      <c r="BE50" s="13">
        <f>BD50*VLOOKUP('Données projet'!$B$11,Paramètres!$A$1:$I$89,3,0)*VLOOKUP('Données projet'!$B$11,Paramètres!$A$1:$I$89,5,0)</f>
        <v>158.68160000000006</v>
      </c>
      <c r="BF50" s="13">
        <f t="shared" si="37"/>
        <v>40.545003558832867</v>
      </c>
      <c r="BG50" s="20">
        <f t="shared" si="7"/>
        <v>346.98633453163399</v>
      </c>
      <c r="BH50" s="59">
        <f t="shared" si="8"/>
        <v>640.3196678649673</v>
      </c>
      <c r="BI50" s="59">
        <f ca="1">AVERAGE(OFFSET($BH$3,0,0,'Données projet'!$E$11+1,1))-AVERAGE(OFFSET($H$3,0,0,'Données projet'!$E$11+1,1))</f>
        <v>257.80952690600492</v>
      </c>
      <c r="BJ50" s="59">
        <f t="shared" si="38"/>
        <v>269.95358755269427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#VALUE!</v>
      </c>
      <c r="BQ50" s="21" t="e">
        <f>EXP(-LN(2)/25)*BQ49+(1-EXP(-LN(2)/25))/(LN(2)/25)*Calculateur!BL50*Calculateur!BN50*VLOOKUP('Données projet'!$B$11,Paramètres!$A$1:$I$89,3,0)*0.475*44/12</f>
        <v>#VALUE!</v>
      </c>
      <c r="BR50" s="21" t="e">
        <f>EXP(-LN(2)/2)*BR49+(1-EXP(-LN(2)/2))/(LN(2)/2)*BL50*BO50*VLOOKUP('Données projet'!$B$11,Paramètres!$A$1:$I$89,3,0)*0.475*44/12</f>
        <v>#VALUE!</v>
      </c>
      <c r="BS50" s="22" t="e">
        <f t="shared" si="9"/>
        <v>#VALUE!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10.199999999999999</v>
      </c>
      <c r="BY50" s="12">
        <f>IF('Données projet'!$A$114&gt;35,BY49+BX50-CG49,IF(A50&lt;'Données projet'!$A$114,$BV$205^A50,IF(A50='Données projet'!$A$114,'Données projet'!$B$114,BY49+BX50-CG49)))</f>
        <v>222.40000000000003</v>
      </c>
      <c r="BZ50" s="13">
        <f>BY50*VLOOKUP('Données projet'!$B$12,Paramètres!$A$1:$I$89,3,0)*VLOOKUP('Données projet'!$B$12,Paramètres!$A$1:$I$89,5,0)</f>
        <v>173.47200000000004</v>
      </c>
      <c r="CA50" s="13">
        <f t="shared" si="39"/>
        <v>43.866718728383574</v>
      </c>
      <c r="CB50" s="20">
        <f t="shared" si="10"/>
        <v>378.53160178526809</v>
      </c>
      <c r="CC50" s="59">
        <f t="shared" si="11"/>
        <v>671.86493511860135</v>
      </c>
      <c r="CD50" s="59">
        <f ca="1">AVERAGE(OFFSET($CC$3,0,0,'Données projet'!$E$12+1,1))-AVERAGE(OFFSET($H$3,0,0,'Données projet'!$E$12+1,1))</f>
        <v>286.5685205631126</v>
      </c>
      <c r="CE50" s="59">
        <f t="shared" si="40"/>
        <v>264.17357326498581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0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8.3000000000000007</v>
      </c>
      <c r="N51" s="13">
        <f>IF('Données projet'!$A$36&gt;35,N50+M51-V50,IF(A51&lt;'Données projet'!$A$36,$K$205^A51,IF(A51='Données projet'!$A$36,'Données projet'!$B$36,N50+M51-V50)))</f>
        <v>182.40000000000006</v>
      </c>
      <c r="O51" s="13">
        <f>N51*VLOOKUP('Données projet'!$B$9,Paramètres!$A$1:$I$89,3,0)*VLOOKUP('Données projet'!$B$9,Paramètres!$A$1:$I$89,5,0)</f>
        <v>165.03552000000005</v>
      </c>
      <c r="P51" s="13">
        <f t="shared" si="33"/>
        <v>41.976234598846517</v>
      </c>
      <c r="Q51" s="20">
        <f t="shared" si="53"/>
        <v>360.54547259299108</v>
      </c>
      <c r="R51" s="59">
        <f t="shared" si="0"/>
        <v>653.87880592632439</v>
      </c>
      <c r="S51" s="59">
        <f ca="1">AVERAGE(OFFSET($R$3,0,0,'Données projet'!$E$9+1,1))-AVERAGE(OFFSET($H$3,0,0,'Données projet'!$E$9+1,1))</f>
        <v>346.35147716792028</v>
      </c>
      <c r="T51" s="59">
        <f t="shared" si="34"/>
        <v>231.36959598460686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1.4949284980708473E-2</v>
      </c>
      <c r="AC51" s="22">
        <f t="shared" si="3"/>
        <v>1.4949284980708473E-2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8.3000000000000007</v>
      </c>
      <c r="AI51" s="13">
        <f>IF('Données projet'!$A$62&gt;35,AI50+AH51-AQ50,IF(A51&lt;'Données projet'!$A$62,$AF$205^A51,IF(A51='Données projet'!$A$62,'Données projet'!$B$62,AI50+AH51-AQ50)))</f>
        <v>182.40000000000006</v>
      </c>
      <c r="AJ51" s="13">
        <f>AI51*VLOOKUP('Données projet'!$B$10,Paramètres!$A$1:$I$89,3,0)*VLOOKUP('Données projet'!$B$10,Paramètres!$A$1:$I$89,5,0)</f>
        <v>165.03552000000005</v>
      </c>
      <c r="AK51" s="13">
        <f t="shared" si="35"/>
        <v>41.976234598846517</v>
      </c>
      <c r="AL51" s="20">
        <f t="shared" si="4"/>
        <v>360.54547259299108</v>
      </c>
      <c r="AM51" s="59">
        <f t="shared" si="5"/>
        <v>653.87880592632439</v>
      </c>
      <c r="AN51" s="59">
        <f ca="1">AVERAGE(OFFSET($AM$3,0,0,'Données projet'!$E$10+1,1))-AVERAGE(OFFSET($H$3,0,0,'Données projet'!$E$10+1,1))</f>
        <v>346.35147716792028</v>
      </c>
      <c r="AO51" s="59">
        <f t="shared" si="36"/>
        <v>231.36959598460686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1.4949284980708473E-2</v>
      </c>
      <c r="AX51" s="21">
        <f t="shared" si="6"/>
        <v>1.4949284980708473E-2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13.292307692307695</v>
      </c>
      <c r="BD51" s="12">
        <f>IF('Données projet'!$A$88&gt;35,BD50+BC51-BL50,IF(A51&lt;'Données projet'!$A$88,$BA$205^A51,IF(A51='Données projet'!$A$88,'Données projet'!$B$88,BD50+BC51-BL50)))</f>
        <v>278.64615384615394</v>
      </c>
      <c r="BE51" s="13">
        <f>BD51*VLOOKUP('Données projet'!$B$11,Paramètres!$A$1:$I$89,3,0)*VLOOKUP('Données projet'!$B$11,Paramètres!$A$1:$I$89,5,0)</f>
        <v>166.63040000000007</v>
      </c>
      <c r="BF51" s="13">
        <f t="shared" si="37"/>
        <v>42.334468196248146</v>
      </c>
      <c r="BG51" s="20">
        <f t="shared" si="7"/>
        <v>363.94714544179897</v>
      </c>
      <c r="BH51" s="59">
        <f t="shared" si="8"/>
        <v>657.28047877513222</v>
      </c>
      <c r="BI51" s="59">
        <f ca="1">AVERAGE(OFFSET($BH$3,0,0,'Données projet'!$E$11+1,1))-AVERAGE(OFFSET($H$3,0,0,'Données projet'!$E$11+1,1))</f>
        <v>257.80952690600492</v>
      </c>
      <c r="BJ51" s="59">
        <f t="shared" si="38"/>
        <v>269.95358755269427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#VALUE!</v>
      </c>
      <c r="BQ51" s="21" t="e">
        <f>EXP(-LN(2)/25)*BQ50+(1-EXP(-LN(2)/25))/(LN(2)/25)*Calculateur!BL51*Calculateur!BN51*VLOOKUP('Données projet'!$B$11,Paramètres!$A$1:$I$89,3,0)*0.475*44/12</f>
        <v>#VALUE!</v>
      </c>
      <c r="BR51" s="21" t="e">
        <f>EXP(-LN(2)/2)*BR50+(1-EXP(-LN(2)/2))/(LN(2)/2)*BL51*BO51*VLOOKUP('Données projet'!$B$11,Paramètres!$A$1:$I$89,3,0)*0.475*44/12</f>
        <v>#VALUE!</v>
      </c>
      <c r="BS51" s="22" t="e">
        <f t="shared" si="9"/>
        <v>#VALUE!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10.199999999999999</v>
      </c>
      <c r="BY51" s="12">
        <f>IF('Données projet'!$A$114&gt;35,BY50+BX51-CG50,IF(A51&lt;'Données projet'!$A$114,$BV$205^A51,IF(A51='Données projet'!$A$114,'Données projet'!$B$114,BY50+BX51-CG50)))</f>
        <v>232.60000000000002</v>
      </c>
      <c r="BZ51" s="13">
        <f>BY51*VLOOKUP('Données projet'!$B$12,Paramètres!$A$1:$I$89,3,0)*VLOOKUP('Données projet'!$B$12,Paramètres!$A$1:$I$89,5,0)</f>
        <v>181.42800000000003</v>
      </c>
      <c r="CA51" s="13">
        <f t="shared" si="39"/>
        <v>45.639743598335336</v>
      </c>
      <c r="CB51" s="20">
        <f t="shared" si="10"/>
        <v>395.47632010043407</v>
      </c>
      <c r="CC51" s="59">
        <f t="shared" si="11"/>
        <v>688.80965343376738</v>
      </c>
      <c r="CD51" s="59">
        <f ca="1">AVERAGE(OFFSET($CC$3,0,0,'Données projet'!$E$12+1,1))-AVERAGE(OFFSET($H$3,0,0,'Données projet'!$E$12+1,1))</f>
        <v>286.5685205631126</v>
      </c>
      <c r="CE51" s="59">
        <f t="shared" si="40"/>
        <v>264.17357326498581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0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8.3000000000000007</v>
      </c>
      <c r="N52" s="13">
        <f>IF('Données projet'!$A$36&gt;35,N51+M52-V51,IF(A52&lt;'Données projet'!$A$36,$K$205^A52,IF(A52='Données projet'!$A$36,'Données projet'!$B$36,N51+M52-V51)))</f>
        <v>190.70000000000007</v>
      </c>
      <c r="O52" s="13">
        <f>N52*VLOOKUP('Données projet'!$B$9,Paramètres!$A$1:$I$89,3,0)*VLOOKUP('Données projet'!$B$9,Paramètres!$A$1:$I$89,5,0)</f>
        <v>172.54536000000007</v>
      </c>
      <c r="P52" s="13">
        <f t="shared" si="33"/>
        <v>43.65960552772448</v>
      </c>
      <c r="Q52" s="20">
        <f t="shared" si="53"/>
        <v>376.55698162745358</v>
      </c>
      <c r="R52" s="59">
        <f t="shared" si="0"/>
        <v>669.8903149607869</v>
      </c>
      <c r="S52" s="59">
        <f ca="1">AVERAGE(OFFSET($R$3,0,0,'Données projet'!$E$9+1,1))-AVERAGE(OFFSET($H$3,0,0,'Données projet'!$E$9+1,1))</f>
        <v>346.35147716792028</v>
      </c>
      <c r="T52" s="59">
        <f t="shared" si="34"/>
        <v>231.36959598460686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1.0570740783749168E-2</v>
      </c>
      <c r="AC52" s="22">
        <f t="shared" si="3"/>
        <v>1.0570740783749168E-2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8.3000000000000007</v>
      </c>
      <c r="AI52" s="13">
        <f>IF('Données projet'!$A$62&gt;35,AI51+AH52-AQ51,IF(A52&lt;'Données projet'!$A$62,$AF$205^A52,IF(A52='Données projet'!$A$62,'Données projet'!$B$62,AI51+AH52-AQ51)))</f>
        <v>190.70000000000007</v>
      </c>
      <c r="AJ52" s="13">
        <f>AI52*VLOOKUP('Données projet'!$B$10,Paramètres!$A$1:$I$89,3,0)*VLOOKUP('Données projet'!$B$10,Paramètres!$A$1:$I$89,5,0)</f>
        <v>172.54536000000007</v>
      </c>
      <c r="AK52" s="13">
        <f t="shared" si="35"/>
        <v>43.65960552772448</v>
      </c>
      <c r="AL52" s="20">
        <f t="shared" si="4"/>
        <v>376.55698162745358</v>
      </c>
      <c r="AM52" s="59">
        <f t="shared" si="5"/>
        <v>669.8903149607869</v>
      </c>
      <c r="AN52" s="59">
        <f ca="1">AVERAGE(OFFSET($AM$3,0,0,'Données projet'!$E$10+1,1))-AVERAGE(OFFSET($H$3,0,0,'Données projet'!$E$10+1,1))</f>
        <v>346.35147716792028</v>
      </c>
      <c r="AO52" s="59">
        <f t="shared" si="36"/>
        <v>231.36959598460686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1.0570740783749168E-2</v>
      </c>
      <c r="AX52" s="21">
        <f t="shared" si="6"/>
        <v>1.0570740783749168E-2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13.292307692307695</v>
      </c>
      <c r="BD52" s="12">
        <f>IF('Données projet'!$A$88&gt;35,BD51+BC52-BL51,IF(A52&lt;'Données projet'!$A$88,$BA$205^A52,IF(A52='Données projet'!$A$88,'Données projet'!$B$88,BD51+BC52-BL51)))</f>
        <v>291.93846153846164</v>
      </c>
      <c r="BE52" s="13">
        <f>BD52*VLOOKUP('Données projet'!$B$11,Paramètres!$A$1:$I$89,3,0)*VLOOKUP('Données projet'!$B$11,Paramètres!$A$1:$I$89,5,0)</f>
        <v>174.57920000000007</v>
      </c>
      <c r="BF52" s="13">
        <f t="shared" si="37"/>
        <v>44.114020128349765</v>
      </c>
      <c r="BG52" s="20">
        <f t="shared" si="7"/>
        <v>380.8906917235426</v>
      </c>
      <c r="BH52" s="59">
        <f t="shared" si="8"/>
        <v>674.22402505687592</v>
      </c>
      <c r="BI52" s="59">
        <f ca="1">AVERAGE(OFFSET($BH$3,0,0,'Données projet'!$E$11+1,1))-AVERAGE(OFFSET($H$3,0,0,'Données projet'!$E$11+1,1))</f>
        <v>257.80952690600492</v>
      </c>
      <c r="BJ52" s="59">
        <f t="shared" si="38"/>
        <v>269.95358755269427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#VALUE!</v>
      </c>
      <c r="BQ52" s="21" t="e">
        <f>EXP(-LN(2)/25)*BQ51+(1-EXP(-LN(2)/25))/(LN(2)/25)*Calculateur!BL52*Calculateur!BN52*VLOOKUP('Données projet'!$B$11,Paramètres!$A$1:$I$89,3,0)*0.475*44/12</f>
        <v>#VALUE!</v>
      </c>
      <c r="BR52" s="21" t="e">
        <f>EXP(-LN(2)/2)*BR51+(1-EXP(-LN(2)/2))/(LN(2)/2)*BL52*BO52*VLOOKUP('Données projet'!$B$11,Paramètres!$A$1:$I$89,3,0)*0.475*44/12</f>
        <v>#VALUE!</v>
      </c>
      <c r="BS52" s="22" t="e">
        <f t="shared" si="9"/>
        <v>#VALUE!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10.199999999999999</v>
      </c>
      <c r="BY52" s="12">
        <f>IF('Données projet'!$A$114&gt;35,BY51+BX52-CG51,IF(A52&lt;'Données projet'!$A$114,$BV$205^A52,IF(A52='Données projet'!$A$114,'Données projet'!$B$114,BY51+BX52-CG51)))</f>
        <v>242.8</v>
      </c>
      <c r="BZ52" s="13">
        <f>BY52*VLOOKUP('Données projet'!$B$12,Paramètres!$A$1:$I$89,3,0)*VLOOKUP('Données projet'!$B$12,Paramètres!$A$1:$I$89,5,0)</f>
        <v>189.38400000000001</v>
      </c>
      <c r="CA52" s="13">
        <f t="shared" si="39"/>
        <v>47.403738268724076</v>
      </c>
      <c r="CB52" s="20">
        <f t="shared" si="10"/>
        <v>412.40531081802777</v>
      </c>
      <c r="CC52" s="59">
        <f t="shared" si="11"/>
        <v>705.73864415136109</v>
      </c>
      <c r="CD52" s="59">
        <f ca="1">AVERAGE(OFFSET($CC$3,0,0,'Données projet'!$E$12+1,1))-AVERAGE(OFFSET($H$3,0,0,'Données projet'!$E$12+1,1))</f>
        <v>286.5685205631126</v>
      </c>
      <c r="CE52" s="59">
        <f t="shared" si="40"/>
        <v>264.17357326498581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0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199</v>
      </c>
      <c r="L53" s="12">
        <f>VLOOKUP(A53,'Données projet'!$A$35:$I$55,9,0)</f>
        <v>8.3000000000000007</v>
      </c>
      <c r="M53" s="12">
        <f t="array" ref="M53">INDEX(L:L,MIN(IF(ISNUMBER(L53:L249),ROW(L53:L249),"")))</f>
        <v>8.3000000000000007</v>
      </c>
      <c r="N53" s="13">
        <f>IF('Données projet'!$A$36&gt;35,N52+M53-V52,IF(A53&lt;'Données projet'!$A$36,$K$205^A53,IF(A53='Données projet'!$A$36,'Données projet'!$B$36,N52+M53-V52)))</f>
        <v>199.00000000000009</v>
      </c>
      <c r="O53" s="13">
        <f>N53*VLOOKUP('Données projet'!$B$9,Paramètres!$A$1:$I$89,3,0)*VLOOKUP('Données projet'!$B$9,Paramètres!$A$1:$I$89,5,0)</f>
        <v>180.05520000000007</v>
      </c>
      <c r="P53" s="13">
        <f t="shared" si="33"/>
        <v>45.334466930398399</v>
      </c>
      <c r="Q53" s="20">
        <f t="shared" si="53"/>
        <v>392.55366990377735</v>
      </c>
      <c r="R53" s="59">
        <f t="shared" si="0"/>
        <v>685.88700323711066</v>
      </c>
      <c r="S53" s="59">
        <f ca="1">AVERAGE(OFFSET($R$3,0,0,'Données projet'!$E$9+1,1))-AVERAGE(OFFSET($H$3,0,0,'Données projet'!$E$9+1,1))</f>
        <v>346.35147716792028</v>
      </c>
      <c r="T53" s="59">
        <f t="shared" si="34"/>
        <v>231.36959598460686</v>
      </c>
      <c r="U53" s="15">
        <f>IF(ISNA(VLOOKUP(A53,'Données projet'!$A$35:$I$55,3,0)),0,VLOOKUP(A53,'Données projet'!$A$35:$I$55,3,0))</f>
        <v>4</v>
      </c>
      <c r="V53" s="15">
        <f>IF(ISNA(VLOOKUP(A53,'Données projet'!$A$35:$I$55,4,0)),0,VLOOKUP(A53,'Données projet'!$A$35:$I$55,4,0))</f>
        <v>42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0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7.4746424903542373E-3</v>
      </c>
      <c r="AC53" s="22">
        <f t="shared" si="3"/>
        <v>7.4746424903542373E-3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199</v>
      </c>
      <c r="AG53" s="12">
        <f>VLOOKUP(A53,'Données projet'!$A$61:$I$81,9,0)</f>
        <v>8.3000000000000007</v>
      </c>
      <c r="AH53" s="12">
        <f t="array" ref="AH53">INDEX(AG:AG,MIN(IF(ISNUMBER(AG53:AG249),ROW(AG53:AG249),"")))</f>
        <v>8.3000000000000007</v>
      </c>
      <c r="AI53" s="13">
        <f>IF('Données projet'!$A$62&gt;35,AI52+AH53-AQ52,IF(A53&lt;'Données projet'!$A$62,$AF$205^A53,IF(A53='Données projet'!$A$62,'Données projet'!$B$62,AI52+AH53-AQ52)))</f>
        <v>199.00000000000009</v>
      </c>
      <c r="AJ53" s="13">
        <f>AI53*VLOOKUP('Données projet'!$B$10,Paramètres!$A$1:$I$89,3,0)*VLOOKUP('Données projet'!$B$10,Paramètres!$A$1:$I$89,5,0)</f>
        <v>180.05520000000007</v>
      </c>
      <c r="AK53" s="13">
        <f t="shared" si="35"/>
        <v>45.334466930398399</v>
      </c>
      <c r="AL53" s="20">
        <f t="shared" si="4"/>
        <v>392.55366990377735</v>
      </c>
      <c r="AM53" s="59">
        <f t="shared" si="5"/>
        <v>685.88700323711066</v>
      </c>
      <c r="AN53" s="59">
        <f ca="1">AVERAGE(OFFSET($AM$3,0,0,'Données projet'!$E$10+1,1))-AVERAGE(OFFSET($H$3,0,0,'Données projet'!$E$10+1,1))</f>
        <v>346.35147716792028</v>
      </c>
      <c r="AO53" s="59">
        <f t="shared" si="36"/>
        <v>231.36959598460686</v>
      </c>
      <c r="AP53" s="15">
        <f>IF(ISNA(VLOOKUP(A53,'Données projet'!$A$61:$I$81,3,0)),0,VLOOKUP(A53,'Données projet'!$A$61:$I$81,3,0))</f>
        <v>4</v>
      </c>
      <c r="AQ53" s="15">
        <f>IF(ISNA(VLOOKUP(A53,'Données projet'!$A$61:$I$81,4,0)),0,VLOOKUP(A53,'Données projet'!$A$61:$I$81,4,0))</f>
        <v>42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7.4746424903542373E-3</v>
      </c>
      <c r="AX53" s="21">
        <f t="shared" si="6"/>
        <v>7.4746424903542373E-3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13.292307692307695</v>
      </c>
      <c r="BD53" s="12">
        <f>IF('Données projet'!$A$88&gt;35,BD52+BC53-BL52,IF(A53&lt;'Données projet'!$A$88,$BA$205^A53,IF(A53='Données projet'!$A$88,'Données projet'!$B$88,BD52+BC53-BL52)))</f>
        <v>305.23076923076934</v>
      </c>
      <c r="BE53" s="13">
        <f>BD53*VLOOKUP('Données projet'!$B$11,Paramètres!$A$1:$I$89,3,0)*VLOOKUP('Données projet'!$B$11,Paramètres!$A$1:$I$89,5,0)</f>
        <v>182.52800000000008</v>
      </c>
      <c r="BF53" s="13">
        <f t="shared" si="37"/>
        <v>45.884162250358621</v>
      </c>
      <c r="BG53" s="20">
        <f t="shared" si="7"/>
        <v>397.81784925270807</v>
      </c>
      <c r="BH53" s="59">
        <f t="shared" si="8"/>
        <v>691.15118258604139</v>
      </c>
      <c r="BI53" s="59">
        <f ca="1">AVERAGE(OFFSET($BH$3,0,0,'Données projet'!$E$11+1,1))-AVERAGE(OFFSET($H$3,0,0,'Données projet'!$E$11+1,1))</f>
        <v>257.80952690600492</v>
      </c>
      <c r="BJ53" s="59">
        <f t="shared" si="38"/>
        <v>269.95358755269427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#VALUE!</v>
      </c>
      <c r="BQ53" s="21" t="e">
        <f>EXP(-LN(2)/25)*BQ52+(1-EXP(-LN(2)/25))/(LN(2)/25)*Calculateur!BL53*Calculateur!BN53*VLOOKUP('Données projet'!$B$11,Paramètres!$A$1:$I$89,3,0)*0.475*44/12</f>
        <v>#VALUE!</v>
      </c>
      <c r="BR53" s="21" t="e">
        <f>EXP(-LN(2)/2)*BR52+(1-EXP(-LN(2)/2))/(LN(2)/2)*BL53*BO53*VLOOKUP('Données projet'!$B$11,Paramètres!$A$1:$I$89,3,0)*0.475*44/12</f>
        <v>#VALUE!</v>
      </c>
      <c r="BS53" s="22" t="e">
        <f t="shared" si="9"/>
        <v>#VALUE!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253</v>
      </c>
      <c r="BW53" s="12">
        <f>VLOOKUP(A53,'Données projet'!$A$113:$I$133,9,0)</f>
        <v>10.199999999999999</v>
      </c>
      <c r="BX53" s="12">
        <f t="array" ref="BX53">INDEX(BW:BW,MIN(IF(ISNUMBER(BW53:BW249),ROW(BW53:BW249),"")))</f>
        <v>10.199999999999999</v>
      </c>
      <c r="BY53" s="12">
        <f>IF('Données projet'!$A$114&gt;35,BY52+BX53-CG52,IF(A53&lt;'Données projet'!$A$114,$BV$205^A53,IF(A53='Données projet'!$A$114,'Données projet'!$B$114,BY52+BX53-CG52)))</f>
        <v>253</v>
      </c>
      <c r="BZ53" s="13">
        <f>BY53*VLOOKUP('Données projet'!$B$12,Paramètres!$A$1:$I$89,3,0)*VLOOKUP('Données projet'!$B$12,Paramètres!$A$1:$I$89,5,0)</f>
        <v>197.34</v>
      </c>
      <c r="CA53" s="13">
        <f t="shared" si="39"/>
        <v>49.159125474269977</v>
      </c>
      <c r="CB53" s="20">
        <f t="shared" si="10"/>
        <v>429.31931020102024</v>
      </c>
      <c r="CC53" s="59">
        <f t="shared" si="11"/>
        <v>722.6526435343535</v>
      </c>
      <c r="CD53" s="59">
        <f ca="1">AVERAGE(OFFSET($CC$3,0,0,'Données projet'!$E$12+1,1))-AVERAGE(OFFSET($H$3,0,0,'Données projet'!$E$12+1,1))</f>
        <v>286.5685205631126</v>
      </c>
      <c r="CE53" s="59">
        <f t="shared" si="40"/>
        <v>264.17357326498581</v>
      </c>
      <c r="CF53" s="15">
        <f>IF(ISNA(VLOOKUP(A53,'Données projet'!$A$113:$I$133,3,0)),0,VLOOKUP(A53,'Données projet'!$A$113:$I$133,3,0))</f>
        <v>6</v>
      </c>
      <c r="CG53" s="15">
        <f>IF(ISNA(VLOOKUP(A53,'Données projet'!$A$113:$I$133,4,0)),0,VLOOKUP(A53,'Données projet'!$A$113:$I$133,4,0))</f>
        <v>30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0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0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7.8</v>
      </c>
      <c r="N54" s="13">
        <f>IF('Données projet'!$A$36&gt;35,N53+M54-V53,IF(A54&lt;'Données projet'!$A$36,$K$205^A54,IF(A54='Données projet'!$A$36,'Données projet'!$B$36,N53+M54-V53)))</f>
        <v>164.8000000000001</v>
      </c>
      <c r="O54" s="13">
        <f>N54*VLOOKUP('Données projet'!$B$9,Paramètres!$A$1:$I$89,3,0)*VLOOKUP('Données projet'!$B$9,Paramètres!$A$1:$I$89,5,0)</f>
        <v>149.11104000000009</v>
      </c>
      <c r="P54" s="13">
        <f t="shared" si="33"/>
        <v>38.376496436982421</v>
      </c>
      <c r="Q54" s="20">
        <f t="shared" si="53"/>
        <v>326.54079262774457</v>
      </c>
      <c r="R54" s="59">
        <f t="shared" si="0"/>
        <v>619.87412596107788</v>
      </c>
      <c r="S54" s="59">
        <f ca="1">AVERAGE(OFFSET($R$3,0,0,'Données projet'!$E$9+1,1))-AVERAGE(OFFSET($H$3,0,0,'Données projet'!$E$9+1,1))</f>
        <v>346.35147716792028</v>
      </c>
      <c r="T54" s="59">
        <f t="shared" si="34"/>
        <v>231.36959598460686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0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5.285370391874585E-3</v>
      </c>
      <c r="AC54" s="22">
        <f t="shared" si="3"/>
        <v>5.285370391874585E-3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7.8</v>
      </c>
      <c r="AI54" s="13">
        <f>IF('Données projet'!$A$62&gt;35,AI53+AH54-AQ53,IF(A54&lt;'Données projet'!$A$62,$AF$205^A54,IF(A54='Données projet'!$A$62,'Données projet'!$B$62,AI53+AH54-AQ53)))</f>
        <v>164.8000000000001</v>
      </c>
      <c r="AJ54" s="13">
        <f>AI54*VLOOKUP('Données projet'!$B$10,Paramètres!$A$1:$I$89,3,0)*VLOOKUP('Données projet'!$B$10,Paramètres!$A$1:$I$89,5,0)</f>
        <v>149.11104000000009</v>
      </c>
      <c r="AK54" s="13">
        <f t="shared" si="35"/>
        <v>38.376496436982421</v>
      </c>
      <c r="AL54" s="20">
        <f t="shared" si="4"/>
        <v>326.54079262774457</v>
      </c>
      <c r="AM54" s="59">
        <f t="shared" si="5"/>
        <v>619.87412596107788</v>
      </c>
      <c r="AN54" s="59">
        <f ca="1">AVERAGE(OFFSET($AM$3,0,0,'Données projet'!$E$10+1,1))-AVERAGE(OFFSET($H$3,0,0,'Données projet'!$E$10+1,1))</f>
        <v>346.35147716792028</v>
      </c>
      <c r="AO54" s="59">
        <f t="shared" si="36"/>
        <v>231.36959598460686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5.285370391874585E-3</v>
      </c>
      <c r="AX54" s="21">
        <f t="shared" si="6"/>
        <v>5.285370391874585E-3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13.292307692307695</v>
      </c>
      <c r="BD54" s="12">
        <f>IF('Données projet'!$A$88&gt;35,BD53+BC54-BL53,IF(A54&lt;'Données projet'!$A$88,$BA$205^A54,IF(A54='Données projet'!$A$88,'Données projet'!$B$88,BD53+BC54-BL53)))</f>
        <v>318.52307692307704</v>
      </c>
      <c r="BE54" s="13">
        <f>BD54*VLOOKUP('Données projet'!$B$11,Paramètres!$A$1:$I$89,3,0)*VLOOKUP('Données projet'!$B$11,Paramètres!$A$1:$I$89,5,0)</f>
        <v>190.47680000000008</v>
      </c>
      <c r="BF54" s="13">
        <f t="shared" si="37"/>
        <v>47.645351180061425</v>
      </c>
      <c r="BG54" s="20">
        <f t="shared" si="7"/>
        <v>414.72941330527374</v>
      </c>
      <c r="BH54" s="59">
        <f t="shared" si="8"/>
        <v>708.062746638607</v>
      </c>
      <c r="BI54" s="59">
        <f ca="1">AVERAGE(OFFSET($BH$3,0,0,'Données projet'!$E$11+1,1))-AVERAGE(OFFSET($H$3,0,0,'Données projet'!$E$11+1,1))</f>
        <v>257.80952690600492</v>
      </c>
      <c r="BJ54" s="59">
        <f t="shared" si="38"/>
        <v>269.95358755269427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#VALUE!</v>
      </c>
      <c r="BQ54" s="21" t="e">
        <f>EXP(-LN(2)/25)*BQ53+(1-EXP(-LN(2)/25))/(LN(2)/25)*Calculateur!BL54*Calculateur!BN54*VLOOKUP('Données projet'!$B$11,Paramètres!$A$1:$I$89,3,0)*0.475*44/12</f>
        <v>#VALUE!</v>
      </c>
      <c r="BR54" s="21" t="e">
        <f>EXP(-LN(2)/2)*BR53+(1-EXP(-LN(2)/2))/(LN(2)/2)*BL54*BO54*VLOOKUP('Données projet'!$B$11,Paramètres!$A$1:$I$89,3,0)*0.475*44/12</f>
        <v>#VALUE!</v>
      </c>
      <c r="BS54" s="22" t="e">
        <f t="shared" si="9"/>
        <v>#VALUE!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8.1999999999999993</v>
      </c>
      <c r="BY54" s="12">
        <f>IF('Données projet'!$A$114&gt;35,BY53+BX54-CG53,IF(A54&lt;'Données projet'!$A$114,$BV$205^A54,IF(A54='Données projet'!$A$114,'Données projet'!$B$114,BY53+BX54-CG53)))</f>
        <v>231.2</v>
      </c>
      <c r="BZ54" s="13">
        <f>BY54*VLOOKUP('Données projet'!$B$12,Paramètres!$A$1:$I$89,3,0)*VLOOKUP('Données projet'!$B$12,Paramètres!$A$1:$I$89,5,0)</f>
        <v>180.33599999999998</v>
      </c>
      <c r="CA54" s="13">
        <f t="shared" si="39"/>
        <v>45.396931860513298</v>
      </c>
      <c r="CB54" s="20">
        <f t="shared" si="10"/>
        <v>393.15152299039391</v>
      </c>
      <c r="CC54" s="59">
        <f t="shared" si="11"/>
        <v>686.48485632372717</v>
      </c>
      <c r="CD54" s="59">
        <f ca="1">AVERAGE(OFFSET($CC$3,0,0,'Données projet'!$E$12+1,1))-AVERAGE(OFFSET($H$3,0,0,'Données projet'!$E$12+1,1))</f>
        <v>286.5685205631126</v>
      </c>
      <c r="CE54" s="59">
        <f t="shared" si="40"/>
        <v>264.17357326498581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0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7.8</v>
      </c>
      <c r="N55" s="13">
        <f>IF('Données projet'!$A$36&gt;35,N54+M55-V54,IF(A55&lt;'Données projet'!$A$36,$K$205^A55,IF(A55='Données projet'!$A$36,'Données projet'!$B$36,N54+M55-V54)))</f>
        <v>172.60000000000011</v>
      </c>
      <c r="O55" s="13">
        <f>N55*VLOOKUP('Données projet'!$B$9,Paramètres!$A$1:$I$89,3,0)*VLOOKUP('Données projet'!$B$9,Paramètres!$A$1:$I$89,5,0)</f>
        <v>156.1684800000001</v>
      </c>
      <c r="P55" s="13">
        <f t="shared" si="33"/>
        <v>39.977090041212335</v>
      </c>
      <c r="Q55" s="20">
        <f t="shared" si="53"/>
        <v>341.6202011551116</v>
      </c>
      <c r="R55" s="59">
        <f t="shared" si="0"/>
        <v>634.95353448844492</v>
      </c>
      <c r="S55" s="59">
        <f ca="1">AVERAGE(OFFSET($R$3,0,0,'Données projet'!$E$9+1,1))-AVERAGE(OFFSET($H$3,0,0,'Données projet'!$E$9+1,1))</f>
        <v>346.35147716792028</v>
      </c>
      <c r="T55" s="59">
        <f t="shared" si="34"/>
        <v>231.36959598460686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0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3.7373212451771195E-3</v>
      </c>
      <c r="AC55" s="22">
        <f t="shared" si="3"/>
        <v>3.7373212451771195E-3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7.8</v>
      </c>
      <c r="AI55" s="13">
        <f>IF('Données projet'!$A$62&gt;35,AI54+AH55-AQ54,IF(A55&lt;'Données projet'!$A$62,$AF$205^A55,IF(A55='Données projet'!$A$62,'Données projet'!$B$62,AI54+AH55-AQ54)))</f>
        <v>172.60000000000011</v>
      </c>
      <c r="AJ55" s="13">
        <f>AI55*VLOOKUP('Données projet'!$B$10,Paramètres!$A$1:$I$89,3,0)*VLOOKUP('Données projet'!$B$10,Paramètres!$A$1:$I$89,5,0)</f>
        <v>156.1684800000001</v>
      </c>
      <c r="AK55" s="13">
        <f t="shared" si="35"/>
        <v>39.977090041212335</v>
      </c>
      <c r="AL55" s="20">
        <f t="shared" si="4"/>
        <v>341.6202011551116</v>
      </c>
      <c r="AM55" s="59">
        <f t="shared" si="5"/>
        <v>634.95353448844492</v>
      </c>
      <c r="AN55" s="59">
        <f ca="1">AVERAGE(OFFSET($AM$3,0,0,'Données projet'!$E$10+1,1))-AVERAGE(OFFSET($H$3,0,0,'Données projet'!$E$10+1,1))</f>
        <v>346.35147716792028</v>
      </c>
      <c r="AO55" s="59">
        <f t="shared" si="36"/>
        <v>231.36959598460686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3.7373212451771195E-3</v>
      </c>
      <c r="AX55" s="21">
        <f t="shared" si="6"/>
        <v>3.7373212451771195E-3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>
        <f>VLOOKUP(A55,'Données projet'!$A$87:$I$107,2,0)</f>
        <v>331.81538461538463</v>
      </c>
      <c r="BB55" s="12">
        <f>VLOOKUP(A55,'Données projet'!$A$87:$I$107,9,0)</f>
        <v>13.292307692307695</v>
      </c>
      <c r="BC55" s="12">
        <f t="array" ref="BC55">INDEX(BB:BB,MIN(IF(ISNUMBER(BB55:BB251),ROW(BB55:BB251),"")))</f>
        <v>13.292307692307695</v>
      </c>
      <c r="BD55" s="12">
        <f>IF('Données projet'!$A$88&gt;35,BD54+BC55-BL54,IF(A55&lt;'Données projet'!$A$88,$BA$205^A55,IF(A55='Données projet'!$A$88,'Données projet'!$B$88,BD54+BC55-BL54)))</f>
        <v>331.81538461538474</v>
      </c>
      <c r="BE55" s="13">
        <f>BD55*VLOOKUP('Données projet'!$B$11,Paramètres!$A$1:$I$89,3,0)*VLOOKUP('Données projet'!$B$11,Paramètres!$A$1:$I$89,5,0)</f>
        <v>198.42560000000009</v>
      </c>
      <c r="BF55" s="13">
        <f t="shared" si="37"/>
        <v>49.398003268862709</v>
      </c>
      <c r="BG55" s="20">
        <f t="shared" si="7"/>
        <v>431.62610902660271</v>
      </c>
      <c r="BH55" s="59">
        <f t="shared" si="8"/>
        <v>724.95944235993602</v>
      </c>
      <c r="BI55" s="59">
        <f ca="1">AVERAGE(OFFSET($BH$3,0,0,'Données projet'!$E$11+1,1))-AVERAGE(OFFSET($H$3,0,0,'Données projet'!$E$11+1,1))</f>
        <v>257.80952690600492</v>
      </c>
      <c r="BJ55" s="59">
        <f t="shared" si="38"/>
        <v>269.95358755269427</v>
      </c>
      <c r="BK55" s="15">
        <f>IF(ISNA(VLOOKUP(A55,'Données projet'!$A$87:$I$107,3,0)),0,VLOOKUP(A55,'Données projet'!$A$87:$I$107,3,0))</f>
        <v>6</v>
      </c>
      <c r="BL55" s="15">
        <f>IF(ISNA(VLOOKUP(A55,'Données projet'!$A$87:$I$107,4,0)),0,VLOOKUP(A55,'Données projet'!$A$87:$I$107,4,0))</f>
        <v>61.784615384615378</v>
      </c>
      <c r="BM55" s="16" t="e">
        <f>IF(ISNA(VLOOKUP(A55,'Données projet'!$A$87:$I$107,5,0)),0%,VLOOKUP(A55,'Données projet'!$A$87:$I$107,5,0)*VLOOKUP('Données projet'!$B$11,Paramètres!$A$1:$I$89,7,0))</f>
        <v>#VALUE!</v>
      </c>
      <c r="BN55" s="16" t="e">
        <f>IF(ISNA(VLOOKUP(A55,'Données projet'!$A$87:$I$107,6,0)),0%,VLOOKUP(A55,'Données projet'!$A$87:$I$107,6,0)*VLOOKUP('Données projet'!$B$11,Paramètres!$A$1:$I$89,7,0))</f>
        <v>#VALUE!</v>
      </c>
      <c r="BO55" s="16" t="str">
        <f>IF(ISNA(VLOOKUP(A55,'Données projet'!$A$87:$I$107,7,0)),0%,VLOOKUP(A55,'Données projet'!$A$87:$I$107,7,0))</f>
        <v/>
      </c>
      <c r="BP55" s="21" t="e">
        <f>EXP(-LN(2)/35)*BP54+(1-EXP(-LN(2)/35))/(LN(2)/35)*BL55*BM55*VLOOKUP('Données projet'!$B$11,Paramètres!$A$1:$I$89,3,0)*0.475*44/12</f>
        <v>#VALUE!</v>
      </c>
      <c r="BQ55" s="21" t="e">
        <f>EXP(-LN(2)/25)*BQ54+(1-EXP(-LN(2)/25))/(LN(2)/25)*Calculateur!BL55*Calculateur!BN55*VLOOKUP('Données projet'!$B$11,Paramètres!$A$1:$I$89,3,0)*0.475*44/12</f>
        <v>#VALUE!</v>
      </c>
      <c r="BR55" s="21" t="e">
        <f>EXP(-LN(2)/2)*BR54+(1-EXP(-LN(2)/2))/(LN(2)/2)*BL55*BO55*VLOOKUP('Données projet'!$B$11,Paramètres!$A$1:$I$89,3,0)*0.475*44/12</f>
        <v>#VALUE!</v>
      </c>
      <c r="BS55" s="22" t="e">
        <f t="shared" si="9"/>
        <v>#VALUE!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8.1999999999999993</v>
      </c>
      <c r="BY55" s="12">
        <f>IF('Données projet'!$A$114&gt;35,BY54+BX55-CG54,IF(A55&lt;'Données projet'!$A$114,$BV$205^A55,IF(A55='Données projet'!$A$114,'Données projet'!$B$114,BY54+BX55-CG54)))</f>
        <v>239.39999999999998</v>
      </c>
      <c r="BZ55" s="13">
        <f>BY55*VLOOKUP('Données projet'!$B$12,Paramètres!$A$1:$I$89,3,0)*VLOOKUP('Données projet'!$B$12,Paramètres!$A$1:$I$89,5,0)</f>
        <v>186.732</v>
      </c>
      <c r="CA55" s="13">
        <f t="shared" si="39"/>
        <v>46.81671651923142</v>
      </c>
      <c r="CB55" s="20">
        <f t="shared" si="10"/>
        <v>406.764014604328</v>
      </c>
      <c r="CC55" s="59">
        <f t="shared" si="11"/>
        <v>700.09734793766131</v>
      </c>
      <c r="CD55" s="59">
        <f ca="1">AVERAGE(OFFSET($CC$3,0,0,'Données projet'!$E$12+1,1))-AVERAGE(OFFSET($H$3,0,0,'Données projet'!$E$12+1,1))</f>
        <v>286.5685205631126</v>
      </c>
      <c r="CE55" s="59">
        <f t="shared" si="40"/>
        <v>264.17357326498581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0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0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7.8</v>
      </c>
      <c r="N56" s="13">
        <f>IF('Données projet'!$A$36&gt;35,N55+M56-V55,IF(A56&lt;'Données projet'!$A$36,$K$205^A56,IF(A56='Données projet'!$A$36,'Données projet'!$B$36,N55+M56-V55)))</f>
        <v>180.40000000000012</v>
      </c>
      <c r="O56" s="13">
        <f>N56*VLOOKUP('Données projet'!$B$9,Paramètres!$A$1:$I$89,3,0)*VLOOKUP('Données projet'!$B$9,Paramètres!$A$1:$I$89,5,0)</f>
        <v>163.22592000000012</v>
      </c>
      <c r="P56" s="13">
        <f t="shared" si="33"/>
        <v>41.569283201466128</v>
      </c>
      <c r="Q56" s="20">
        <f t="shared" si="53"/>
        <v>356.68497890922032</v>
      </c>
      <c r="R56" s="59">
        <f t="shared" si="0"/>
        <v>650.01831224255363</v>
      </c>
      <c r="S56" s="59">
        <f ca="1">AVERAGE(OFFSET($R$3,0,0,'Données projet'!$E$9+1,1))-AVERAGE(OFFSET($H$3,0,0,'Données projet'!$E$9+1,1))</f>
        <v>346.35147716792028</v>
      </c>
      <c r="T56" s="59">
        <f t="shared" si="34"/>
        <v>231.36959598460686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0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2.642685195937293E-3</v>
      </c>
      <c r="AC56" s="22">
        <f t="shared" si="3"/>
        <v>2.642685195937293E-3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7.8</v>
      </c>
      <c r="AI56" s="13">
        <f>IF('Données projet'!$A$62&gt;35,AI55+AH56-AQ55,IF(A56&lt;'Données projet'!$A$62,$AF$205^A56,IF(A56='Données projet'!$A$62,'Données projet'!$B$62,AI55+AH56-AQ55)))</f>
        <v>180.40000000000012</v>
      </c>
      <c r="AJ56" s="13">
        <f>AI56*VLOOKUP('Données projet'!$B$10,Paramètres!$A$1:$I$89,3,0)*VLOOKUP('Données projet'!$B$10,Paramètres!$A$1:$I$89,5,0)</f>
        <v>163.22592000000012</v>
      </c>
      <c r="AK56" s="13">
        <f t="shared" si="35"/>
        <v>41.569283201466128</v>
      </c>
      <c r="AL56" s="20">
        <f t="shared" si="4"/>
        <v>356.68497890922032</v>
      </c>
      <c r="AM56" s="59">
        <f t="shared" si="5"/>
        <v>650.01831224255363</v>
      </c>
      <c r="AN56" s="59">
        <f ca="1">AVERAGE(OFFSET($AM$3,0,0,'Données projet'!$E$10+1,1))-AVERAGE(OFFSET($H$3,0,0,'Données projet'!$E$10+1,1))</f>
        <v>346.35147716792028</v>
      </c>
      <c r="AO56" s="59">
        <f t="shared" si="36"/>
        <v>231.36959598460686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2.642685195937293E-3</v>
      </c>
      <c r="AX56" s="21">
        <f t="shared" si="6"/>
        <v>2.642685195937293E-3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10.433653846153845</v>
      </c>
      <c r="BD56" s="12">
        <f>IF('Données projet'!$A$88&gt;35,BD55+BC56-BL55,IF(A56&lt;'Données projet'!$A$88,$BA$205^A56,IF(A56='Données projet'!$A$88,'Données projet'!$B$88,BD55+BC56-BL55)))</f>
        <v>280.4644230769232</v>
      </c>
      <c r="BE56" s="13">
        <f>BD56*VLOOKUP('Données projet'!$B$11,Paramètres!$A$1:$I$89,3,0)*VLOOKUP('Données projet'!$B$11,Paramètres!$A$1:$I$89,5,0)</f>
        <v>167.71772500000012</v>
      </c>
      <c r="BF56" s="13">
        <f t="shared" si="37"/>
        <v>42.578468510426219</v>
      </c>
      <c r="BG56" s="20">
        <f t="shared" si="7"/>
        <v>366.26587036399252</v>
      </c>
      <c r="BH56" s="59">
        <f t="shared" si="8"/>
        <v>659.59920369732583</v>
      </c>
      <c r="BI56" s="59">
        <f ca="1">AVERAGE(OFFSET($BH$3,0,0,'Données projet'!$E$11+1,1))-AVERAGE(OFFSET($H$3,0,0,'Données projet'!$E$11+1,1))</f>
        <v>257.80952690600492</v>
      </c>
      <c r="BJ56" s="59">
        <f t="shared" si="38"/>
        <v>269.95358755269427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#VALUE!</v>
      </c>
      <c r="BQ56" s="21" t="e">
        <f>EXP(-LN(2)/25)*BQ55+(1-EXP(-LN(2)/25))/(LN(2)/25)*Calculateur!BL56*Calculateur!BN56*VLOOKUP('Données projet'!$B$11,Paramètres!$A$1:$I$89,3,0)*0.475*44/12</f>
        <v>#VALUE!</v>
      </c>
      <c r="BR56" s="21" t="e">
        <f>EXP(-LN(2)/2)*BR55+(1-EXP(-LN(2)/2))/(LN(2)/2)*BL56*BO56*VLOOKUP('Données projet'!$B$11,Paramètres!$A$1:$I$89,3,0)*0.475*44/12</f>
        <v>#VALUE!</v>
      </c>
      <c r="BS56" s="22" t="e">
        <f t="shared" si="9"/>
        <v>#VALUE!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8.1999999999999993</v>
      </c>
      <c r="BY56" s="12">
        <f>IF('Données projet'!$A$114&gt;35,BY55+BX56-CG55,IF(A56&lt;'Données projet'!$A$114,$BV$205^A56,IF(A56='Données projet'!$A$114,'Données projet'!$B$114,BY55+BX56-CG55)))</f>
        <v>247.59999999999997</v>
      </c>
      <c r="BZ56" s="13">
        <f>BY56*VLOOKUP('Données projet'!$B$12,Paramètres!$A$1:$I$89,3,0)*VLOOKUP('Données projet'!$B$12,Paramètres!$A$1:$I$89,5,0)</f>
        <v>193.12799999999999</v>
      </c>
      <c r="CA56" s="13">
        <f t="shared" si="39"/>
        <v>48.230850644982517</v>
      </c>
      <c r="CB56" s="20">
        <f t="shared" si="10"/>
        <v>420.36666487334452</v>
      </c>
      <c r="CC56" s="59">
        <f t="shared" si="11"/>
        <v>713.69999820667783</v>
      </c>
      <c r="CD56" s="59">
        <f ca="1">AVERAGE(OFFSET($CC$3,0,0,'Données projet'!$E$12+1,1))-AVERAGE(OFFSET($H$3,0,0,'Données projet'!$E$12+1,1))</f>
        <v>286.5685205631126</v>
      </c>
      <c r="CE56" s="59">
        <f t="shared" si="40"/>
        <v>264.17357326498581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0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0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7.8</v>
      </c>
      <c r="N57" s="13">
        <f>IF('Données projet'!$A$36&gt;35,N56+M57-V56,IF(A57&lt;'Données projet'!$A$36,$K$205^A57,IF(A57='Données projet'!$A$36,'Données projet'!$B$36,N56+M57-V56)))</f>
        <v>188.20000000000013</v>
      </c>
      <c r="O57" s="13">
        <f>N57*VLOOKUP('Données projet'!$B$9,Paramètres!$A$1:$I$89,3,0)*VLOOKUP('Données projet'!$B$9,Paramètres!$A$1:$I$89,5,0)</f>
        <v>170.2833600000001</v>
      </c>
      <c r="P57" s="13">
        <f t="shared" si="33"/>
        <v>43.153480646462619</v>
      </c>
      <c r="Q57" s="20">
        <f t="shared" si="53"/>
        <v>371.73583079258918</v>
      </c>
      <c r="R57" s="59">
        <f t="shared" si="0"/>
        <v>665.0691641259225</v>
      </c>
      <c r="S57" s="59">
        <f ca="1">AVERAGE(OFFSET($R$3,0,0,'Données projet'!$E$9+1,1))-AVERAGE(OFFSET($H$3,0,0,'Données projet'!$E$9+1,1))</f>
        <v>346.35147716792028</v>
      </c>
      <c r="T57" s="59">
        <f t="shared" si="34"/>
        <v>231.36959598460686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0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1.86866062258856E-3</v>
      </c>
      <c r="AC57" s="22">
        <f t="shared" si="3"/>
        <v>1.86866062258856E-3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7.8</v>
      </c>
      <c r="AI57" s="13">
        <f>IF('Données projet'!$A$62&gt;35,AI56+AH57-AQ56,IF(A57&lt;'Données projet'!$A$62,$AF$205^A57,IF(A57='Données projet'!$A$62,'Données projet'!$B$62,AI56+AH57-AQ56)))</f>
        <v>188.20000000000013</v>
      </c>
      <c r="AJ57" s="13">
        <f>AI57*VLOOKUP('Données projet'!$B$10,Paramètres!$A$1:$I$89,3,0)*VLOOKUP('Données projet'!$B$10,Paramètres!$A$1:$I$89,5,0)</f>
        <v>170.2833600000001</v>
      </c>
      <c r="AK57" s="13">
        <f t="shared" si="35"/>
        <v>43.153480646462619</v>
      </c>
      <c r="AL57" s="20">
        <f t="shared" si="4"/>
        <v>371.73583079258918</v>
      </c>
      <c r="AM57" s="59">
        <f t="shared" si="5"/>
        <v>665.0691641259225</v>
      </c>
      <c r="AN57" s="59">
        <f ca="1">AVERAGE(OFFSET($AM$3,0,0,'Données projet'!$E$10+1,1))-AVERAGE(OFFSET($H$3,0,0,'Données projet'!$E$10+1,1))</f>
        <v>346.35147716792028</v>
      </c>
      <c r="AO57" s="59">
        <f t="shared" si="36"/>
        <v>231.36959598460686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1.86866062258856E-3</v>
      </c>
      <c r="AX57" s="21">
        <f t="shared" si="6"/>
        <v>1.86866062258856E-3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10.433653846153845</v>
      </c>
      <c r="BD57" s="12">
        <f>IF('Données projet'!$A$88&gt;35,BD56+BC57-BL56,IF(A57&lt;'Données projet'!$A$88,$BA$205^A57,IF(A57='Données projet'!$A$88,'Données projet'!$B$88,BD56+BC57-BL56)))</f>
        <v>290.89807692307704</v>
      </c>
      <c r="BE57" s="13">
        <f>BD57*VLOOKUP('Données projet'!$B$11,Paramètres!$A$1:$I$89,3,0)*VLOOKUP('Données projet'!$B$11,Paramètres!$A$1:$I$89,5,0)</f>
        <v>173.95705000000009</v>
      </c>
      <c r="BF57" s="13">
        <f t="shared" si="37"/>
        <v>43.97508081854933</v>
      </c>
      <c r="BG57" s="20">
        <f t="shared" si="7"/>
        <v>379.56512784230682</v>
      </c>
      <c r="BH57" s="59">
        <f t="shared" si="8"/>
        <v>672.89846117564014</v>
      </c>
      <c r="BI57" s="59">
        <f ca="1">AVERAGE(OFFSET($BH$3,0,0,'Données projet'!$E$11+1,1))-AVERAGE(OFFSET($H$3,0,0,'Données projet'!$E$11+1,1))</f>
        <v>257.80952690600492</v>
      </c>
      <c r="BJ57" s="59">
        <f t="shared" si="38"/>
        <v>269.95358755269427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#VALUE!</v>
      </c>
      <c r="BQ57" s="21" t="e">
        <f>EXP(-LN(2)/25)*BQ56+(1-EXP(-LN(2)/25))/(LN(2)/25)*Calculateur!BL57*Calculateur!BN57*VLOOKUP('Données projet'!$B$11,Paramètres!$A$1:$I$89,3,0)*0.475*44/12</f>
        <v>#VALUE!</v>
      </c>
      <c r="BR57" s="21" t="e">
        <f>EXP(-LN(2)/2)*BR56+(1-EXP(-LN(2)/2))/(LN(2)/2)*BL57*BO57*VLOOKUP('Données projet'!$B$11,Paramètres!$A$1:$I$89,3,0)*0.475*44/12</f>
        <v>#VALUE!</v>
      </c>
      <c r="BS57" s="22" t="e">
        <f t="shared" si="9"/>
        <v>#VALUE!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8.1999999999999993</v>
      </c>
      <c r="BY57" s="12">
        <f>IF('Données projet'!$A$114&gt;35,BY56+BX57-CG56,IF(A57&lt;'Données projet'!$A$114,$BV$205^A57,IF(A57='Données projet'!$A$114,'Données projet'!$B$114,BY56+BX57-CG56)))</f>
        <v>255.79999999999995</v>
      </c>
      <c r="BZ57" s="13">
        <f>BY57*VLOOKUP('Données projet'!$B$12,Paramètres!$A$1:$I$89,3,0)*VLOOKUP('Données projet'!$B$12,Paramètres!$A$1:$I$89,5,0)</f>
        <v>199.52399999999997</v>
      </c>
      <c r="CA57" s="13">
        <f t="shared" si="39"/>
        <v>49.639542829407041</v>
      </c>
      <c r="CB57" s="20">
        <f t="shared" si="10"/>
        <v>433.95983709455049</v>
      </c>
      <c r="CC57" s="59">
        <f t="shared" si="11"/>
        <v>727.29317042788375</v>
      </c>
      <c r="CD57" s="59">
        <f ca="1">AVERAGE(OFFSET($CC$3,0,0,'Données projet'!$E$12+1,1))-AVERAGE(OFFSET($H$3,0,0,'Données projet'!$E$12+1,1))</f>
        <v>286.5685205631126</v>
      </c>
      <c r="CE57" s="59">
        <f t="shared" si="40"/>
        <v>264.17357326498581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0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0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7.8</v>
      </c>
      <c r="N58" s="13">
        <f>IF('Données projet'!$A$36&gt;35,N57+M58-V57,IF(A58&lt;'Données projet'!$A$36,$K$205^A58,IF(A58='Données projet'!$A$36,'Données projet'!$B$36,N57+M58-V57)))</f>
        <v>196.00000000000014</v>
      </c>
      <c r="O58" s="13">
        <f>N58*VLOOKUP('Données projet'!$B$9,Paramètres!$A$1:$I$89,3,0)*VLOOKUP('Données projet'!$B$9,Paramètres!$A$1:$I$89,5,0)</f>
        <v>177.34080000000012</v>
      </c>
      <c r="P58" s="13">
        <f t="shared" si="33"/>
        <v>44.730051658603102</v>
      </c>
      <c r="Q58" s="20">
        <f t="shared" si="53"/>
        <v>386.77339997206718</v>
      </c>
      <c r="R58" s="59">
        <f t="shared" si="0"/>
        <v>680.10673330540044</v>
      </c>
      <c r="S58" s="59">
        <f ca="1">AVERAGE(OFFSET($R$3,0,0,'Données projet'!$E$9+1,1))-AVERAGE(OFFSET($H$3,0,0,'Données projet'!$E$9+1,1))</f>
        <v>346.35147716792028</v>
      </c>
      <c r="T58" s="59">
        <f t="shared" si="34"/>
        <v>231.36959598460686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0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1.3213425979686467E-3</v>
      </c>
      <c r="AC58" s="22">
        <f t="shared" si="3"/>
        <v>1.3213425979686467E-3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7.8</v>
      </c>
      <c r="AI58" s="13">
        <f>IF('Données projet'!$A$62&gt;35,AI57+AH58-AQ57,IF(A58&lt;'Données projet'!$A$62,$AF$205^A58,IF(A58='Données projet'!$A$62,'Données projet'!$B$62,AI57+AH58-AQ57)))</f>
        <v>196.00000000000014</v>
      </c>
      <c r="AJ58" s="13">
        <f>AI58*VLOOKUP('Données projet'!$B$10,Paramètres!$A$1:$I$89,3,0)*VLOOKUP('Données projet'!$B$10,Paramètres!$A$1:$I$89,5,0)</f>
        <v>177.34080000000012</v>
      </c>
      <c r="AK58" s="13">
        <f t="shared" si="35"/>
        <v>44.730051658603102</v>
      </c>
      <c r="AL58" s="20">
        <f t="shared" si="4"/>
        <v>386.77339997206718</v>
      </c>
      <c r="AM58" s="59">
        <f t="shared" si="5"/>
        <v>680.10673330540044</v>
      </c>
      <c r="AN58" s="59">
        <f ca="1">AVERAGE(OFFSET($AM$3,0,0,'Données projet'!$E$10+1,1))-AVERAGE(OFFSET($H$3,0,0,'Données projet'!$E$10+1,1))</f>
        <v>346.35147716792028</v>
      </c>
      <c r="AO58" s="59">
        <f t="shared" si="36"/>
        <v>231.36959598460686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1.3213425979686467E-3</v>
      </c>
      <c r="AX58" s="21">
        <f t="shared" si="6"/>
        <v>1.3213425979686467E-3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10.433653846153845</v>
      </c>
      <c r="BD58" s="12">
        <f>IF('Données projet'!$A$88&gt;35,BD57+BC58-BL57,IF(A58&lt;'Données projet'!$A$88,$BA$205^A58,IF(A58='Données projet'!$A$88,'Données projet'!$B$88,BD57+BC58-BL57)))</f>
        <v>301.33173076923089</v>
      </c>
      <c r="BE58" s="13">
        <f>BD58*VLOOKUP('Données projet'!$B$11,Paramètres!$A$1:$I$89,3,0)*VLOOKUP('Données projet'!$B$11,Paramètres!$A$1:$I$89,5,0)</f>
        <v>180.1963750000001</v>
      </c>
      <c r="BF58" s="13">
        <f t="shared" si="37"/>
        <v>45.36587321312804</v>
      </c>
      <c r="BG58" s="20">
        <f t="shared" si="7"/>
        <v>392.85424897119816</v>
      </c>
      <c r="BH58" s="59">
        <f t="shared" si="8"/>
        <v>686.18758230453147</v>
      </c>
      <c r="BI58" s="59">
        <f ca="1">AVERAGE(OFFSET($BH$3,0,0,'Données projet'!$E$11+1,1))-AVERAGE(OFFSET($H$3,0,0,'Données projet'!$E$11+1,1))</f>
        <v>257.80952690600492</v>
      </c>
      <c r="BJ58" s="59">
        <f t="shared" si="38"/>
        <v>269.95358755269427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#VALUE!</v>
      </c>
      <c r="BQ58" s="21" t="e">
        <f>EXP(-LN(2)/25)*BQ57+(1-EXP(-LN(2)/25))/(LN(2)/25)*Calculateur!BL58*Calculateur!BN58*VLOOKUP('Données projet'!$B$11,Paramètres!$A$1:$I$89,3,0)*0.475*44/12</f>
        <v>#VALUE!</v>
      </c>
      <c r="BR58" s="21" t="e">
        <f>EXP(-LN(2)/2)*BR57+(1-EXP(-LN(2)/2))/(LN(2)/2)*BL58*BO58*VLOOKUP('Données projet'!$B$11,Paramètres!$A$1:$I$89,3,0)*0.475*44/12</f>
        <v>#VALUE!</v>
      </c>
      <c r="BS58" s="22" t="e">
        <f t="shared" si="9"/>
        <v>#VALUE!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264</v>
      </c>
      <c r="BW58" s="12">
        <f>VLOOKUP(A58,'Données projet'!$A$113:$I$133,9,0)</f>
        <v>8.1999999999999993</v>
      </c>
      <c r="BX58" s="12">
        <f t="array" ref="BX58">INDEX(BW:BW,MIN(IF(ISNUMBER(BW58:BW254),ROW(BW58:BW254),"")))</f>
        <v>8.1999999999999993</v>
      </c>
      <c r="BY58" s="12">
        <f>IF('Données projet'!$A$114&gt;35,BY57+BX58-CG57,IF(A58&lt;'Données projet'!$A$114,$BV$205^A58,IF(A58='Données projet'!$A$114,'Données projet'!$B$114,BY57+BX58-CG57)))</f>
        <v>263.99999999999994</v>
      </c>
      <c r="BZ58" s="13">
        <f>BY58*VLOOKUP('Données projet'!$B$12,Paramètres!$A$1:$I$89,3,0)*VLOOKUP('Données projet'!$B$12,Paramètres!$A$1:$I$89,5,0)</f>
        <v>205.91999999999996</v>
      </c>
      <c r="CA58" s="13">
        <f t="shared" si="39"/>
        <v>51.042987531485686</v>
      </c>
      <c r="CB58" s="20">
        <f t="shared" si="10"/>
        <v>447.5438699506708</v>
      </c>
      <c r="CC58" s="59">
        <f t="shared" si="11"/>
        <v>740.87720328400405</v>
      </c>
      <c r="CD58" s="59">
        <f ca="1">AVERAGE(OFFSET($CC$3,0,0,'Données projet'!$E$12+1,1))-AVERAGE(OFFSET($H$3,0,0,'Données projet'!$E$12+1,1))</f>
        <v>286.5685205631126</v>
      </c>
      <c r="CE58" s="59">
        <f t="shared" si="40"/>
        <v>264.17357326498581</v>
      </c>
      <c r="CF58" s="15">
        <f>IF(ISNA(VLOOKUP(A58,'Données projet'!$A$113:$I$133,3,0)),0,VLOOKUP(A58,'Données projet'!$A$113:$I$133,3,0))</f>
        <v>7</v>
      </c>
      <c r="CG58" s="15">
        <f>IF(ISNA(VLOOKUP(A58,'Données projet'!$A$113:$I$133,4,0)),0,VLOOKUP(A58,'Données projet'!$A$113:$I$133,4,0))</f>
        <v>30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0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0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7.8</v>
      </c>
      <c r="N59" s="13">
        <f>IF('Données projet'!$A$36&gt;35,N58+M59-V58,IF(A59&lt;'Données projet'!$A$36,$K$205^A59,IF(A59='Données projet'!$A$36,'Données projet'!$B$36,N58+M59-V58)))</f>
        <v>203.80000000000015</v>
      </c>
      <c r="O59" s="13">
        <f>N59*VLOOKUP('Données projet'!$B$9,Paramètres!$A$1:$I$89,3,0)*VLOOKUP('Données projet'!$B$9,Paramètres!$A$1:$I$89,5,0)</f>
        <v>184.39824000000013</v>
      </c>
      <c r="P59" s="13">
        <f t="shared" si="33"/>
        <v>46.299334464645959</v>
      </c>
      <c r="Q59" s="20">
        <f t="shared" si="53"/>
        <v>401.79827552592525</v>
      </c>
      <c r="R59" s="59">
        <f t="shared" si="0"/>
        <v>695.13160885925856</v>
      </c>
      <c r="S59" s="59">
        <f ca="1">AVERAGE(OFFSET($R$3,0,0,'Données projet'!$E$9+1,1))-AVERAGE(OFFSET($H$3,0,0,'Données projet'!$E$9+1,1))</f>
        <v>346.35147716792028</v>
      </c>
      <c r="T59" s="59">
        <f t="shared" si="34"/>
        <v>231.36959598460686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0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9.3433031129428021E-4</v>
      </c>
      <c r="AC59" s="22">
        <f t="shared" si="3"/>
        <v>9.3433031129428021E-4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7.8</v>
      </c>
      <c r="AI59" s="13">
        <f>IF('Données projet'!$A$62&gt;35,AI58+AH59-AQ58,IF(A59&lt;'Données projet'!$A$62,$AF$205^A59,IF(A59='Données projet'!$A$62,'Données projet'!$B$62,AI58+AH59-AQ58)))</f>
        <v>203.80000000000015</v>
      </c>
      <c r="AJ59" s="13">
        <f>AI59*VLOOKUP('Données projet'!$B$10,Paramètres!$A$1:$I$89,3,0)*VLOOKUP('Données projet'!$B$10,Paramètres!$A$1:$I$89,5,0)</f>
        <v>184.39824000000013</v>
      </c>
      <c r="AK59" s="13">
        <f t="shared" si="35"/>
        <v>46.299334464645959</v>
      </c>
      <c r="AL59" s="20">
        <f t="shared" si="4"/>
        <v>401.79827552592525</v>
      </c>
      <c r="AM59" s="59">
        <f t="shared" si="5"/>
        <v>695.13160885925856</v>
      </c>
      <c r="AN59" s="59">
        <f ca="1">AVERAGE(OFFSET($AM$3,0,0,'Données projet'!$E$10+1,1))-AVERAGE(OFFSET($H$3,0,0,'Données projet'!$E$10+1,1))</f>
        <v>346.35147716792028</v>
      </c>
      <c r="AO59" s="59">
        <f t="shared" si="36"/>
        <v>231.36959598460686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9.3433031129428021E-4</v>
      </c>
      <c r="AX59" s="21">
        <f t="shared" si="6"/>
        <v>9.3433031129428021E-4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10.433653846153845</v>
      </c>
      <c r="BD59" s="12">
        <f>IF('Données projet'!$A$88&gt;35,BD58+BC59-BL58,IF(A59&lt;'Données projet'!$A$88,$BA$205^A59,IF(A59='Données projet'!$A$88,'Données projet'!$B$88,BD58+BC59-BL58)))</f>
        <v>311.76538461538473</v>
      </c>
      <c r="BE59" s="13">
        <f>BD59*VLOOKUP('Données projet'!$B$11,Paramètres!$A$1:$I$89,3,0)*VLOOKUP('Données projet'!$B$11,Paramètres!$A$1:$I$89,5,0)</f>
        <v>186.43570000000011</v>
      </c>
      <c r="BF59" s="13">
        <f t="shared" si="37"/>
        <v>46.751070304344388</v>
      </c>
      <c r="BG59" s="20">
        <f t="shared" si="7"/>
        <v>406.13362494673333</v>
      </c>
      <c r="BH59" s="59">
        <f t="shared" si="8"/>
        <v>699.46695828006659</v>
      </c>
      <c r="BI59" s="59">
        <f ca="1">AVERAGE(OFFSET($BH$3,0,0,'Données projet'!$E$11+1,1))-AVERAGE(OFFSET($H$3,0,0,'Données projet'!$E$11+1,1))</f>
        <v>257.80952690600492</v>
      </c>
      <c r="BJ59" s="59">
        <f t="shared" si="38"/>
        <v>269.95358755269427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#VALUE!</v>
      </c>
      <c r="BQ59" s="21" t="e">
        <f>EXP(-LN(2)/25)*BQ58+(1-EXP(-LN(2)/25))/(LN(2)/25)*Calculateur!BL59*Calculateur!BN59*VLOOKUP('Données projet'!$B$11,Paramètres!$A$1:$I$89,3,0)*0.475*44/12</f>
        <v>#VALUE!</v>
      </c>
      <c r="BR59" s="21" t="e">
        <f>EXP(-LN(2)/2)*BR58+(1-EXP(-LN(2)/2))/(LN(2)/2)*BL59*BO59*VLOOKUP('Données projet'!$B$11,Paramètres!$A$1:$I$89,3,0)*0.475*44/12</f>
        <v>#VALUE!</v>
      </c>
      <c r="BS59" s="22" t="e">
        <f t="shared" si="9"/>
        <v>#VALUE!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7.4</v>
      </c>
      <c r="BY59" s="12">
        <f>IF('Données projet'!$A$114&gt;35,BY58+BX59-CG58,IF(A59&lt;'Données projet'!$A$114,$BV$205^A59,IF(A59='Données projet'!$A$114,'Données projet'!$B$114,BY58+BX59-CG58)))</f>
        <v>241.39999999999992</v>
      </c>
      <c r="BZ59" s="13">
        <f>BY59*VLOOKUP('Données projet'!$B$12,Paramètres!$A$1:$I$89,3,0)*VLOOKUP('Données projet'!$B$12,Paramètres!$A$1:$I$89,5,0)</f>
        <v>188.29199999999994</v>
      </c>
      <c r="CA59" s="13">
        <f t="shared" si="39"/>
        <v>47.162140074549235</v>
      </c>
      <c r="CB59" s="20">
        <f t="shared" si="10"/>
        <v>410.08262729650642</v>
      </c>
      <c r="CC59" s="59">
        <f t="shared" si="11"/>
        <v>703.41596062983967</v>
      </c>
      <c r="CD59" s="59">
        <f ca="1">AVERAGE(OFFSET($CC$3,0,0,'Données projet'!$E$12+1,1))-AVERAGE(OFFSET($H$3,0,0,'Données projet'!$E$12+1,1))</f>
        <v>286.5685205631126</v>
      </c>
      <c r="CE59" s="59">
        <f t="shared" si="40"/>
        <v>264.17357326498581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0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0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7.8</v>
      </c>
      <c r="N60" s="13">
        <f>IF('Données projet'!$A$36&gt;35,N59+M60-V59,IF(A60&lt;'Données projet'!$A$36,$K$205^A60,IF(A60='Données projet'!$A$36,'Données projet'!$B$36,N59+M60-V59)))</f>
        <v>211.60000000000016</v>
      </c>
      <c r="O60" s="13">
        <f>N60*VLOOKUP('Données projet'!$B$9,Paramètres!$A$1:$I$89,3,0)*VLOOKUP('Données projet'!$B$9,Paramètres!$A$1:$I$89,5,0)</f>
        <v>191.45568000000014</v>
      </c>
      <c r="P60" s="13">
        <f t="shared" si="33"/>
        <v>47.861639935303188</v>
      </c>
      <c r="Q60" s="20">
        <f t="shared" si="53"/>
        <v>416.81099888731995</v>
      </c>
      <c r="R60" s="59">
        <f t="shared" si="0"/>
        <v>710.14433222065327</v>
      </c>
      <c r="S60" s="59">
        <f ca="1">AVERAGE(OFFSET($R$3,0,0,'Données projet'!$E$9+1,1))-AVERAGE(OFFSET($H$3,0,0,'Données projet'!$E$9+1,1))</f>
        <v>346.35147716792028</v>
      </c>
      <c r="T60" s="59">
        <f t="shared" si="34"/>
        <v>231.36959598460686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0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6.6067129898432345E-4</v>
      </c>
      <c r="AC60" s="22">
        <f t="shared" si="3"/>
        <v>6.6067129898432345E-4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7.8</v>
      </c>
      <c r="AI60" s="13">
        <f>IF('Données projet'!$A$62&gt;35,AI59+AH60-AQ59,IF(A60&lt;'Données projet'!$A$62,$AF$205^A60,IF(A60='Données projet'!$A$62,'Données projet'!$B$62,AI59+AH60-AQ59)))</f>
        <v>211.60000000000016</v>
      </c>
      <c r="AJ60" s="13">
        <f>AI60*VLOOKUP('Données projet'!$B$10,Paramètres!$A$1:$I$89,3,0)*VLOOKUP('Données projet'!$B$10,Paramètres!$A$1:$I$89,5,0)</f>
        <v>191.45568000000014</v>
      </c>
      <c r="AK60" s="13">
        <f t="shared" si="35"/>
        <v>47.861639935303188</v>
      </c>
      <c r="AL60" s="20">
        <f t="shared" si="4"/>
        <v>416.81099888731995</v>
      </c>
      <c r="AM60" s="59">
        <f t="shared" si="5"/>
        <v>710.14433222065327</v>
      </c>
      <c r="AN60" s="59">
        <f ca="1">AVERAGE(OFFSET($AM$3,0,0,'Données projet'!$E$10+1,1))-AVERAGE(OFFSET($H$3,0,0,'Données projet'!$E$10+1,1))</f>
        <v>346.35147716792028</v>
      </c>
      <c r="AO60" s="59">
        <f t="shared" si="36"/>
        <v>231.36959598460686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6.6067129898432345E-4</v>
      </c>
      <c r="AX60" s="21">
        <f t="shared" si="6"/>
        <v>6.6067129898432345E-4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10.433653846153845</v>
      </c>
      <c r="BD60" s="12">
        <f>IF('Données projet'!$A$88&gt;35,BD59+BC60-BL59,IF(A60&lt;'Données projet'!$A$88,$BA$205^A60,IF(A60='Données projet'!$A$88,'Données projet'!$B$88,BD59+BC60-BL59)))</f>
        <v>322.19903846153858</v>
      </c>
      <c r="BE60" s="13">
        <f>BD60*VLOOKUP('Données projet'!$B$11,Paramètres!$A$1:$I$89,3,0)*VLOOKUP('Données projet'!$B$11,Paramètres!$A$1:$I$89,5,0)</f>
        <v>192.67502500000009</v>
      </c>
      <c r="BF60" s="13">
        <f t="shared" si="37"/>
        <v>48.130880815569782</v>
      </c>
      <c r="BG60" s="20">
        <f t="shared" si="7"/>
        <v>419.40361929545082</v>
      </c>
      <c r="BH60" s="59">
        <f t="shared" si="8"/>
        <v>712.73695262878414</v>
      </c>
      <c r="BI60" s="59">
        <f ca="1">AVERAGE(OFFSET($BH$3,0,0,'Données projet'!$E$11+1,1))-AVERAGE(OFFSET($H$3,0,0,'Données projet'!$E$11+1,1))</f>
        <v>257.80952690600492</v>
      </c>
      <c r="BJ60" s="59">
        <f t="shared" si="38"/>
        <v>269.95358755269427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#VALUE!</v>
      </c>
      <c r="BQ60" s="21" t="e">
        <f>EXP(-LN(2)/25)*BQ59+(1-EXP(-LN(2)/25))/(LN(2)/25)*Calculateur!BL60*Calculateur!BN60*VLOOKUP('Données projet'!$B$11,Paramètres!$A$1:$I$89,3,0)*0.475*44/12</f>
        <v>#VALUE!</v>
      </c>
      <c r="BR60" s="21" t="e">
        <f>EXP(-LN(2)/2)*BR59+(1-EXP(-LN(2)/2))/(LN(2)/2)*BL60*BO60*VLOOKUP('Données projet'!$B$11,Paramètres!$A$1:$I$89,3,0)*0.475*44/12</f>
        <v>#VALUE!</v>
      </c>
      <c r="BS60" s="22" t="e">
        <f t="shared" si="9"/>
        <v>#VALUE!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7.4</v>
      </c>
      <c r="BY60" s="12">
        <f>IF('Données projet'!$A$114&gt;35,BY59+BX60-CG59,IF(A60&lt;'Données projet'!$A$114,$BV$205^A60,IF(A60='Données projet'!$A$114,'Données projet'!$B$114,BY59+BX60-CG59)))</f>
        <v>248.79999999999993</v>
      </c>
      <c r="BZ60" s="13">
        <f>BY60*VLOOKUP('Données projet'!$B$12,Paramètres!$A$1:$I$89,3,0)*VLOOKUP('Données projet'!$B$12,Paramètres!$A$1:$I$89,5,0)</f>
        <v>194.06399999999994</v>
      </c>
      <c r="CA60" s="13">
        <f t="shared" si="39"/>
        <v>48.437335849011056</v>
      </c>
      <c r="CB60" s="20">
        <f t="shared" si="10"/>
        <v>422.35649327036077</v>
      </c>
      <c r="CC60" s="59">
        <f t="shared" si="11"/>
        <v>715.68982660369409</v>
      </c>
      <c r="CD60" s="59">
        <f ca="1">AVERAGE(OFFSET($CC$3,0,0,'Données projet'!$E$12+1,1))-AVERAGE(OFFSET($H$3,0,0,'Données projet'!$E$12+1,1))</f>
        <v>286.5685205631126</v>
      </c>
      <c r="CE60" s="59">
        <f t="shared" si="40"/>
        <v>264.17357326498581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0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0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7.8</v>
      </c>
      <c r="N61" s="13">
        <f>IF('Données projet'!$A$36&gt;35,N60+M61-V60,IF(A61&lt;'Données projet'!$A$36,$K$205^A61,IF(A61='Données projet'!$A$36,'Données projet'!$B$36,N60+M61-V60)))</f>
        <v>219.40000000000018</v>
      </c>
      <c r="O61" s="13">
        <f>N61*VLOOKUP('Données projet'!$B$9,Paramètres!$A$1:$I$89,3,0)*VLOOKUP('Données projet'!$B$9,Paramètres!$A$1:$I$89,5,0)</f>
        <v>198.51312000000016</v>
      </c>
      <c r="P61" s="13">
        <f t="shared" si="33"/>
        <v>49.417254724004458</v>
      </c>
      <c r="Q61" s="20">
        <f t="shared" si="53"/>
        <v>431.81206931097466</v>
      </c>
      <c r="R61" s="59">
        <f t="shared" si="0"/>
        <v>725.14540264430798</v>
      </c>
      <c r="S61" s="59">
        <f ca="1">AVERAGE(OFFSET($R$3,0,0,'Données projet'!$E$9+1,1))-AVERAGE(OFFSET($H$3,0,0,'Données projet'!$E$9+1,1))</f>
        <v>346.35147716792028</v>
      </c>
      <c r="T61" s="59">
        <f t="shared" si="34"/>
        <v>231.36959598460686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0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4.6716515564714016E-4</v>
      </c>
      <c r="AC61" s="22">
        <f t="shared" si="3"/>
        <v>4.6716515564714016E-4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7.8</v>
      </c>
      <c r="AI61" s="13">
        <f>IF('Données projet'!$A$62&gt;35,AI60+AH61-AQ60,IF(A61&lt;'Données projet'!$A$62,$AF$205^A61,IF(A61='Données projet'!$A$62,'Données projet'!$B$62,AI60+AH61-AQ60)))</f>
        <v>219.40000000000018</v>
      </c>
      <c r="AJ61" s="13">
        <f>AI61*VLOOKUP('Données projet'!$B$10,Paramètres!$A$1:$I$89,3,0)*VLOOKUP('Données projet'!$B$10,Paramètres!$A$1:$I$89,5,0)</f>
        <v>198.51312000000016</v>
      </c>
      <c r="AK61" s="13">
        <f t="shared" si="35"/>
        <v>49.417254724004458</v>
      </c>
      <c r="AL61" s="20">
        <f t="shared" si="4"/>
        <v>431.81206931097466</v>
      </c>
      <c r="AM61" s="59">
        <f t="shared" si="5"/>
        <v>725.14540264430798</v>
      </c>
      <c r="AN61" s="59">
        <f ca="1">AVERAGE(OFFSET($AM$3,0,0,'Données projet'!$E$10+1,1))-AVERAGE(OFFSET($H$3,0,0,'Données projet'!$E$10+1,1))</f>
        <v>346.35147716792028</v>
      </c>
      <c r="AO61" s="59">
        <f t="shared" si="36"/>
        <v>231.36959598460686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4.6716515564714016E-4</v>
      </c>
      <c r="AX61" s="21">
        <f t="shared" si="6"/>
        <v>4.6716515564714016E-4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10.433653846153845</v>
      </c>
      <c r="BD61" s="12">
        <f>IF('Données projet'!$A$88&gt;35,BD60+BC61-BL60,IF(A61&lt;'Données projet'!$A$88,$BA$205^A61,IF(A61='Données projet'!$A$88,'Données projet'!$B$88,BD60+BC61-BL60)))</f>
        <v>332.63269230769242</v>
      </c>
      <c r="BE61" s="13">
        <f>BD61*VLOOKUP('Données projet'!$B$11,Paramètres!$A$1:$I$89,3,0)*VLOOKUP('Données projet'!$B$11,Paramètres!$A$1:$I$89,5,0)</f>
        <v>198.9143500000001</v>
      </c>
      <c r="BF61" s="13">
        <f t="shared" si="37"/>
        <v>49.50549918474259</v>
      </c>
      <c r="BG61" s="20">
        <f t="shared" si="7"/>
        <v>432.6645706634269</v>
      </c>
      <c r="BH61" s="59">
        <f t="shared" si="8"/>
        <v>725.99790399676021</v>
      </c>
      <c r="BI61" s="59">
        <f ca="1">AVERAGE(OFFSET($BH$3,0,0,'Données projet'!$E$11+1,1))-AVERAGE(OFFSET($H$3,0,0,'Données projet'!$E$11+1,1))</f>
        <v>257.80952690600492</v>
      </c>
      <c r="BJ61" s="59">
        <f t="shared" si="38"/>
        <v>269.95358755269427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#VALUE!</v>
      </c>
      <c r="BQ61" s="21" t="e">
        <f>EXP(-LN(2)/25)*BQ60+(1-EXP(-LN(2)/25))/(LN(2)/25)*Calculateur!BL61*Calculateur!BN61*VLOOKUP('Données projet'!$B$11,Paramètres!$A$1:$I$89,3,0)*0.475*44/12</f>
        <v>#VALUE!</v>
      </c>
      <c r="BR61" s="21" t="e">
        <f>EXP(-LN(2)/2)*BR60+(1-EXP(-LN(2)/2))/(LN(2)/2)*BL61*BO61*VLOOKUP('Données projet'!$B$11,Paramètres!$A$1:$I$89,3,0)*0.475*44/12</f>
        <v>#VALUE!</v>
      </c>
      <c r="BS61" s="22" t="e">
        <f t="shared" si="9"/>
        <v>#VALUE!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7.4</v>
      </c>
      <c r="BY61" s="12">
        <f>IF('Données projet'!$A$114&gt;35,BY60+BX61-CG60,IF(A61&lt;'Données projet'!$A$114,$BV$205^A61,IF(A61='Données projet'!$A$114,'Données projet'!$B$114,BY60+BX61-CG60)))</f>
        <v>256.19999999999993</v>
      </c>
      <c r="BZ61" s="13">
        <f>BY61*VLOOKUP('Données projet'!$B$12,Paramètres!$A$1:$I$89,3,0)*VLOOKUP('Données projet'!$B$12,Paramètres!$A$1:$I$89,5,0)</f>
        <v>199.83599999999996</v>
      </c>
      <c r="CA61" s="13">
        <f t="shared" si="39"/>
        <v>49.708123768564604</v>
      </c>
      <c r="CB61" s="20">
        <f t="shared" si="10"/>
        <v>434.62268223024995</v>
      </c>
      <c r="CC61" s="59">
        <f t="shared" si="11"/>
        <v>727.95601556358326</v>
      </c>
      <c r="CD61" s="59">
        <f ca="1">AVERAGE(OFFSET($CC$3,0,0,'Données projet'!$E$12+1,1))-AVERAGE(OFFSET($H$3,0,0,'Données projet'!$E$12+1,1))</f>
        <v>286.5685205631126</v>
      </c>
      <c r="CE61" s="59">
        <f t="shared" si="40"/>
        <v>264.17357326498581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0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0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7.8</v>
      </c>
      <c r="N62" s="13">
        <f>IF('Données projet'!$A$36&gt;35,N61+M62-V61,IF(A62&lt;'Données projet'!$A$36,$K$205^A62,IF(A62='Données projet'!$A$36,'Données projet'!$B$36,N61+M62-V61)))</f>
        <v>227.20000000000019</v>
      </c>
      <c r="O62" s="13">
        <f>N62*VLOOKUP('Données projet'!$B$9,Paramètres!$A$1:$I$89,3,0)*VLOOKUP('Données projet'!$B$9,Paramètres!$A$1:$I$89,5,0)</f>
        <v>205.57056000000014</v>
      </c>
      <c r="P62" s="13">
        <f t="shared" si="33"/>
        <v>50.966443946767434</v>
      </c>
      <c r="Q62" s="20">
        <f t="shared" si="53"/>
        <v>446.80194854062023</v>
      </c>
      <c r="R62" s="59">
        <f t="shared" si="0"/>
        <v>740.13528187395355</v>
      </c>
      <c r="S62" s="59">
        <f ca="1">AVERAGE(OFFSET($R$3,0,0,'Données projet'!$E$9+1,1))-AVERAGE(OFFSET($H$3,0,0,'Données projet'!$E$9+1,1))</f>
        <v>346.35147716792028</v>
      </c>
      <c r="T62" s="59">
        <f t="shared" si="34"/>
        <v>231.36959598460686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0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3.3033564949216178E-4</v>
      </c>
      <c r="AC62" s="22">
        <f t="shared" si="3"/>
        <v>3.3033564949216178E-4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7.8</v>
      </c>
      <c r="AI62" s="13">
        <f>IF('Données projet'!$A$62&gt;35,AI61+AH62-AQ61,IF(A62&lt;'Données projet'!$A$62,$AF$205^A62,IF(A62='Données projet'!$A$62,'Données projet'!$B$62,AI61+AH62-AQ61)))</f>
        <v>227.20000000000019</v>
      </c>
      <c r="AJ62" s="13">
        <f>AI62*VLOOKUP('Données projet'!$B$10,Paramètres!$A$1:$I$89,3,0)*VLOOKUP('Données projet'!$B$10,Paramètres!$A$1:$I$89,5,0)</f>
        <v>205.57056000000014</v>
      </c>
      <c r="AK62" s="13">
        <f t="shared" si="35"/>
        <v>50.966443946767434</v>
      </c>
      <c r="AL62" s="20">
        <f t="shared" si="4"/>
        <v>446.80194854062023</v>
      </c>
      <c r="AM62" s="59">
        <f t="shared" si="5"/>
        <v>740.13528187395355</v>
      </c>
      <c r="AN62" s="59">
        <f ca="1">AVERAGE(OFFSET($AM$3,0,0,'Données projet'!$E$10+1,1))-AVERAGE(OFFSET($H$3,0,0,'Données projet'!$E$10+1,1))</f>
        <v>346.35147716792028</v>
      </c>
      <c r="AO62" s="59">
        <f t="shared" si="36"/>
        <v>231.36959598460686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3.3033564949216178E-4</v>
      </c>
      <c r="AX62" s="21">
        <f t="shared" si="6"/>
        <v>3.3033564949216178E-4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10.433653846153845</v>
      </c>
      <c r="BD62" s="12">
        <f>IF('Données projet'!$A$88&gt;35,BD61+BC62-BL61,IF(A62&lt;'Données projet'!$A$88,$BA$205^A62,IF(A62='Données projet'!$A$88,'Données projet'!$B$88,BD61+BC62-BL61)))</f>
        <v>343.06634615384627</v>
      </c>
      <c r="BE62" s="13">
        <f>BD62*VLOOKUP('Données projet'!$B$11,Paramètres!$A$1:$I$89,3,0)*VLOOKUP('Données projet'!$B$11,Paramètres!$A$1:$I$89,5,0)</f>
        <v>205.15367500000011</v>
      </c>
      <c r="BF62" s="13">
        <f t="shared" si="37"/>
        <v>50.875106959180421</v>
      </c>
      <c r="BG62" s="20">
        <f t="shared" si="7"/>
        <v>445.91679524557276</v>
      </c>
      <c r="BH62" s="59">
        <f t="shared" si="8"/>
        <v>739.25012857890601</v>
      </c>
      <c r="BI62" s="59">
        <f ca="1">AVERAGE(OFFSET($BH$3,0,0,'Données projet'!$E$11+1,1))-AVERAGE(OFFSET($H$3,0,0,'Données projet'!$E$11+1,1))</f>
        <v>257.80952690600492</v>
      </c>
      <c r="BJ62" s="59">
        <f t="shared" si="38"/>
        <v>269.95358755269427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#VALUE!</v>
      </c>
      <c r="BQ62" s="21" t="e">
        <f>EXP(-LN(2)/25)*BQ61+(1-EXP(-LN(2)/25))/(LN(2)/25)*Calculateur!BL62*Calculateur!BN62*VLOOKUP('Données projet'!$B$11,Paramètres!$A$1:$I$89,3,0)*0.475*44/12</f>
        <v>#VALUE!</v>
      </c>
      <c r="BR62" s="21" t="e">
        <f>EXP(-LN(2)/2)*BR61+(1-EXP(-LN(2)/2))/(LN(2)/2)*BL62*BO62*VLOOKUP('Données projet'!$B$11,Paramètres!$A$1:$I$89,3,0)*0.475*44/12</f>
        <v>#VALUE!</v>
      </c>
      <c r="BS62" s="22" t="e">
        <f t="shared" si="9"/>
        <v>#VALUE!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7.4</v>
      </c>
      <c r="BY62" s="12">
        <f>IF('Données projet'!$A$114&gt;35,BY61+BX62-CG61,IF(A62&lt;'Données projet'!$A$114,$BV$205^A62,IF(A62='Données projet'!$A$114,'Données projet'!$B$114,BY61+BX62-CG61)))</f>
        <v>263.59999999999991</v>
      </c>
      <c r="BZ62" s="13">
        <f>BY62*VLOOKUP('Données projet'!$B$12,Paramètres!$A$1:$I$89,3,0)*VLOOKUP('Données projet'!$B$12,Paramètres!$A$1:$I$89,5,0)</f>
        <v>205.60799999999995</v>
      </c>
      <c r="CA62" s="13">
        <f t="shared" si="39"/>
        <v>50.97464576911181</v>
      </c>
      <c r="CB62" s="20">
        <f t="shared" si="10"/>
        <v>446.88144138120293</v>
      </c>
      <c r="CC62" s="59">
        <f t="shared" si="11"/>
        <v>740.21477471453625</v>
      </c>
      <c r="CD62" s="59">
        <f ca="1">AVERAGE(OFFSET($CC$3,0,0,'Données projet'!$E$12+1,1))-AVERAGE(OFFSET($H$3,0,0,'Données projet'!$E$12+1,1))</f>
        <v>286.5685205631126</v>
      </c>
      <c r="CE62" s="59">
        <f t="shared" si="40"/>
        <v>264.17357326498581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0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0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235</v>
      </c>
      <c r="L63" s="12">
        <f>VLOOKUP(A63,'Données projet'!$A$35:$I$55,9,0)</f>
        <v>7.8</v>
      </c>
      <c r="M63" s="12">
        <f t="array" ref="M63">INDEX(L:L,MIN(IF(ISNUMBER(L63:L259),ROW(L63:L259),"")))</f>
        <v>7.8</v>
      </c>
      <c r="N63" s="13">
        <f>IF('Données projet'!$A$36&gt;35,N62+M63-V62,IF(A63&lt;'Données projet'!$A$36,$K$205^A63,IF(A63='Données projet'!$A$36,'Données projet'!$B$36,N62+M63-V62)))</f>
        <v>235.0000000000002</v>
      </c>
      <c r="O63" s="13">
        <f>N63*VLOOKUP('Données projet'!$B$9,Paramètres!$A$1:$I$89,3,0)*VLOOKUP('Données projet'!$B$9,Paramètres!$A$1:$I$89,5,0)</f>
        <v>212.62800000000016</v>
      </c>
      <c r="P63" s="13">
        <f t="shared" si="33"/>
        <v>52.509453483719085</v>
      </c>
      <c r="Q63" s="20">
        <f t="shared" si="53"/>
        <v>461.78106481747767</v>
      </c>
      <c r="R63" s="59">
        <f t="shared" si="0"/>
        <v>755.11439815081098</v>
      </c>
      <c r="S63" s="59">
        <f ca="1">AVERAGE(OFFSET($R$3,0,0,'Données projet'!$E$9+1,1))-AVERAGE(OFFSET($H$3,0,0,'Données projet'!$E$9+1,1))</f>
        <v>346.35147716792028</v>
      </c>
      <c r="T63" s="59">
        <f t="shared" si="34"/>
        <v>231.36959598460686</v>
      </c>
      <c r="U63" s="15">
        <f>IF(ISNA(VLOOKUP(A63,'Données projet'!$A$35:$I$55,3,0)),0,VLOOKUP(A63,'Données projet'!$A$35:$I$55,3,0))</f>
        <v>5</v>
      </c>
      <c r="V63" s="15">
        <f>IF(ISNA(VLOOKUP(A63,'Données projet'!$A$35:$I$55,4,0)),0,VLOOKUP(A63,'Données projet'!$A$35:$I$55,4,0))</f>
        <v>42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0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2.3358257782357011E-4</v>
      </c>
      <c r="AC63" s="22">
        <f t="shared" si="3"/>
        <v>2.3358257782357011E-4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235</v>
      </c>
      <c r="AG63" s="12">
        <f>VLOOKUP(A63,'Données projet'!$A$61:$I$81,9,0)</f>
        <v>7.8</v>
      </c>
      <c r="AH63" s="12">
        <f t="array" ref="AH63">INDEX(AG:AG,MIN(IF(ISNUMBER(AG63:AG259),ROW(AG63:AG259),"")))</f>
        <v>7.8</v>
      </c>
      <c r="AI63" s="13">
        <f>IF('Données projet'!$A$62&gt;35,AI62+AH63-AQ62,IF(A63&lt;'Données projet'!$A$62,$AF$205^A63,IF(A63='Données projet'!$A$62,'Données projet'!$B$62,AI62+AH63-AQ62)))</f>
        <v>235.0000000000002</v>
      </c>
      <c r="AJ63" s="13">
        <f>AI63*VLOOKUP('Données projet'!$B$10,Paramètres!$A$1:$I$89,3,0)*VLOOKUP('Données projet'!$B$10,Paramètres!$A$1:$I$89,5,0)</f>
        <v>212.62800000000016</v>
      </c>
      <c r="AK63" s="13">
        <f t="shared" si="35"/>
        <v>52.509453483719085</v>
      </c>
      <c r="AL63" s="20">
        <f t="shared" si="4"/>
        <v>461.78106481747767</v>
      </c>
      <c r="AM63" s="59">
        <f t="shared" si="5"/>
        <v>755.11439815081098</v>
      </c>
      <c r="AN63" s="59">
        <f ca="1">AVERAGE(OFFSET($AM$3,0,0,'Données projet'!$E$10+1,1))-AVERAGE(OFFSET($H$3,0,0,'Données projet'!$E$10+1,1))</f>
        <v>346.35147716792028</v>
      </c>
      <c r="AO63" s="59">
        <f t="shared" si="36"/>
        <v>231.36959598460686</v>
      </c>
      <c r="AP63" s="15">
        <f>IF(ISNA(VLOOKUP(A63,'Données projet'!$A$61:$I$81,3,0)),0,VLOOKUP(A63,'Données projet'!$A$61:$I$81,3,0))</f>
        <v>5</v>
      </c>
      <c r="AQ63" s="15">
        <f>IF(ISNA(VLOOKUP(A63,'Données projet'!$A$61:$I$81,4,0)),0,VLOOKUP(A63,'Données projet'!$A$61:$I$81,4,0))</f>
        <v>42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2.3358257782357011E-4</v>
      </c>
      <c r="AX63" s="21">
        <f t="shared" si="6"/>
        <v>2.3358257782357011E-4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353.5</v>
      </c>
      <c r="BB63" s="12">
        <f>VLOOKUP(A63,'Données projet'!$A$87:$I$107,9,0)</f>
        <v>10.433653846153845</v>
      </c>
      <c r="BC63" s="12">
        <f t="array" ref="BC63">INDEX(BB:BB,MIN(IF(ISNUMBER(BB63:BB259),ROW(BB63:BB259),"")))</f>
        <v>10.433653846153845</v>
      </c>
      <c r="BD63" s="12">
        <f>IF('Données projet'!$A$88&gt;35,BD62+BC63-BL62,IF(A63&lt;'Données projet'!$A$88,$BA$205^A63,IF(A63='Données projet'!$A$88,'Données projet'!$B$88,BD62+BC63-BL62)))</f>
        <v>353.50000000000011</v>
      </c>
      <c r="BE63" s="13">
        <f>BD63*VLOOKUP('Données projet'!$B$11,Paramètres!$A$1:$I$89,3,0)*VLOOKUP('Données projet'!$B$11,Paramètres!$A$1:$I$89,5,0)</f>
        <v>211.39300000000009</v>
      </c>
      <c r="BF63" s="13">
        <f t="shared" si="37"/>
        <v>52.239874015944089</v>
      </c>
      <c r="BG63" s="20">
        <f t="shared" si="7"/>
        <v>459.16058891110282</v>
      </c>
      <c r="BH63" s="59">
        <f t="shared" si="8"/>
        <v>752.49392224443613</v>
      </c>
      <c r="BI63" s="59">
        <f ca="1">AVERAGE(OFFSET($BH$3,0,0,'Données projet'!$E$11+1,1))-AVERAGE(OFFSET($H$3,0,0,'Données projet'!$E$11+1,1))</f>
        <v>257.80952690600492</v>
      </c>
      <c r="BJ63" s="59">
        <f t="shared" si="38"/>
        <v>269.95358755269427</v>
      </c>
      <c r="BK63" s="15" t="str">
        <f>IF(ISNA(VLOOKUP(A63,'Données projet'!$A$87:$I$107,3,0)),0,VLOOKUP(A63,'Données projet'!$A$87:$I$107,3,0))</f>
        <v>CR</v>
      </c>
      <c r="BL63" s="15">
        <f>IF(ISNA(VLOOKUP(A63,'Données projet'!$A$87:$I$107,4,0)),0,VLOOKUP(A63,'Données projet'!$A$87:$I$107,4,0))</f>
        <v>353.5</v>
      </c>
      <c r="BM63" s="16" t="e">
        <f>IF(ISNA(VLOOKUP(A63,'Données projet'!$A$87:$I$107,5,0)),0%,VLOOKUP(A63,'Données projet'!$A$87:$I$107,5,0)*VLOOKUP('Données projet'!$B$11,Paramètres!$A$1:$I$89,7,0))</f>
        <v>#VALUE!</v>
      </c>
      <c r="BN63" s="16" t="e">
        <f>IF(ISNA(VLOOKUP(A63,'Données projet'!$A$87:$I$107,6,0)),0%,VLOOKUP(A63,'Données projet'!$A$87:$I$107,6,0)*VLOOKUP('Données projet'!$B$11,Paramètres!$A$1:$I$89,7,0))</f>
        <v>#VALUE!</v>
      </c>
      <c r="BO63" s="16" t="str">
        <f>IF(ISNA(VLOOKUP(A63,'Données projet'!$A$87:$I$107,7,0)),0%,VLOOKUP(A63,'Données projet'!$A$87:$I$107,7,0))</f>
        <v/>
      </c>
      <c r="BP63" s="21" t="e">
        <f>EXP(-LN(2)/35)*BP62+(1-EXP(-LN(2)/35))/(LN(2)/35)*BL63*BM63*VLOOKUP('Données projet'!$B$11,Paramètres!$A$1:$I$89,3,0)*0.475*44/12</f>
        <v>#VALUE!</v>
      </c>
      <c r="BQ63" s="21" t="e">
        <f>EXP(-LN(2)/25)*BQ62+(1-EXP(-LN(2)/25))/(LN(2)/25)*Calculateur!BL63*Calculateur!BN63*VLOOKUP('Données projet'!$B$11,Paramètres!$A$1:$I$89,3,0)*0.475*44/12</f>
        <v>#VALUE!</v>
      </c>
      <c r="BR63" s="21" t="e">
        <f>EXP(-LN(2)/2)*BR62+(1-EXP(-LN(2)/2))/(LN(2)/2)*BL63*BO63*VLOOKUP('Données projet'!$B$11,Paramètres!$A$1:$I$89,3,0)*0.475*44/12</f>
        <v>#VALUE!</v>
      </c>
      <c r="BS63" s="22" t="e">
        <f t="shared" si="9"/>
        <v>#VALUE!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271</v>
      </c>
      <c r="BW63" s="12">
        <f>VLOOKUP(A63,'Données projet'!$A$113:$I$133,9,0)</f>
        <v>7.4</v>
      </c>
      <c r="BX63" s="12">
        <f t="array" ref="BX63">INDEX(BW:BW,MIN(IF(ISNUMBER(BW63:BW259),ROW(BW63:BW259),"")))</f>
        <v>7.4</v>
      </c>
      <c r="BY63" s="12">
        <f>IF('Données projet'!$A$114&gt;35,BY62+BX63-CG62,IF(A63&lt;'Données projet'!$A$114,$BV$205^A63,IF(A63='Données projet'!$A$114,'Données projet'!$B$114,BY62+BX63-CG62)))</f>
        <v>270.99999999999989</v>
      </c>
      <c r="BZ63" s="13">
        <f>BY63*VLOOKUP('Données projet'!$B$12,Paramètres!$A$1:$I$89,3,0)*VLOOKUP('Données projet'!$B$12,Paramètres!$A$1:$I$89,5,0)</f>
        <v>211.37999999999991</v>
      </c>
      <c r="CA63" s="13">
        <f t="shared" si="39"/>
        <v>52.237035364084207</v>
      </c>
      <c r="CB63" s="20">
        <f t="shared" si="10"/>
        <v>459.1330032591132</v>
      </c>
      <c r="CC63" s="59">
        <f t="shared" si="11"/>
        <v>752.46633659244651</v>
      </c>
      <c r="CD63" s="59">
        <f ca="1">AVERAGE(OFFSET($CC$3,0,0,'Données projet'!$E$12+1,1))-AVERAGE(OFFSET($H$3,0,0,'Données projet'!$E$12+1,1))</f>
        <v>286.5685205631126</v>
      </c>
      <c r="CE63" s="59">
        <f t="shared" si="40"/>
        <v>264.17357326498581</v>
      </c>
      <c r="CF63" s="15">
        <f>IF(ISNA(VLOOKUP(A63,'Données projet'!$A$113:$I$133,3,0)),0,VLOOKUP(A63,'Données projet'!$A$113:$I$133,3,0))</f>
        <v>8</v>
      </c>
      <c r="CG63" s="15">
        <f>IF(ISNA(VLOOKUP(A63,'Données projet'!$A$113:$I$133,4,0)),0,VLOOKUP(A63,'Données projet'!$A$113:$I$133,4,0))</f>
        <v>27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0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0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7</v>
      </c>
      <c r="N64" s="13">
        <f>IF('Données projet'!$A$36&gt;35,N63+M64-V63,IF(A64&lt;'Données projet'!$A$36,$K$205^A64,IF(A64='Données projet'!$A$36,'Données projet'!$B$36,N63+M64-V63)))</f>
        <v>200.0000000000002</v>
      </c>
      <c r="O64" s="13">
        <f>N64*VLOOKUP('Données projet'!$B$9,Paramètres!$A$1:$I$89,3,0)*VLOOKUP('Données projet'!$B$9,Paramètres!$A$1:$I$89,5,0)</f>
        <v>180.96000000000018</v>
      </c>
      <c r="P64" s="13">
        <f t="shared" si="33"/>
        <v>45.535702314871806</v>
      </c>
      <c r="Q64" s="20">
        <f t="shared" si="53"/>
        <v>394.48001486506865</v>
      </c>
      <c r="R64" s="59">
        <f t="shared" si="0"/>
        <v>687.81334819840197</v>
      </c>
      <c r="S64" s="59">
        <f ca="1">AVERAGE(OFFSET($R$3,0,0,'Données projet'!$E$9+1,1))-AVERAGE(OFFSET($H$3,0,0,'Données projet'!$E$9+1,1))</f>
        <v>346.35147716792028</v>
      </c>
      <c r="T64" s="59">
        <f t="shared" si="34"/>
        <v>231.36959598460686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0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1.6516782474608092E-4</v>
      </c>
      <c r="AC64" s="22">
        <f t="shared" si="3"/>
        <v>1.6516782474608092E-4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7</v>
      </c>
      <c r="AI64" s="13">
        <f>IF('Données projet'!$A$62&gt;35,AI63+AH64-AQ63,IF(A64&lt;'Données projet'!$A$62,$AF$205^A64,IF(A64='Données projet'!$A$62,'Données projet'!$B$62,AI63+AH64-AQ63)))</f>
        <v>200.0000000000002</v>
      </c>
      <c r="AJ64" s="13">
        <f>AI64*VLOOKUP('Données projet'!$B$10,Paramètres!$A$1:$I$89,3,0)*VLOOKUP('Données projet'!$B$10,Paramètres!$A$1:$I$89,5,0)</f>
        <v>180.96000000000018</v>
      </c>
      <c r="AK64" s="13">
        <f t="shared" si="35"/>
        <v>45.535702314871806</v>
      </c>
      <c r="AL64" s="20">
        <f t="shared" si="4"/>
        <v>394.48001486506865</v>
      </c>
      <c r="AM64" s="59">
        <f t="shared" si="5"/>
        <v>687.81334819840197</v>
      </c>
      <c r="AN64" s="59">
        <f ca="1">AVERAGE(OFFSET($AM$3,0,0,'Données projet'!$E$10+1,1))-AVERAGE(OFFSET($H$3,0,0,'Données projet'!$E$10+1,1))</f>
        <v>346.35147716792028</v>
      </c>
      <c r="AO64" s="59">
        <f t="shared" si="36"/>
        <v>231.36959598460686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1.6516782474608092E-4</v>
      </c>
      <c r="AX64" s="21">
        <f t="shared" si="6"/>
        <v>1.6516782474608092E-4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1.1368683772161603E-13</v>
      </c>
      <c r="BE64" s="13">
        <f>BD64*VLOOKUP('Données projet'!$B$11,Paramètres!$A$1:$I$89,3,0)*VLOOKUP('Données projet'!$B$11,Paramètres!$A$1:$I$89,5,0)</f>
        <v>6.7984728957526396E-14</v>
      </c>
      <c r="BF64" s="13">
        <f t="shared" si="37"/>
        <v>1.0682447123141398E-12</v>
      </c>
      <c r="BG64" s="20">
        <f t="shared" si="7"/>
        <v>1.978932943548152E-12</v>
      </c>
      <c r="BH64" s="59">
        <f t="shared" si="8"/>
        <v>293.3333333333353</v>
      </c>
      <c r="BI64" s="59">
        <f ca="1">AVERAGE(OFFSET($BH$3,0,0,'Données projet'!$E$11+1,1))-AVERAGE(OFFSET($H$3,0,0,'Données projet'!$E$11+1,1))</f>
        <v>257.80952690600492</v>
      </c>
      <c r="BJ64" s="59">
        <f t="shared" si="38"/>
        <v>269.95358755269427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#VALUE!</v>
      </c>
      <c r="BQ64" s="21" t="e">
        <f>EXP(-LN(2)/25)*BQ63+(1-EXP(-LN(2)/25))/(LN(2)/25)*Calculateur!BL64*Calculateur!BN64*VLOOKUP('Données projet'!$B$11,Paramètres!$A$1:$I$89,3,0)*0.475*44/12</f>
        <v>#VALUE!</v>
      </c>
      <c r="BR64" s="21" t="e">
        <f>EXP(-LN(2)/2)*BR63+(1-EXP(-LN(2)/2))/(LN(2)/2)*BL64*BO64*VLOOKUP('Données projet'!$B$11,Paramètres!$A$1:$I$89,3,0)*0.475*44/12</f>
        <v>#VALUE!</v>
      </c>
      <c r="BS64" s="22" t="e">
        <f t="shared" si="9"/>
        <v>#VALUE!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6.4</v>
      </c>
      <c r="BY64" s="12">
        <f>IF('Données projet'!$A$114&gt;35,BY63+BX64-CG63,IF(A64&lt;'Données projet'!$A$114,$BV$205^A64,IF(A64='Données projet'!$A$114,'Données projet'!$B$114,BY63+BX64-CG63)))</f>
        <v>250.39999999999986</v>
      </c>
      <c r="BZ64" s="13">
        <f>BY64*VLOOKUP('Données projet'!$B$12,Paramètres!$A$1:$I$89,3,0)*VLOOKUP('Données projet'!$B$12,Paramètres!$A$1:$I$89,5,0)</f>
        <v>195.3119999999999</v>
      </c>
      <c r="CA64" s="13">
        <f t="shared" si="39"/>
        <v>48.712469285758459</v>
      </c>
      <c r="CB64" s="20">
        <f t="shared" si="10"/>
        <v>425.00928400602908</v>
      </c>
      <c r="CC64" s="59">
        <f t="shared" si="11"/>
        <v>718.34261733936239</v>
      </c>
      <c r="CD64" s="59">
        <f ca="1">AVERAGE(OFFSET($CC$3,0,0,'Données projet'!$E$12+1,1))-AVERAGE(OFFSET($H$3,0,0,'Données projet'!$E$12+1,1))</f>
        <v>286.5685205631126</v>
      </c>
      <c r="CE64" s="59">
        <f t="shared" si="40"/>
        <v>264.17357326498581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0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0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7</v>
      </c>
      <c r="N65" s="13">
        <f>IF('Données projet'!$A$36&gt;35,N64+M65-V64,IF(A65&lt;'Données projet'!$A$36,$K$205^A65,IF(A65='Données projet'!$A$36,'Données projet'!$B$36,N64+M65-V64)))</f>
        <v>207.0000000000002</v>
      </c>
      <c r="O65" s="13">
        <f>N65*VLOOKUP('Données projet'!$B$9,Paramètres!$A$1:$I$89,3,0)*VLOOKUP('Données projet'!$B$9,Paramètres!$A$1:$I$89,5,0)</f>
        <v>187.29360000000017</v>
      </c>
      <c r="P65" s="13">
        <f t="shared" si="33"/>
        <v>46.941107550760499</v>
      </c>
      <c r="Q65" s="20">
        <f t="shared" si="53"/>
        <v>407.95878231757479</v>
      </c>
      <c r="R65" s="59">
        <f t="shared" si="0"/>
        <v>701.29211565090804</v>
      </c>
      <c r="S65" s="59">
        <f ca="1">AVERAGE(OFFSET($R$3,0,0,'Données projet'!$E$9+1,1))-AVERAGE(OFFSET($H$3,0,0,'Données projet'!$E$9+1,1))</f>
        <v>346.35147716792028</v>
      </c>
      <c r="T65" s="59">
        <f t="shared" si="34"/>
        <v>231.36959598460686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0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1.1679128891178508E-4</v>
      </c>
      <c r="AC65" s="22">
        <f t="shared" si="3"/>
        <v>1.1679128891178508E-4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7</v>
      </c>
      <c r="AI65" s="13">
        <f>IF('Données projet'!$A$62&gt;35,AI64+AH65-AQ64,IF(A65&lt;'Données projet'!$A$62,$AF$205^A65,IF(A65='Données projet'!$A$62,'Données projet'!$B$62,AI64+AH65-AQ64)))</f>
        <v>207.0000000000002</v>
      </c>
      <c r="AJ65" s="13">
        <f>AI65*VLOOKUP('Données projet'!$B$10,Paramètres!$A$1:$I$89,3,0)*VLOOKUP('Données projet'!$B$10,Paramètres!$A$1:$I$89,5,0)</f>
        <v>187.29360000000017</v>
      </c>
      <c r="AK65" s="13">
        <f t="shared" si="35"/>
        <v>46.941107550760499</v>
      </c>
      <c r="AL65" s="20">
        <f t="shared" si="4"/>
        <v>407.95878231757479</v>
      </c>
      <c r="AM65" s="59">
        <f t="shared" si="5"/>
        <v>701.29211565090804</v>
      </c>
      <c r="AN65" s="59">
        <f ca="1">AVERAGE(OFFSET($AM$3,0,0,'Données projet'!$E$10+1,1))-AVERAGE(OFFSET($H$3,0,0,'Données projet'!$E$10+1,1))</f>
        <v>346.35147716792028</v>
      </c>
      <c r="AO65" s="59">
        <f t="shared" si="36"/>
        <v>231.36959598460686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1.1679128891178508E-4</v>
      </c>
      <c r="AX65" s="21">
        <f t="shared" si="6"/>
        <v>1.1679128891178508E-4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1.1368683772161603E-13</v>
      </c>
      <c r="BE65" s="13">
        <f>BD65*VLOOKUP('Données projet'!$B$11,Paramètres!$A$1:$I$89,3,0)*VLOOKUP('Données projet'!$B$11,Paramètres!$A$1:$I$89,5,0)</f>
        <v>6.7984728957526396E-14</v>
      </c>
      <c r="BF65" s="13">
        <f t="shared" si="37"/>
        <v>1.0682447123141398E-12</v>
      </c>
      <c r="BG65" s="20">
        <f t="shared" si="7"/>
        <v>1.978932943548152E-12</v>
      </c>
      <c r="BH65" s="59">
        <f t="shared" si="8"/>
        <v>293.3333333333353</v>
      </c>
      <c r="BI65" s="59">
        <f ca="1">AVERAGE(OFFSET($BH$3,0,0,'Données projet'!$E$11+1,1))-AVERAGE(OFFSET($H$3,0,0,'Données projet'!$E$11+1,1))</f>
        <v>257.80952690600492</v>
      </c>
      <c r="BJ65" s="59">
        <f t="shared" si="38"/>
        <v>269.95358755269427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#VALUE!</v>
      </c>
      <c r="BQ65" s="21" t="e">
        <f>EXP(-LN(2)/25)*BQ64+(1-EXP(-LN(2)/25))/(LN(2)/25)*Calculateur!BL65*Calculateur!BN65*VLOOKUP('Données projet'!$B$11,Paramètres!$A$1:$I$89,3,0)*0.475*44/12</f>
        <v>#VALUE!</v>
      </c>
      <c r="BR65" s="21" t="e">
        <f>EXP(-LN(2)/2)*BR64+(1-EXP(-LN(2)/2))/(LN(2)/2)*BL65*BO65*VLOOKUP('Données projet'!$B$11,Paramètres!$A$1:$I$89,3,0)*0.475*44/12</f>
        <v>#VALUE!</v>
      </c>
      <c r="BS65" s="22" t="e">
        <f t="shared" si="9"/>
        <v>#VALUE!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6.4</v>
      </c>
      <c r="BY65" s="12">
        <f>IF('Données projet'!$A$114&gt;35,BY64+BX65-CG64,IF(A65&lt;'Données projet'!$A$114,$BV$205^A65,IF(A65='Données projet'!$A$114,'Données projet'!$B$114,BY64+BX65-CG64)))</f>
        <v>256.79999999999984</v>
      </c>
      <c r="BZ65" s="13">
        <f>BY65*VLOOKUP('Données projet'!$B$12,Paramètres!$A$1:$I$89,3,0)*VLOOKUP('Données projet'!$B$12,Paramètres!$A$1:$I$89,5,0)</f>
        <v>200.30399999999989</v>
      </c>
      <c r="CA65" s="13">
        <f t="shared" si="39"/>
        <v>49.810971817279096</v>
      </c>
      <c r="CB65" s="20">
        <f t="shared" si="10"/>
        <v>435.61690924842759</v>
      </c>
      <c r="CC65" s="59">
        <f t="shared" si="11"/>
        <v>728.9502425817609</v>
      </c>
      <c r="CD65" s="59">
        <f ca="1">AVERAGE(OFFSET($CC$3,0,0,'Données projet'!$E$12+1,1))-AVERAGE(OFFSET($H$3,0,0,'Données projet'!$E$12+1,1))</f>
        <v>286.5685205631126</v>
      </c>
      <c r="CE65" s="59">
        <f t="shared" si="40"/>
        <v>264.17357326498581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0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0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7</v>
      </c>
      <c r="N66" s="13">
        <f>IF('Données projet'!$A$36&gt;35,N65+M66-V65,IF(A66&lt;'Données projet'!$A$36,$K$205^A66,IF(A66='Données projet'!$A$36,'Données projet'!$B$36,N65+M66-V65)))</f>
        <v>214.0000000000002</v>
      </c>
      <c r="O66" s="13">
        <f>N66*VLOOKUP('Données projet'!$B$9,Paramètres!$A$1:$I$89,3,0)*VLOOKUP('Données projet'!$B$9,Paramètres!$A$1:$I$89,5,0)</f>
        <v>193.62720000000016</v>
      </c>
      <c r="P66" s="13">
        <f t="shared" si="33"/>
        <v>48.340990547231236</v>
      </c>
      <c r="Q66" s="20">
        <f t="shared" si="53"/>
        <v>421.42793186976132</v>
      </c>
      <c r="R66" s="59">
        <f t="shared" si="0"/>
        <v>714.76126520309458</v>
      </c>
      <c r="S66" s="59">
        <f ca="1">AVERAGE(OFFSET($R$3,0,0,'Données projet'!$E$9+1,1))-AVERAGE(OFFSET($H$3,0,0,'Données projet'!$E$9+1,1))</f>
        <v>346.35147716792028</v>
      </c>
      <c r="T66" s="59">
        <f t="shared" si="34"/>
        <v>231.36959598460686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0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8.2583912373040473E-5</v>
      </c>
      <c r="AC66" s="22">
        <f t="shared" si="3"/>
        <v>8.2583912373040473E-5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7</v>
      </c>
      <c r="AI66" s="13">
        <f>IF('Données projet'!$A$62&gt;35,AI65+AH66-AQ65,IF(A66&lt;'Données projet'!$A$62,$AF$205^A66,IF(A66='Données projet'!$A$62,'Données projet'!$B$62,AI65+AH66-AQ65)))</f>
        <v>214.0000000000002</v>
      </c>
      <c r="AJ66" s="13">
        <f>AI66*VLOOKUP('Données projet'!$B$10,Paramètres!$A$1:$I$89,3,0)*VLOOKUP('Données projet'!$B$10,Paramètres!$A$1:$I$89,5,0)</f>
        <v>193.62720000000016</v>
      </c>
      <c r="AK66" s="13">
        <f t="shared" si="35"/>
        <v>48.340990547231236</v>
      </c>
      <c r="AL66" s="20">
        <f t="shared" si="4"/>
        <v>421.42793186976132</v>
      </c>
      <c r="AM66" s="59">
        <f t="shared" si="5"/>
        <v>714.76126520309458</v>
      </c>
      <c r="AN66" s="59">
        <f ca="1">AVERAGE(OFFSET($AM$3,0,0,'Données projet'!$E$10+1,1))-AVERAGE(OFFSET($H$3,0,0,'Données projet'!$E$10+1,1))</f>
        <v>346.35147716792028</v>
      </c>
      <c r="AO66" s="59">
        <f t="shared" si="36"/>
        <v>231.36959598460686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0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8.2583912373040473E-5</v>
      </c>
      <c r="AX66" s="21">
        <f t="shared" si="6"/>
        <v>8.2583912373040473E-5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1.1368683772161603E-13</v>
      </c>
      <c r="BE66" s="13">
        <f>BD66*VLOOKUP('Données projet'!$B$11,Paramètres!$A$1:$I$89,3,0)*VLOOKUP('Données projet'!$B$11,Paramètres!$A$1:$I$89,5,0)</f>
        <v>6.7984728957526396E-14</v>
      </c>
      <c r="BF66" s="13">
        <f t="shared" si="37"/>
        <v>1.0682447123141398E-12</v>
      </c>
      <c r="BG66" s="20">
        <f t="shared" si="7"/>
        <v>1.978932943548152E-12</v>
      </c>
      <c r="BH66" s="59">
        <f t="shared" si="8"/>
        <v>293.3333333333353</v>
      </c>
      <c r="BI66" s="59">
        <f ca="1">AVERAGE(OFFSET($BH$3,0,0,'Données projet'!$E$11+1,1))-AVERAGE(OFFSET($H$3,0,0,'Données projet'!$E$11+1,1))</f>
        <v>257.80952690600492</v>
      </c>
      <c r="BJ66" s="59">
        <f t="shared" si="38"/>
        <v>269.95358755269427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#VALUE!</v>
      </c>
      <c r="BQ66" s="21" t="e">
        <f>EXP(-LN(2)/25)*BQ65+(1-EXP(-LN(2)/25))/(LN(2)/25)*Calculateur!BL66*Calculateur!BN66*VLOOKUP('Données projet'!$B$11,Paramètres!$A$1:$I$89,3,0)*0.475*44/12</f>
        <v>#VALUE!</v>
      </c>
      <c r="BR66" s="21" t="e">
        <f>EXP(-LN(2)/2)*BR65+(1-EXP(-LN(2)/2))/(LN(2)/2)*BL66*BO66*VLOOKUP('Données projet'!$B$11,Paramètres!$A$1:$I$89,3,0)*0.475*44/12</f>
        <v>#VALUE!</v>
      </c>
      <c r="BS66" s="22" t="e">
        <f t="shared" si="9"/>
        <v>#VALUE!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6.4</v>
      </c>
      <c r="BY66" s="12">
        <f>IF('Données projet'!$A$114&gt;35,BY65+BX66-CG65,IF(A66&lt;'Données projet'!$A$114,$BV$205^A66,IF(A66='Données projet'!$A$114,'Données projet'!$B$114,BY65+BX66-CG65)))</f>
        <v>263.19999999999982</v>
      </c>
      <c r="BZ66" s="13">
        <f>BY66*VLOOKUP('Données projet'!$B$12,Paramètres!$A$1:$I$89,3,0)*VLOOKUP('Données projet'!$B$12,Paramètres!$A$1:$I$89,5,0)</f>
        <v>205.29599999999988</v>
      </c>
      <c r="CA66" s="13">
        <f t="shared" si="39"/>
        <v>50.906291934375353</v>
      </c>
      <c r="CB66" s="20">
        <f t="shared" si="10"/>
        <v>446.21899178570357</v>
      </c>
      <c r="CC66" s="59">
        <f t="shared" si="11"/>
        <v>739.55232511903682</v>
      </c>
      <c r="CD66" s="59">
        <f ca="1">AVERAGE(OFFSET($CC$3,0,0,'Données projet'!$E$12+1,1))-AVERAGE(OFFSET($H$3,0,0,'Données projet'!$E$12+1,1))</f>
        <v>286.5685205631126</v>
      </c>
      <c r="CE66" s="59">
        <f t="shared" si="40"/>
        <v>264.17357326498581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0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0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7</v>
      </c>
      <c r="N67" s="13">
        <f>IF('Données projet'!$A$36&gt;35,N66+M67-V66,IF(A67&lt;'Données projet'!$A$36,$K$205^A67,IF(A67='Données projet'!$A$36,'Données projet'!$B$36,N66+M67-V66)))</f>
        <v>221.0000000000002</v>
      </c>
      <c r="O67" s="13">
        <f>N67*VLOOKUP('Données projet'!$B$9,Paramètres!$A$1:$I$89,3,0)*VLOOKUP('Données projet'!$B$9,Paramètres!$A$1:$I$89,5,0)</f>
        <v>199.96080000000021</v>
      </c>
      <c r="P67" s="13">
        <f t="shared" si="33"/>
        <v>49.735552653569307</v>
      </c>
      <c r="Q67" s="20">
        <f t="shared" ref="Q67:Q98" si="54">(O67+P67)*0.475*44/12</f>
        <v>434.88781420496684</v>
      </c>
      <c r="R67" s="59">
        <f t="shared" ref="R67:R130" si="55">Q67+(I67+J67)*44/12</f>
        <v>728.2211475383001</v>
      </c>
      <c r="S67" s="59">
        <f ca="1">AVERAGE(OFFSET($R$3,0,0,'Données projet'!$E$9+1,1))-AVERAGE(OFFSET($H$3,0,0,'Données projet'!$E$9+1,1))</f>
        <v>346.35147716792028</v>
      </c>
      <c r="T67" s="59">
        <f t="shared" si="34"/>
        <v>231.36959598460686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0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5.8395644455892547E-5</v>
      </c>
      <c r="AC67" s="22">
        <f t="shared" si="3"/>
        <v>5.8395644455892547E-5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7</v>
      </c>
      <c r="AI67" s="13">
        <f>IF('Données projet'!$A$62&gt;35,AI66+AH67-AQ66,IF(A67&lt;'Données projet'!$A$62,$AF$205^A67,IF(A67='Données projet'!$A$62,'Données projet'!$B$62,AI66+AH67-AQ66)))</f>
        <v>221.0000000000002</v>
      </c>
      <c r="AJ67" s="13">
        <f>AI67*VLOOKUP('Données projet'!$B$10,Paramètres!$A$1:$I$89,3,0)*VLOOKUP('Données projet'!$B$10,Paramètres!$A$1:$I$89,5,0)</f>
        <v>199.96080000000021</v>
      </c>
      <c r="AK67" s="13">
        <f t="shared" si="35"/>
        <v>49.735552653569307</v>
      </c>
      <c r="AL67" s="20">
        <f t="shared" si="4"/>
        <v>434.88781420496684</v>
      </c>
      <c r="AM67" s="59">
        <f t="shared" si="5"/>
        <v>728.2211475383001</v>
      </c>
      <c r="AN67" s="59">
        <f ca="1">AVERAGE(OFFSET($AM$3,0,0,'Données projet'!$E$10+1,1))-AVERAGE(OFFSET($H$3,0,0,'Données projet'!$E$10+1,1))</f>
        <v>346.35147716792028</v>
      </c>
      <c r="AO67" s="59">
        <f t="shared" si="36"/>
        <v>231.36959598460686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5.8395644455892547E-5</v>
      </c>
      <c r="AX67" s="21">
        <f t="shared" si="6"/>
        <v>5.8395644455892547E-5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1.1368683772161603E-13</v>
      </c>
      <c r="BE67" s="13">
        <f>BD67*VLOOKUP('Données projet'!$B$11,Paramètres!$A$1:$I$89,3,0)*VLOOKUP('Données projet'!$B$11,Paramètres!$A$1:$I$89,5,0)</f>
        <v>6.7984728957526396E-14</v>
      </c>
      <c r="BF67" s="13">
        <f t="shared" si="37"/>
        <v>1.0682447123141398E-12</v>
      </c>
      <c r="BG67" s="20">
        <f t="shared" si="7"/>
        <v>1.978932943548152E-12</v>
      </c>
      <c r="BH67" s="59">
        <f t="shared" si="8"/>
        <v>293.3333333333353</v>
      </c>
      <c r="BI67" s="59">
        <f ca="1">AVERAGE(OFFSET($BH$3,0,0,'Données projet'!$E$11+1,1))-AVERAGE(OFFSET($H$3,0,0,'Données projet'!$E$11+1,1))</f>
        <v>257.80952690600492</v>
      </c>
      <c r="BJ67" s="59">
        <f t="shared" si="38"/>
        <v>269.95358755269427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#VALUE!</v>
      </c>
      <c r="BQ67" s="21" t="e">
        <f>EXP(-LN(2)/25)*BQ66+(1-EXP(-LN(2)/25))/(LN(2)/25)*Calculateur!BL67*Calculateur!BN67*VLOOKUP('Données projet'!$B$11,Paramètres!$A$1:$I$89,3,0)*0.475*44/12</f>
        <v>#VALUE!</v>
      </c>
      <c r="BR67" s="21" t="e">
        <f>EXP(-LN(2)/2)*BR66+(1-EXP(-LN(2)/2))/(LN(2)/2)*BL67*BO67*VLOOKUP('Données projet'!$B$11,Paramètres!$A$1:$I$89,3,0)*0.475*44/12</f>
        <v>#VALUE!</v>
      </c>
      <c r="BS67" s="22" t="e">
        <f t="shared" si="9"/>
        <v>#VALUE!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6.4</v>
      </c>
      <c r="BY67" s="12">
        <f>IF('Données projet'!$A$114&gt;35,BY66+BX67-CG66,IF(A67&lt;'Données projet'!$A$114,$BV$205^A67,IF(A67='Données projet'!$A$114,'Données projet'!$B$114,BY66+BX67-CG66)))</f>
        <v>269.5999999999998</v>
      </c>
      <c r="BZ67" s="13">
        <f>BY67*VLOOKUP('Données projet'!$B$12,Paramètres!$A$1:$I$89,3,0)*VLOOKUP('Données projet'!$B$12,Paramètres!$A$1:$I$89,5,0)</f>
        <v>210.28799999999984</v>
      </c>
      <c r="CA67" s="13">
        <f t="shared" si="39"/>
        <v>51.998515923525652</v>
      </c>
      <c r="CB67" s="20">
        <f t="shared" si="10"/>
        <v>456.81568190014019</v>
      </c>
      <c r="CC67" s="59">
        <f t="shared" si="11"/>
        <v>750.14901523347351</v>
      </c>
      <c r="CD67" s="59">
        <f ca="1">AVERAGE(OFFSET($CC$3,0,0,'Données projet'!$E$12+1,1))-AVERAGE(OFFSET($H$3,0,0,'Données projet'!$E$12+1,1))</f>
        <v>286.5685205631126</v>
      </c>
      <c r="CE67" s="59">
        <f t="shared" si="40"/>
        <v>264.17357326498581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0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0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7</v>
      </c>
      <c r="N68" s="13">
        <f>IF('Données projet'!$A$36&gt;35,N67+M68-V67,IF(A68&lt;'Données projet'!$A$36,$K$205^A68,IF(A68='Données projet'!$A$36,'Données projet'!$B$36,N67+M68-V67)))</f>
        <v>228.0000000000002</v>
      </c>
      <c r="O68" s="13">
        <f>N68*VLOOKUP('Données projet'!$B$9,Paramètres!$A$1:$I$89,3,0)*VLOOKUP('Données projet'!$B$9,Paramètres!$A$1:$I$89,5,0)</f>
        <v>206.29440000000017</v>
      </c>
      <c r="P68" s="13">
        <f t="shared" si="33"/>
        <v>51.124981739560774</v>
      </c>
      <c r="Q68" s="20">
        <f t="shared" si="54"/>
        <v>448.33875652973529</v>
      </c>
      <c r="R68" s="59">
        <f t="shared" si="55"/>
        <v>741.67208986306855</v>
      </c>
      <c r="S68" s="59">
        <f ca="1">AVERAGE(OFFSET($R$3,0,0,'Données projet'!$E$9+1,1))-AVERAGE(OFFSET($H$3,0,0,'Données projet'!$E$9+1,1))</f>
        <v>346.35147716792028</v>
      </c>
      <c r="T68" s="59">
        <f t="shared" si="34"/>
        <v>231.36959598460686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0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4.1291956186520243E-5</v>
      </c>
      <c r="AC68" s="22">
        <f t="shared" ref="AC68:AC131" si="57">SUM(Z68:AB68)</f>
        <v>4.1291956186520243E-5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7</v>
      </c>
      <c r="AI68" s="13">
        <f>IF('Données projet'!$A$62&gt;35,AI67+AH68-AQ67,IF(A68&lt;'Données projet'!$A$62,$AF$205^A68,IF(A68='Données projet'!$A$62,'Données projet'!$B$62,AI67+AH68-AQ67)))</f>
        <v>228.0000000000002</v>
      </c>
      <c r="AJ68" s="13">
        <f>AI68*VLOOKUP('Données projet'!$B$10,Paramètres!$A$1:$I$89,3,0)*VLOOKUP('Données projet'!$B$10,Paramètres!$A$1:$I$89,5,0)</f>
        <v>206.29440000000017</v>
      </c>
      <c r="AK68" s="13">
        <f t="shared" si="35"/>
        <v>51.124981739560774</v>
      </c>
      <c r="AL68" s="20">
        <f t="shared" ref="AL68:AL131" si="58">(AJ68+AK68)*0.475*44/12</f>
        <v>448.33875652973529</v>
      </c>
      <c r="AM68" s="59">
        <f t="shared" ref="AM68:AM131" si="59">AL68+(AD68+AE68)*44/12</f>
        <v>741.67208986306855</v>
      </c>
      <c r="AN68" s="59">
        <f ca="1">AVERAGE(OFFSET($AM$3,0,0,'Données projet'!$E$10+1,1))-AVERAGE(OFFSET($H$3,0,0,'Données projet'!$E$10+1,1))</f>
        <v>346.35147716792028</v>
      </c>
      <c r="AO68" s="59">
        <f t="shared" si="36"/>
        <v>231.36959598460686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0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4.1291956186520243E-5</v>
      </c>
      <c r="AX68" s="21">
        <f t="shared" ref="AX68:AX131" si="60">SUM(AU68:AW68)</f>
        <v>4.1291956186520243E-5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1.1368683772161603E-13</v>
      </c>
      <c r="BE68" s="13">
        <f>BD68*VLOOKUP('Données projet'!$B$11,Paramètres!$A$1:$I$89,3,0)*VLOOKUP('Données projet'!$B$11,Paramètres!$A$1:$I$89,5,0)</f>
        <v>6.7984728957526396E-14</v>
      </c>
      <c r="BF68" s="13">
        <f t="shared" si="37"/>
        <v>1.0682447123141398E-12</v>
      </c>
      <c r="BG68" s="20">
        <f t="shared" ref="BG68:BG131" si="61">(BE68+BF68)*0.475*44/12</f>
        <v>1.978932943548152E-12</v>
      </c>
      <c r="BH68" s="59">
        <f t="shared" ref="BH68:BH131" si="62">BG68+(AY68+AZ68)*44/12</f>
        <v>293.3333333333353</v>
      </c>
      <c r="BI68" s="59">
        <f ca="1">AVERAGE(OFFSET($BH$3,0,0,'Données projet'!$E$11+1,1))-AVERAGE(OFFSET($H$3,0,0,'Données projet'!$E$11+1,1))</f>
        <v>257.80952690600492</v>
      </c>
      <c r="BJ68" s="59">
        <f t="shared" si="38"/>
        <v>269.95358755269427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#VALUE!</v>
      </c>
      <c r="BQ68" s="21" t="e">
        <f>EXP(-LN(2)/25)*BQ67+(1-EXP(-LN(2)/25))/(LN(2)/25)*Calculateur!BL68*Calculateur!BN68*VLOOKUP('Données projet'!$B$11,Paramètres!$A$1:$I$89,3,0)*0.475*44/12</f>
        <v>#VALUE!</v>
      </c>
      <c r="BR68" s="21" t="e">
        <f>EXP(-LN(2)/2)*BR67+(1-EXP(-LN(2)/2))/(LN(2)/2)*BL68*BO68*VLOOKUP('Données projet'!$B$11,Paramètres!$A$1:$I$89,3,0)*0.475*44/12</f>
        <v>#VALUE!</v>
      </c>
      <c r="BS68" s="22" t="e">
        <f t="shared" ref="BS68:BS131" si="63">SUM(BP68:BR68)</f>
        <v>#VALUE!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276</v>
      </c>
      <c r="BW68" s="12">
        <f>VLOOKUP(A68,'Données projet'!$A$113:$I$133,9,0)</f>
        <v>6.4</v>
      </c>
      <c r="BX68" s="12">
        <f t="array" ref="BX68">INDEX(BW:BW,MIN(IF(ISNUMBER(BW68:BW264),ROW(BW68:BW264),"")))</f>
        <v>6.4</v>
      </c>
      <c r="BY68" s="12">
        <f>IF('Données projet'!$A$114&gt;35,BY67+BX68-CG67,IF(A68&lt;'Données projet'!$A$114,$BV$205^A68,IF(A68='Données projet'!$A$114,'Données projet'!$B$114,BY67+BX68-CG67)))</f>
        <v>275.99999999999977</v>
      </c>
      <c r="BZ68" s="13">
        <f>BY68*VLOOKUP('Données projet'!$B$12,Paramètres!$A$1:$I$89,3,0)*VLOOKUP('Données projet'!$B$12,Paramètres!$A$1:$I$89,5,0)</f>
        <v>215.27999999999983</v>
      </c>
      <c r="CA68" s="13">
        <f t="shared" si="39"/>
        <v>53.087725740853138</v>
      </c>
      <c r="CB68" s="20">
        <f t="shared" ref="CB68:CB131" si="64">(BZ68+CA68)*0.475*44/12</f>
        <v>467.40712233198559</v>
      </c>
      <c r="CC68" s="59">
        <f t="shared" ref="CC68:CC131" si="65">CB68+(BT68+BU68)*44/12</f>
        <v>760.7404556653189</v>
      </c>
      <c r="CD68" s="59">
        <f ca="1">AVERAGE(OFFSET($CC$3,0,0,'Données projet'!$E$12+1,1))-AVERAGE(OFFSET($H$3,0,0,'Données projet'!$E$12+1,1))</f>
        <v>286.5685205631126</v>
      </c>
      <c r="CE68" s="59">
        <f t="shared" si="40"/>
        <v>264.17357326498581</v>
      </c>
      <c r="CF68" s="15">
        <f>IF(ISNA(VLOOKUP(A68,'Données projet'!$A$113:$I$133,3,0)),0,VLOOKUP(A68,'Données projet'!$A$113:$I$133,3,0))</f>
        <v>9</v>
      </c>
      <c r="CG68" s="15">
        <f>IF(ISNA(VLOOKUP(A68,'Données projet'!$A$113:$I$133,4,0)),0,VLOOKUP(A68,'Données projet'!$A$113:$I$133,4,0))</f>
        <v>26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0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0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7</v>
      </c>
      <c r="N69" s="13">
        <f>IF('Données projet'!$A$36&gt;35,N68+M69-V68,IF(A69&lt;'Données projet'!$A$36,$K$205^A69,IF(A69='Données projet'!$A$36,'Données projet'!$B$36,N68+M69-V68)))</f>
        <v>235.0000000000002</v>
      </c>
      <c r="O69" s="13">
        <f>N69*VLOOKUP('Données projet'!$B$9,Paramètres!$A$1:$I$89,3,0)*VLOOKUP('Données projet'!$B$9,Paramètres!$A$1:$I$89,5,0)</f>
        <v>212.62800000000016</v>
      </c>
      <c r="P69" s="13">
        <f t="shared" ref="P69:P132" si="87">EXP(-1.0587+0.8836*LN(O69)+0.284)</f>
        <v>52.509453483719085</v>
      </c>
      <c r="Q69" s="20">
        <f t="shared" si="54"/>
        <v>461.78106481747767</v>
      </c>
      <c r="R69" s="59">
        <f t="shared" si="55"/>
        <v>755.11439815081098</v>
      </c>
      <c r="S69" s="59">
        <f ca="1">AVERAGE(OFFSET($R$3,0,0,'Données projet'!$E$9+1,1))-AVERAGE(OFFSET($H$3,0,0,'Données projet'!$E$9+1,1))</f>
        <v>346.35147716792028</v>
      </c>
      <c r="T69" s="59">
        <f t="shared" ref="T69:T132" si="88">$T$3</f>
        <v>231.36959598460686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0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2.919782222794628E-5</v>
      </c>
      <c r="AC69" s="22">
        <f t="shared" si="57"/>
        <v>2.919782222794628E-5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7</v>
      </c>
      <c r="AI69" s="13">
        <f>IF('Données projet'!$A$62&gt;35,AI68+AH69-AQ68,IF(A69&lt;'Données projet'!$A$62,$AF$205^A69,IF(A69='Données projet'!$A$62,'Données projet'!$B$62,AI68+AH69-AQ68)))</f>
        <v>235.0000000000002</v>
      </c>
      <c r="AJ69" s="13">
        <f>AI69*VLOOKUP('Données projet'!$B$10,Paramètres!$A$1:$I$89,3,0)*VLOOKUP('Données projet'!$B$10,Paramètres!$A$1:$I$89,5,0)</f>
        <v>212.62800000000016</v>
      </c>
      <c r="AK69" s="13">
        <f t="shared" ref="AK69:AK132" si="89">EXP(-1.0587+0.8836*LN(AJ69)+0.284)</f>
        <v>52.509453483719085</v>
      </c>
      <c r="AL69" s="20">
        <f t="shared" si="58"/>
        <v>461.78106481747767</v>
      </c>
      <c r="AM69" s="59">
        <f t="shared" si="59"/>
        <v>755.11439815081098</v>
      </c>
      <c r="AN69" s="59">
        <f ca="1">AVERAGE(OFFSET($AM$3,0,0,'Données projet'!$E$10+1,1))-AVERAGE(OFFSET($H$3,0,0,'Données projet'!$E$10+1,1))</f>
        <v>346.35147716792028</v>
      </c>
      <c r="AO69" s="59">
        <f t="shared" ref="AO69:AO132" si="90">$AO$3</f>
        <v>231.36959598460686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0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2.919782222794628E-5</v>
      </c>
      <c r="AX69" s="21">
        <f t="shared" si="60"/>
        <v>2.919782222794628E-5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1.1368683772161603E-13</v>
      </c>
      <c r="BE69" s="13">
        <f>BD69*VLOOKUP('Données projet'!$B$11,Paramètres!$A$1:$I$89,3,0)*VLOOKUP('Données projet'!$B$11,Paramètres!$A$1:$I$89,5,0)</f>
        <v>6.7984728957526396E-14</v>
      </c>
      <c r="BF69" s="13">
        <f t="shared" ref="BF69:BF132" si="91">EXP(-1.0587+0.8836*LN(BE69)+0.284)</f>
        <v>1.0682447123141398E-12</v>
      </c>
      <c r="BG69" s="20">
        <f t="shared" si="61"/>
        <v>1.978932943548152E-12</v>
      </c>
      <c r="BH69" s="59">
        <f t="shared" si="62"/>
        <v>293.3333333333353</v>
      </c>
      <c r="BI69" s="59">
        <f ca="1">AVERAGE(OFFSET($BH$3,0,0,'Données projet'!$E$11+1,1))-AVERAGE(OFFSET($H$3,0,0,'Données projet'!$E$11+1,1))</f>
        <v>257.80952690600492</v>
      </c>
      <c r="BJ69" s="59">
        <f t="shared" ref="BJ69:BJ132" si="92">$BJ$3</f>
        <v>269.95358755269427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#VALUE!</v>
      </c>
      <c r="BQ69" s="21" t="e">
        <f>EXP(-LN(2)/25)*BQ68+(1-EXP(-LN(2)/25))/(LN(2)/25)*Calculateur!BL69*Calculateur!BN69*VLOOKUP('Données projet'!$B$11,Paramètres!$A$1:$I$89,3,0)*0.475*44/12</f>
        <v>#VALUE!</v>
      </c>
      <c r="BR69" s="21" t="e">
        <f>EXP(-LN(2)/2)*BR68+(1-EXP(-LN(2)/2))/(LN(2)/2)*BL69*BO69*VLOOKUP('Données projet'!$B$11,Paramètres!$A$1:$I$89,3,0)*0.475*44/12</f>
        <v>#VALUE!</v>
      </c>
      <c r="BS69" s="22" t="e">
        <f t="shared" si="63"/>
        <v>#VALUE!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6</v>
      </c>
      <c r="BY69" s="12">
        <f>IF('Données projet'!$A$114&gt;35,BY68+BX69-CG68,IF(A69&lt;'Données projet'!$A$114,$BV$205^A69,IF(A69='Données projet'!$A$114,'Données projet'!$B$114,BY68+BX69-CG68)))</f>
        <v>255.99999999999977</v>
      </c>
      <c r="BZ69" s="13">
        <f>BY69*VLOOKUP('Données projet'!$B$12,Paramètres!$A$1:$I$89,3,0)*VLOOKUP('Données projet'!$B$12,Paramètres!$A$1:$I$89,5,0)</f>
        <v>199.67999999999984</v>
      </c>
      <c r="CA69" s="13">
        <f t="shared" ref="CA69:CA132" si="93">EXP(-1.0587+0.8836*LN(BZ69)+0.284)</f>
        <v>49.673834858130768</v>
      </c>
      <c r="CB69" s="20">
        <f t="shared" si="64"/>
        <v>434.29126237791075</v>
      </c>
      <c r="CC69" s="59">
        <f t="shared" si="65"/>
        <v>727.62459571124407</v>
      </c>
      <c r="CD69" s="59">
        <f ca="1">AVERAGE(OFFSET($CC$3,0,0,'Données projet'!$E$12+1,1))-AVERAGE(OFFSET($H$3,0,0,'Données projet'!$E$12+1,1))</f>
        <v>286.5685205631126</v>
      </c>
      <c r="CE69" s="59">
        <f t="shared" ref="CE69:CE132" si="94">$CE$3</f>
        <v>264.17357326498581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0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0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7</v>
      </c>
      <c r="N70" s="13">
        <f>IF('Données projet'!$A$36&gt;35,N69+M70-V69,IF(A70&lt;'Données projet'!$A$36,$K$205^A70,IF(A70='Données projet'!$A$36,'Données projet'!$B$36,N69+M70-V69)))</f>
        <v>242.0000000000002</v>
      </c>
      <c r="O70" s="13">
        <f>N70*VLOOKUP('Données projet'!$B$9,Paramètres!$A$1:$I$89,3,0)*VLOOKUP('Données projet'!$B$9,Paramètres!$A$1:$I$89,5,0)</f>
        <v>218.96160000000017</v>
      </c>
      <c r="P70" s="13">
        <f t="shared" si="87"/>
        <v>53.889132503707479</v>
      </c>
      <c r="Q70" s="20">
        <f t="shared" si="54"/>
        <v>475.2150257772908</v>
      </c>
      <c r="R70" s="59">
        <f t="shared" si="55"/>
        <v>768.54835911062412</v>
      </c>
      <c r="S70" s="59">
        <f ca="1">AVERAGE(OFFSET($R$3,0,0,'Données projet'!$E$9+1,1))-AVERAGE(OFFSET($H$3,0,0,'Données projet'!$E$9+1,1))</f>
        <v>346.35147716792028</v>
      </c>
      <c r="T70" s="59">
        <f t="shared" si="88"/>
        <v>231.36959598460686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0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2.0645978093260125E-5</v>
      </c>
      <c r="AC70" s="22">
        <f t="shared" si="57"/>
        <v>2.0645978093260125E-5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7</v>
      </c>
      <c r="AI70" s="13">
        <f>IF('Données projet'!$A$62&gt;35,AI69+AH70-AQ69,IF(A70&lt;'Données projet'!$A$62,$AF$205^A70,IF(A70='Données projet'!$A$62,'Données projet'!$B$62,AI69+AH70-AQ69)))</f>
        <v>242.0000000000002</v>
      </c>
      <c r="AJ70" s="13">
        <f>AI70*VLOOKUP('Données projet'!$B$10,Paramètres!$A$1:$I$89,3,0)*VLOOKUP('Données projet'!$B$10,Paramètres!$A$1:$I$89,5,0)</f>
        <v>218.96160000000017</v>
      </c>
      <c r="AK70" s="13">
        <f t="shared" si="89"/>
        <v>53.889132503707479</v>
      </c>
      <c r="AL70" s="20">
        <f t="shared" si="58"/>
        <v>475.2150257772908</v>
      </c>
      <c r="AM70" s="59">
        <f t="shared" si="59"/>
        <v>768.54835911062412</v>
      </c>
      <c r="AN70" s="59">
        <f ca="1">AVERAGE(OFFSET($AM$3,0,0,'Données projet'!$E$10+1,1))-AVERAGE(OFFSET($H$3,0,0,'Données projet'!$E$10+1,1))</f>
        <v>346.35147716792028</v>
      </c>
      <c r="AO70" s="59">
        <f t="shared" si="90"/>
        <v>231.36959598460686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0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2.0645978093260125E-5</v>
      </c>
      <c r="AX70" s="21">
        <f t="shared" si="60"/>
        <v>2.0645978093260125E-5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1.1368683772161603E-13</v>
      </c>
      <c r="BE70" s="13">
        <f>BD70*VLOOKUP('Données projet'!$B$11,Paramètres!$A$1:$I$89,3,0)*VLOOKUP('Données projet'!$B$11,Paramètres!$A$1:$I$89,5,0)</f>
        <v>6.7984728957526396E-14</v>
      </c>
      <c r="BF70" s="13">
        <f t="shared" si="91"/>
        <v>1.0682447123141398E-12</v>
      </c>
      <c r="BG70" s="20">
        <f t="shared" si="61"/>
        <v>1.978932943548152E-12</v>
      </c>
      <c r="BH70" s="59">
        <f t="shared" si="62"/>
        <v>293.3333333333353</v>
      </c>
      <c r="BI70" s="59">
        <f ca="1">AVERAGE(OFFSET($BH$3,0,0,'Données projet'!$E$11+1,1))-AVERAGE(OFFSET($H$3,0,0,'Données projet'!$E$11+1,1))</f>
        <v>257.80952690600492</v>
      </c>
      <c r="BJ70" s="59">
        <f t="shared" si="92"/>
        <v>269.95358755269427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#VALUE!</v>
      </c>
      <c r="BQ70" s="21" t="e">
        <f>EXP(-LN(2)/25)*BQ69+(1-EXP(-LN(2)/25))/(LN(2)/25)*Calculateur!BL70*Calculateur!BN70*VLOOKUP('Données projet'!$B$11,Paramètres!$A$1:$I$89,3,0)*0.475*44/12</f>
        <v>#VALUE!</v>
      </c>
      <c r="BR70" s="21" t="e">
        <f>EXP(-LN(2)/2)*BR69+(1-EXP(-LN(2)/2))/(LN(2)/2)*BL70*BO70*VLOOKUP('Données projet'!$B$11,Paramètres!$A$1:$I$89,3,0)*0.475*44/12</f>
        <v>#VALUE!</v>
      </c>
      <c r="BS70" s="22" t="e">
        <f t="shared" si="63"/>
        <v>#VALUE!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6</v>
      </c>
      <c r="BY70" s="12">
        <f>IF('Données projet'!$A$114&gt;35,BY69+BX70-CG69,IF(A70&lt;'Données projet'!$A$114,$BV$205^A70,IF(A70='Données projet'!$A$114,'Données projet'!$B$114,BY69+BX70-CG69)))</f>
        <v>261.99999999999977</v>
      </c>
      <c r="BZ70" s="13">
        <f>BY70*VLOOKUP('Données projet'!$B$12,Paramètres!$A$1:$I$89,3,0)*VLOOKUP('Données projet'!$B$12,Paramètres!$A$1:$I$89,5,0)</f>
        <v>204.35999999999984</v>
      </c>
      <c r="CA70" s="13">
        <f t="shared" si="93"/>
        <v>50.701157790815166</v>
      </c>
      <c r="CB70" s="20">
        <f t="shared" si="64"/>
        <v>444.23151648566937</v>
      </c>
      <c r="CC70" s="59">
        <f t="shared" si="65"/>
        <v>737.56484981900269</v>
      </c>
      <c r="CD70" s="59">
        <f ca="1">AVERAGE(OFFSET($CC$3,0,0,'Données projet'!$E$12+1,1))-AVERAGE(OFFSET($H$3,0,0,'Données projet'!$E$12+1,1))</f>
        <v>286.5685205631126</v>
      </c>
      <c r="CE70" s="59">
        <f t="shared" si="94"/>
        <v>264.17357326498581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0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0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7</v>
      </c>
      <c r="N71" s="13">
        <f>IF('Données projet'!$A$36&gt;35,N70+M71-V70,IF(A71&lt;'Données projet'!$A$36,$K$205^A71,IF(A71='Données projet'!$A$36,'Données projet'!$B$36,N70+M71-V70)))</f>
        <v>249.0000000000002</v>
      </c>
      <c r="O71" s="13">
        <f>N71*VLOOKUP('Données projet'!$B$9,Paramètres!$A$1:$I$89,3,0)*VLOOKUP('Données projet'!$B$9,Paramètres!$A$1:$I$89,5,0)</f>
        <v>225.29520000000016</v>
      </c>
      <c r="P71" s="13">
        <f t="shared" si="87"/>
        <v>55.264173352293128</v>
      </c>
      <c r="Q71" s="20">
        <f t="shared" si="54"/>
        <v>488.64090858857736</v>
      </c>
      <c r="R71" s="59">
        <f t="shared" si="55"/>
        <v>781.97424192191068</v>
      </c>
      <c r="S71" s="59">
        <f ca="1">AVERAGE(OFFSET($R$3,0,0,'Données projet'!$E$9+1,1))-AVERAGE(OFFSET($H$3,0,0,'Données projet'!$E$9+1,1))</f>
        <v>346.35147716792028</v>
      </c>
      <c r="T71" s="59">
        <f t="shared" si="88"/>
        <v>231.36959598460686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0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1.4598911113973142E-5</v>
      </c>
      <c r="AC71" s="22">
        <f t="shared" si="57"/>
        <v>1.4598911113973142E-5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7</v>
      </c>
      <c r="AI71" s="13">
        <f>IF('Données projet'!$A$62&gt;35,AI70+AH71-AQ70,IF(A71&lt;'Données projet'!$A$62,$AF$205^A71,IF(A71='Données projet'!$A$62,'Données projet'!$B$62,AI70+AH71-AQ70)))</f>
        <v>249.0000000000002</v>
      </c>
      <c r="AJ71" s="13">
        <f>AI71*VLOOKUP('Données projet'!$B$10,Paramètres!$A$1:$I$89,3,0)*VLOOKUP('Données projet'!$B$10,Paramètres!$A$1:$I$89,5,0)</f>
        <v>225.29520000000016</v>
      </c>
      <c r="AK71" s="13">
        <f t="shared" si="89"/>
        <v>55.264173352293128</v>
      </c>
      <c r="AL71" s="20">
        <f t="shared" si="58"/>
        <v>488.64090858857736</v>
      </c>
      <c r="AM71" s="59">
        <f t="shared" si="59"/>
        <v>781.97424192191068</v>
      </c>
      <c r="AN71" s="59">
        <f ca="1">AVERAGE(OFFSET($AM$3,0,0,'Données projet'!$E$10+1,1))-AVERAGE(OFFSET($H$3,0,0,'Données projet'!$E$10+1,1))</f>
        <v>346.35147716792028</v>
      </c>
      <c r="AO71" s="59">
        <f t="shared" si="90"/>
        <v>231.36959598460686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0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1.4598911113973142E-5</v>
      </c>
      <c r="AX71" s="21">
        <f t="shared" si="60"/>
        <v>1.4598911113973142E-5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1.1368683772161603E-13</v>
      </c>
      <c r="BE71" s="13">
        <f>BD71*VLOOKUP('Données projet'!$B$11,Paramètres!$A$1:$I$89,3,0)*VLOOKUP('Données projet'!$B$11,Paramètres!$A$1:$I$89,5,0)</f>
        <v>6.7984728957526396E-14</v>
      </c>
      <c r="BF71" s="13">
        <f t="shared" si="91"/>
        <v>1.0682447123141398E-12</v>
      </c>
      <c r="BG71" s="20">
        <f t="shared" si="61"/>
        <v>1.978932943548152E-12</v>
      </c>
      <c r="BH71" s="59">
        <f t="shared" si="62"/>
        <v>293.3333333333353</v>
      </c>
      <c r="BI71" s="59">
        <f ca="1">AVERAGE(OFFSET($BH$3,0,0,'Données projet'!$E$11+1,1))-AVERAGE(OFFSET($H$3,0,0,'Données projet'!$E$11+1,1))</f>
        <v>257.80952690600492</v>
      </c>
      <c r="BJ71" s="59">
        <f t="shared" si="92"/>
        <v>269.95358755269427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#VALUE!</v>
      </c>
      <c r="BQ71" s="21" t="e">
        <f>EXP(-LN(2)/25)*BQ70+(1-EXP(-LN(2)/25))/(LN(2)/25)*Calculateur!BL71*Calculateur!BN71*VLOOKUP('Données projet'!$B$11,Paramètres!$A$1:$I$89,3,0)*0.475*44/12</f>
        <v>#VALUE!</v>
      </c>
      <c r="BR71" s="21" t="e">
        <f>EXP(-LN(2)/2)*BR70+(1-EXP(-LN(2)/2))/(LN(2)/2)*BL71*BO71*VLOOKUP('Données projet'!$B$11,Paramètres!$A$1:$I$89,3,0)*0.475*44/12</f>
        <v>#VALUE!</v>
      </c>
      <c r="BS71" s="22" t="e">
        <f t="shared" si="63"/>
        <v>#VALUE!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6</v>
      </c>
      <c r="BY71" s="12">
        <f>IF('Données projet'!$A$114&gt;35,BY70+BX71-CG70,IF(A71&lt;'Données projet'!$A$114,$BV$205^A71,IF(A71='Données projet'!$A$114,'Données projet'!$B$114,BY70+BX71-CG70)))</f>
        <v>267.99999999999977</v>
      </c>
      <c r="BZ71" s="13">
        <f>BY71*VLOOKUP('Données projet'!$B$12,Paramètres!$A$1:$I$89,3,0)*VLOOKUP('Données projet'!$B$12,Paramètres!$A$1:$I$89,5,0)</f>
        <v>209.03999999999982</v>
      </c>
      <c r="CA71" s="13">
        <f t="shared" si="93"/>
        <v>51.725745635299404</v>
      </c>
      <c r="CB71" s="20">
        <f t="shared" si="64"/>
        <v>454.16700698147952</v>
      </c>
      <c r="CC71" s="59">
        <f t="shared" si="65"/>
        <v>747.50034031481277</v>
      </c>
      <c r="CD71" s="59">
        <f ca="1">AVERAGE(OFFSET($CC$3,0,0,'Données projet'!$E$12+1,1))-AVERAGE(OFFSET($H$3,0,0,'Données projet'!$E$12+1,1))</f>
        <v>286.5685205631126</v>
      </c>
      <c r="CE71" s="59">
        <f t="shared" si="94"/>
        <v>264.17357326498581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0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0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7</v>
      </c>
      <c r="N72" s="13">
        <f>IF('Données projet'!$A$36&gt;35,N71+M72-V71,IF(A72&lt;'Données projet'!$A$36,$K$205^A72,IF(A72='Données projet'!$A$36,'Données projet'!$B$36,N71+M72-V71)))</f>
        <v>256.00000000000023</v>
      </c>
      <c r="O72" s="13">
        <f>N72*VLOOKUP('Données projet'!$B$9,Paramètres!$A$1:$I$89,3,0)*VLOOKUP('Données projet'!$B$9,Paramètres!$A$1:$I$89,5,0)</f>
        <v>231.62880000000021</v>
      </c>
      <c r="P72" s="13">
        <f t="shared" si="87"/>
        <v>56.63472139815827</v>
      </c>
      <c r="Q72" s="20">
        <f t="shared" si="54"/>
        <v>502.05896643512602</v>
      </c>
      <c r="R72" s="59">
        <f t="shared" si="55"/>
        <v>795.39229976845934</v>
      </c>
      <c r="S72" s="59">
        <f ca="1">AVERAGE(OFFSET($R$3,0,0,'Données projet'!$E$9+1,1))-AVERAGE(OFFSET($H$3,0,0,'Données projet'!$E$9+1,1))</f>
        <v>346.35147716792028</v>
      </c>
      <c r="T72" s="59">
        <f t="shared" si="88"/>
        <v>231.36959598460686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0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1.0322989046630064E-5</v>
      </c>
      <c r="AC72" s="22">
        <f t="shared" si="57"/>
        <v>1.0322989046630064E-5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7</v>
      </c>
      <c r="AI72" s="13">
        <f>IF('Données projet'!$A$62&gt;35,AI71+AH72-AQ71,IF(A72&lt;'Données projet'!$A$62,$AF$205^A72,IF(A72='Données projet'!$A$62,'Données projet'!$B$62,AI71+AH72-AQ71)))</f>
        <v>256.00000000000023</v>
      </c>
      <c r="AJ72" s="13">
        <f>AI72*VLOOKUP('Données projet'!$B$10,Paramètres!$A$1:$I$89,3,0)*VLOOKUP('Données projet'!$B$10,Paramètres!$A$1:$I$89,5,0)</f>
        <v>231.62880000000021</v>
      </c>
      <c r="AK72" s="13">
        <f t="shared" si="89"/>
        <v>56.63472139815827</v>
      </c>
      <c r="AL72" s="20">
        <f t="shared" si="58"/>
        <v>502.05896643512602</v>
      </c>
      <c r="AM72" s="59">
        <f t="shared" si="59"/>
        <v>795.39229976845934</v>
      </c>
      <c r="AN72" s="59">
        <f ca="1">AVERAGE(OFFSET($AM$3,0,0,'Données projet'!$E$10+1,1))-AVERAGE(OFFSET($H$3,0,0,'Données projet'!$E$10+1,1))</f>
        <v>346.35147716792028</v>
      </c>
      <c r="AO72" s="59">
        <f t="shared" si="90"/>
        <v>231.36959598460686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0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1.0322989046630064E-5</v>
      </c>
      <c r="AX72" s="21">
        <f t="shared" si="60"/>
        <v>1.0322989046630064E-5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1.1368683772161603E-13</v>
      </c>
      <c r="BE72" s="13">
        <f>BD72*VLOOKUP('Données projet'!$B$11,Paramètres!$A$1:$I$89,3,0)*VLOOKUP('Données projet'!$B$11,Paramètres!$A$1:$I$89,5,0)</f>
        <v>6.7984728957526396E-14</v>
      </c>
      <c r="BF72" s="13">
        <f t="shared" si="91"/>
        <v>1.0682447123141398E-12</v>
      </c>
      <c r="BG72" s="20">
        <f t="shared" si="61"/>
        <v>1.978932943548152E-12</v>
      </c>
      <c r="BH72" s="59">
        <f t="shared" si="62"/>
        <v>293.3333333333353</v>
      </c>
      <c r="BI72" s="59">
        <f ca="1">AVERAGE(OFFSET($BH$3,0,0,'Données projet'!$E$11+1,1))-AVERAGE(OFFSET($H$3,0,0,'Données projet'!$E$11+1,1))</f>
        <v>257.80952690600492</v>
      </c>
      <c r="BJ72" s="59">
        <f t="shared" si="92"/>
        <v>269.95358755269427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#VALUE!</v>
      </c>
      <c r="BQ72" s="21" t="e">
        <f>EXP(-LN(2)/25)*BQ71+(1-EXP(-LN(2)/25))/(LN(2)/25)*Calculateur!BL72*Calculateur!BN72*VLOOKUP('Données projet'!$B$11,Paramètres!$A$1:$I$89,3,0)*0.475*44/12</f>
        <v>#VALUE!</v>
      </c>
      <c r="BR72" s="21" t="e">
        <f>EXP(-LN(2)/2)*BR71+(1-EXP(-LN(2)/2))/(LN(2)/2)*BL72*BO72*VLOOKUP('Données projet'!$B$11,Paramètres!$A$1:$I$89,3,0)*0.475*44/12</f>
        <v>#VALUE!</v>
      </c>
      <c r="BS72" s="22" t="e">
        <f t="shared" si="63"/>
        <v>#VALUE!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6</v>
      </c>
      <c r="BY72" s="12">
        <f>IF('Données projet'!$A$114&gt;35,BY71+BX72-CG71,IF(A72&lt;'Données projet'!$A$114,$BV$205^A72,IF(A72='Données projet'!$A$114,'Données projet'!$B$114,BY71+BX72-CG71)))</f>
        <v>273.99999999999977</v>
      </c>
      <c r="BZ72" s="13">
        <f>BY72*VLOOKUP('Données projet'!$B$12,Paramètres!$A$1:$I$89,3,0)*VLOOKUP('Données projet'!$B$12,Paramètres!$A$1:$I$89,5,0)</f>
        <v>213.71999999999983</v>
      </c>
      <c r="CA72" s="13">
        <f t="shared" si="93"/>
        <v>52.747666674989134</v>
      </c>
      <c r="CB72" s="20">
        <f t="shared" si="64"/>
        <v>464.09785279227236</v>
      </c>
      <c r="CC72" s="59">
        <f t="shared" si="65"/>
        <v>757.43118612560568</v>
      </c>
      <c r="CD72" s="59">
        <f ca="1">AVERAGE(OFFSET($CC$3,0,0,'Données projet'!$E$12+1,1))-AVERAGE(OFFSET($H$3,0,0,'Données projet'!$E$12+1,1))</f>
        <v>286.5685205631126</v>
      </c>
      <c r="CE72" s="59">
        <f t="shared" si="94"/>
        <v>264.17357326498581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0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0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263</v>
      </c>
      <c r="L73" s="12">
        <f>VLOOKUP(A73,'Données projet'!$A$35:$I$55,9,0)</f>
        <v>7</v>
      </c>
      <c r="M73" s="12">
        <f t="array" ref="M73">INDEX(L:L,MIN(IF(ISNUMBER(L73:L269),ROW(L73:L269),"")))</f>
        <v>7</v>
      </c>
      <c r="N73" s="13">
        <f>IF('Données projet'!$A$36&gt;35,N72+M73-V72,IF(A73&lt;'Données projet'!$A$36,$K$205^A73,IF(A73='Données projet'!$A$36,'Données projet'!$B$36,N72+M73-V72)))</f>
        <v>263.00000000000023</v>
      </c>
      <c r="O73" s="13">
        <f>N73*VLOOKUP('Données projet'!$B$9,Paramètres!$A$1:$I$89,3,0)*VLOOKUP('Données projet'!$B$9,Paramètres!$A$1:$I$89,5,0)</f>
        <v>237.96240000000023</v>
      </c>
      <c r="P73" s="13">
        <f t="shared" si="87"/>
        <v>58.000913607663399</v>
      </c>
      <c r="Q73" s="20">
        <f t="shared" si="54"/>
        <v>515.46943786668078</v>
      </c>
      <c r="R73" s="59">
        <f t="shared" si="55"/>
        <v>808.80277120001415</v>
      </c>
      <c r="S73" s="59">
        <f ca="1">AVERAGE(OFFSET($R$3,0,0,'Données projet'!$E$9+1,1))-AVERAGE(OFFSET($H$3,0,0,'Données projet'!$E$9+1,1))</f>
        <v>346.35147716792028</v>
      </c>
      <c r="T73" s="59">
        <f t="shared" si="88"/>
        <v>231.36959598460686</v>
      </c>
      <c r="U73" s="15">
        <f>IF(ISNA(VLOOKUP(A73,'Données projet'!$A$35:$I$55,3,0)),0,VLOOKUP(A73,'Données projet'!$A$35:$I$55,3,0))</f>
        <v>6</v>
      </c>
      <c r="V73" s="15">
        <f>IF(ISNA(VLOOKUP(A73,'Données projet'!$A$35:$I$55,4,0)),0,VLOOKUP(A73,'Données projet'!$A$35:$I$55,4,0))</f>
        <v>42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0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7.2994555569865718E-6</v>
      </c>
      <c r="AC73" s="22">
        <f t="shared" si="57"/>
        <v>7.2994555569865718E-6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263</v>
      </c>
      <c r="AG73" s="12">
        <f>VLOOKUP(A73,'Données projet'!$A$61:$I$81,9,0)</f>
        <v>7</v>
      </c>
      <c r="AH73" s="12">
        <f t="array" ref="AH73">INDEX(AG:AG,MIN(IF(ISNUMBER(AG73:AG269),ROW(AG73:AG269),"")))</f>
        <v>7</v>
      </c>
      <c r="AI73" s="13">
        <f>IF('Données projet'!$A$62&gt;35,AI72+AH73-AQ72,IF(A73&lt;'Données projet'!$A$62,$AF$205^A73,IF(A73='Données projet'!$A$62,'Données projet'!$B$62,AI72+AH73-AQ72)))</f>
        <v>263.00000000000023</v>
      </c>
      <c r="AJ73" s="13">
        <f>AI73*VLOOKUP('Données projet'!$B$10,Paramètres!$A$1:$I$89,3,0)*VLOOKUP('Données projet'!$B$10,Paramètres!$A$1:$I$89,5,0)</f>
        <v>237.96240000000023</v>
      </c>
      <c r="AK73" s="13">
        <f t="shared" si="89"/>
        <v>58.000913607663399</v>
      </c>
      <c r="AL73" s="20">
        <f t="shared" si="58"/>
        <v>515.46943786668078</v>
      </c>
      <c r="AM73" s="59">
        <f t="shared" si="59"/>
        <v>808.80277120001415</v>
      </c>
      <c r="AN73" s="59">
        <f ca="1">AVERAGE(OFFSET($AM$3,0,0,'Données projet'!$E$10+1,1))-AVERAGE(OFFSET($H$3,0,0,'Données projet'!$E$10+1,1))</f>
        <v>346.35147716792028</v>
      </c>
      <c r="AO73" s="59">
        <f t="shared" si="90"/>
        <v>231.36959598460686</v>
      </c>
      <c r="AP73" s="15">
        <f>IF(ISNA(VLOOKUP(A73,'Données projet'!$A$61:$I$81,3,0)),0,VLOOKUP(A73,'Données projet'!$A$61:$I$81,3,0))</f>
        <v>6</v>
      </c>
      <c r="AQ73" s="15">
        <f>IF(ISNA(VLOOKUP(A73,'Données projet'!$A$61:$I$81,4,0)),0,VLOOKUP(A73,'Données projet'!$A$61:$I$81,4,0))</f>
        <v>42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0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7.2994555569865718E-6</v>
      </c>
      <c r="AX73" s="21">
        <f t="shared" si="60"/>
        <v>7.2994555569865718E-6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1.1368683772161603E-13</v>
      </c>
      <c r="BE73" s="13">
        <f>BD73*VLOOKUP('Données projet'!$B$11,Paramètres!$A$1:$I$89,3,0)*VLOOKUP('Données projet'!$B$11,Paramètres!$A$1:$I$89,5,0)</f>
        <v>6.7984728957526396E-14</v>
      </c>
      <c r="BF73" s="13">
        <f t="shared" si="91"/>
        <v>1.0682447123141398E-12</v>
      </c>
      <c r="BG73" s="20">
        <f t="shared" si="61"/>
        <v>1.978932943548152E-12</v>
      </c>
      <c r="BH73" s="59">
        <f t="shared" si="62"/>
        <v>293.3333333333353</v>
      </c>
      <c r="BI73" s="59">
        <f ca="1">AVERAGE(OFFSET($BH$3,0,0,'Données projet'!$E$11+1,1))-AVERAGE(OFFSET($H$3,0,0,'Données projet'!$E$11+1,1))</f>
        <v>257.80952690600492</v>
      </c>
      <c r="BJ73" s="59">
        <f t="shared" si="92"/>
        <v>269.95358755269427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#VALUE!</v>
      </c>
      <c r="BQ73" s="21" t="e">
        <f>EXP(-LN(2)/25)*BQ72+(1-EXP(-LN(2)/25))/(LN(2)/25)*Calculateur!BL73*Calculateur!BN73*VLOOKUP('Données projet'!$B$11,Paramètres!$A$1:$I$89,3,0)*0.475*44/12</f>
        <v>#VALUE!</v>
      </c>
      <c r="BR73" s="21" t="e">
        <f>EXP(-LN(2)/2)*BR72+(1-EXP(-LN(2)/2))/(LN(2)/2)*BL73*BO73*VLOOKUP('Données projet'!$B$11,Paramètres!$A$1:$I$89,3,0)*0.475*44/12</f>
        <v>#VALUE!</v>
      </c>
      <c r="BS73" s="22" t="e">
        <f t="shared" si="63"/>
        <v>#VALUE!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280</v>
      </c>
      <c r="BW73" s="12">
        <f>VLOOKUP(A73,'Données projet'!$A$113:$I$133,9,0)</f>
        <v>6</v>
      </c>
      <c r="BX73" s="12">
        <f t="array" ref="BX73">INDEX(BW:BW,MIN(IF(ISNUMBER(BW73:BW269),ROW(BW73:BW269),"")))</f>
        <v>6</v>
      </c>
      <c r="BY73" s="12">
        <f>IF('Données projet'!$A$114&gt;35,BY72+BX73-CG72,IF(A73&lt;'Données projet'!$A$114,$BV$205^A73,IF(A73='Données projet'!$A$114,'Données projet'!$B$114,BY72+BX73-CG72)))</f>
        <v>279.99999999999977</v>
      </c>
      <c r="BZ73" s="13">
        <f>BY73*VLOOKUP('Données projet'!$B$12,Paramètres!$A$1:$I$89,3,0)*VLOOKUP('Données projet'!$B$12,Paramètres!$A$1:$I$89,5,0)</f>
        <v>218.39999999999984</v>
      </c>
      <c r="CA73" s="13">
        <f t="shared" si="93"/>
        <v>53.766986031998471</v>
      </c>
      <c r="CB73" s="20">
        <f t="shared" si="64"/>
        <v>474.02416733906375</v>
      </c>
      <c r="CC73" s="59">
        <f t="shared" si="65"/>
        <v>767.35750067239701</v>
      </c>
      <c r="CD73" s="59">
        <f ca="1">AVERAGE(OFFSET($CC$3,0,0,'Données projet'!$E$12+1,1))-AVERAGE(OFFSET($H$3,0,0,'Données projet'!$E$12+1,1))</f>
        <v>286.5685205631126</v>
      </c>
      <c r="CE73" s="59">
        <f t="shared" si="94"/>
        <v>264.17357326498581</v>
      </c>
      <c r="CF73" s="15">
        <f>IF(ISNA(VLOOKUP(A73,'Données projet'!$A$113:$I$133,3,0)),0,VLOOKUP(A73,'Données projet'!$A$113:$I$133,3,0))</f>
        <v>10</v>
      </c>
      <c r="CG73" s="15">
        <f>IF(ISNA(VLOOKUP(A73,'Données projet'!$A$113:$I$133,4,0)),0,VLOOKUP(A73,'Données projet'!$A$113:$I$133,4,0))</f>
        <v>20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0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0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6.1</v>
      </c>
      <c r="N74" s="13">
        <f>IF('Données projet'!$A$36&gt;35,N73+M74-V73,IF(A74&lt;'Données projet'!$A$36,$K$205^A74,IF(A74='Données projet'!$A$36,'Données projet'!$B$36,N73+M74-V73)))</f>
        <v>227.10000000000025</v>
      </c>
      <c r="O74" s="13">
        <f>N74*VLOOKUP('Données projet'!$B$9,Paramètres!$A$1:$I$89,3,0)*VLOOKUP('Données projet'!$B$9,Paramètres!$A$1:$I$89,5,0)</f>
        <v>205.48008000000021</v>
      </c>
      <c r="P74" s="13">
        <f t="shared" si="87"/>
        <v>50.9466221581852</v>
      </c>
      <c r="Q74" s="20">
        <f t="shared" si="54"/>
        <v>446.60983959217293</v>
      </c>
      <c r="R74" s="59">
        <f t="shared" si="55"/>
        <v>739.94317292550625</v>
      </c>
      <c r="S74" s="59">
        <f ca="1">AVERAGE(OFFSET($R$3,0,0,'Données projet'!$E$9+1,1))-AVERAGE(OFFSET($H$3,0,0,'Données projet'!$E$9+1,1))</f>
        <v>346.35147716792028</v>
      </c>
      <c r="T74" s="59">
        <f t="shared" si="88"/>
        <v>231.36959598460686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0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5.1614945233150329E-6</v>
      </c>
      <c r="AC74" s="22">
        <f t="shared" si="57"/>
        <v>5.1614945233150329E-6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6.1</v>
      </c>
      <c r="AI74" s="13">
        <f>IF('Données projet'!$A$62&gt;35,AI73+AH74-AQ73,IF(A74&lt;'Données projet'!$A$62,$AF$205^A74,IF(A74='Données projet'!$A$62,'Données projet'!$B$62,AI73+AH74-AQ73)))</f>
        <v>227.10000000000025</v>
      </c>
      <c r="AJ74" s="13">
        <f>AI74*VLOOKUP('Données projet'!$B$10,Paramètres!$A$1:$I$89,3,0)*VLOOKUP('Données projet'!$B$10,Paramètres!$A$1:$I$89,5,0)</f>
        <v>205.48008000000021</v>
      </c>
      <c r="AK74" s="13">
        <f t="shared" si="89"/>
        <v>50.9466221581852</v>
      </c>
      <c r="AL74" s="20">
        <f t="shared" si="58"/>
        <v>446.60983959217293</v>
      </c>
      <c r="AM74" s="59">
        <f t="shared" si="59"/>
        <v>739.94317292550625</v>
      </c>
      <c r="AN74" s="59">
        <f ca="1">AVERAGE(OFFSET($AM$3,0,0,'Données projet'!$E$10+1,1))-AVERAGE(OFFSET($H$3,0,0,'Données projet'!$E$10+1,1))</f>
        <v>346.35147716792028</v>
      </c>
      <c r="AO74" s="59">
        <f t="shared" si="90"/>
        <v>231.36959598460686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0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5.1614945233150329E-6</v>
      </c>
      <c r="AX74" s="21">
        <f t="shared" si="60"/>
        <v>5.1614945233150329E-6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1.1368683772161603E-13</v>
      </c>
      <c r="BE74" s="13">
        <f>BD74*VLOOKUP('Données projet'!$B$11,Paramètres!$A$1:$I$89,3,0)*VLOOKUP('Données projet'!$B$11,Paramètres!$A$1:$I$89,5,0)</f>
        <v>6.7984728957526396E-14</v>
      </c>
      <c r="BF74" s="13">
        <f t="shared" si="91"/>
        <v>1.0682447123141398E-12</v>
      </c>
      <c r="BG74" s="20">
        <f t="shared" si="61"/>
        <v>1.978932943548152E-12</v>
      </c>
      <c r="BH74" s="59">
        <f t="shared" si="62"/>
        <v>293.3333333333353</v>
      </c>
      <c r="BI74" s="59">
        <f ca="1">AVERAGE(OFFSET($BH$3,0,0,'Données projet'!$E$11+1,1))-AVERAGE(OFFSET($H$3,0,0,'Données projet'!$E$11+1,1))</f>
        <v>257.80952690600492</v>
      </c>
      <c r="BJ74" s="59">
        <f t="shared" si="92"/>
        <v>269.95358755269427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#VALUE!</v>
      </c>
      <c r="BQ74" s="21" t="e">
        <f>EXP(-LN(2)/25)*BQ73+(1-EXP(-LN(2)/25))/(LN(2)/25)*Calculateur!BL74*Calculateur!BN74*VLOOKUP('Données projet'!$B$11,Paramètres!$A$1:$I$89,3,0)*0.475*44/12</f>
        <v>#VALUE!</v>
      </c>
      <c r="BR74" s="21" t="e">
        <f>EXP(-LN(2)/2)*BR73+(1-EXP(-LN(2)/2))/(LN(2)/2)*BL74*BO74*VLOOKUP('Données projet'!$B$11,Paramètres!$A$1:$I$89,3,0)*0.475*44/12</f>
        <v>#VALUE!</v>
      </c>
      <c r="BS74" s="22" t="e">
        <f t="shared" si="63"/>
        <v>#VALUE!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5.2</v>
      </c>
      <c r="BY74" s="12">
        <f>IF('Données projet'!$A$114&gt;35,BY73+BX74-CG73,IF(A74&lt;'Données projet'!$A$114,$BV$205^A74,IF(A74='Données projet'!$A$114,'Données projet'!$B$114,BY73+BX74-CG73)))</f>
        <v>265.19999999999976</v>
      </c>
      <c r="BZ74" s="13">
        <f>BY74*VLOOKUP('Données projet'!$B$12,Paramètres!$A$1:$I$89,3,0)*VLOOKUP('Données projet'!$B$12,Paramètres!$A$1:$I$89,5,0)</f>
        <v>206.85599999999982</v>
      </c>
      <c r="CA74" s="13">
        <f t="shared" si="93"/>
        <v>51.247940588293027</v>
      </c>
      <c r="CB74" s="20">
        <f t="shared" si="64"/>
        <v>449.53102985794334</v>
      </c>
      <c r="CC74" s="59">
        <f t="shared" si="65"/>
        <v>742.86436319127665</v>
      </c>
      <c r="CD74" s="59">
        <f ca="1">AVERAGE(OFFSET($CC$3,0,0,'Données projet'!$E$12+1,1))-AVERAGE(OFFSET($H$3,0,0,'Données projet'!$E$12+1,1))</f>
        <v>286.5685205631126</v>
      </c>
      <c r="CE74" s="59">
        <f t="shared" si="94"/>
        <v>264.17357326498581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0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0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6.1</v>
      </c>
      <c r="N75" s="13">
        <f>IF('Données projet'!$A$36&gt;35,N74+M75-V74,IF(A75&lt;'Données projet'!$A$36,$K$205^A75,IF(A75='Données projet'!$A$36,'Données projet'!$B$36,N74+M75-V74)))</f>
        <v>233.20000000000024</v>
      </c>
      <c r="O75" s="13">
        <f>N75*VLOOKUP('Données projet'!$B$9,Paramètres!$A$1:$I$89,3,0)*VLOOKUP('Données projet'!$B$9,Paramètres!$A$1:$I$89,5,0)</f>
        <v>210.99936000000022</v>
      </c>
      <c r="P75" s="13">
        <f t="shared" si="87"/>
        <v>52.153910623486716</v>
      </c>
      <c r="Q75" s="20">
        <f t="shared" si="54"/>
        <v>458.32527966923976</v>
      </c>
      <c r="R75" s="59">
        <f t="shared" si="55"/>
        <v>751.65861300257302</v>
      </c>
      <c r="S75" s="59">
        <f ca="1">AVERAGE(OFFSET($R$3,0,0,'Données projet'!$E$9+1,1))-AVERAGE(OFFSET($H$3,0,0,'Données projet'!$E$9+1,1))</f>
        <v>346.35147716792028</v>
      </c>
      <c r="T75" s="59">
        <f t="shared" si="88"/>
        <v>231.36959598460686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0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3.6497277784932867E-6</v>
      </c>
      <c r="AC75" s="22">
        <f t="shared" si="57"/>
        <v>3.6497277784932867E-6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6.1</v>
      </c>
      <c r="AI75" s="13">
        <f>IF('Données projet'!$A$62&gt;35,AI74+AH75-AQ74,IF(A75&lt;'Données projet'!$A$62,$AF$205^A75,IF(A75='Données projet'!$A$62,'Données projet'!$B$62,AI74+AH75-AQ74)))</f>
        <v>233.20000000000024</v>
      </c>
      <c r="AJ75" s="13">
        <f>AI75*VLOOKUP('Données projet'!$B$10,Paramètres!$A$1:$I$89,3,0)*VLOOKUP('Données projet'!$B$10,Paramètres!$A$1:$I$89,5,0)</f>
        <v>210.99936000000022</v>
      </c>
      <c r="AK75" s="13">
        <f t="shared" si="89"/>
        <v>52.153910623486716</v>
      </c>
      <c r="AL75" s="20">
        <f t="shared" si="58"/>
        <v>458.32527966923976</v>
      </c>
      <c r="AM75" s="59">
        <f t="shared" si="59"/>
        <v>751.65861300257302</v>
      </c>
      <c r="AN75" s="59">
        <f ca="1">AVERAGE(OFFSET($AM$3,0,0,'Données projet'!$E$10+1,1))-AVERAGE(OFFSET($H$3,0,0,'Données projet'!$E$10+1,1))</f>
        <v>346.35147716792028</v>
      </c>
      <c r="AO75" s="59">
        <f t="shared" si="90"/>
        <v>231.36959598460686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0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3.6497277784932867E-6</v>
      </c>
      <c r="AX75" s="21">
        <f t="shared" si="60"/>
        <v>3.6497277784932867E-6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1.1368683772161603E-13</v>
      </c>
      <c r="BE75" s="13">
        <f>BD75*VLOOKUP('Données projet'!$B$11,Paramètres!$A$1:$I$89,3,0)*VLOOKUP('Données projet'!$B$11,Paramètres!$A$1:$I$89,5,0)</f>
        <v>6.7984728957526396E-14</v>
      </c>
      <c r="BF75" s="13">
        <f t="shared" si="91"/>
        <v>1.0682447123141398E-12</v>
      </c>
      <c r="BG75" s="20">
        <f t="shared" si="61"/>
        <v>1.978932943548152E-12</v>
      </c>
      <c r="BH75" s="59">
        <f t="shared" si="62"/>
        <v>293.3333333333353</v>
      </c>
      <c r="BI75" s="59">
        <f ca="1">AVERAGE(OFFSET($BH$3,0,0,'Données projet'!$E$11+1,1))-AVERAGE(OFFSET($H$3,0,0,'Données projet'!$E$11+1,1))</f>
        <v>257.80952690600492</v>
      </c>
      <c r="BJ75" s="59">
        <f t="shared" si="92"/>
        <v>269.95358755269427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#VALUE!</v>
      </c>
      <c r="BQ75" s="21" t="e">
        <f>EXP(-LN(2)/25)*BQ74+(1-EXP(-LN(2)/25))/(LN(2)/25)*Calculateur!BL75*Calculateur!BN75*VLOOKUP('Données projet'!$B$11,Paramètres!$A$1:$I$89,3,0)*0.475*44/12</f>
        <v>#VALUE!</v>
      </c>
      <c r="BR75" s="21" t="e">
        <f>EXP(-LN(2)/2)*BR74+(1-EXP(-LN(2)/2))/(LN(2)/2)*BL75*BO75*VLOOKUP('Données projet'!$B$11,Paramètres!$A$1:$I$89,3,0)*0.475*44/12</f>
        <v>#VALUE!</v>
      </c>
      <c r="BS75" s="22" t="e">
        <f t="shared" si="63"/>
        <v>#VALUE!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5.2</v>
      </c>
      <c r="BY75" s="12">
        <f>IF('Données projet'!$A$114&gt;35,BY74+BX75-CG74,IF(A75&lt;'Données projet'!$A$114,$BV$205^A75,IF(A75='Données projet'!$A$114,'Données projet'!$B$114,BY74+BX75-CG74)))</f>
        <v>270.39999999999975</v>
      </c>
      <c r="BZ75" s="13">
        <f>BY75*VLOOKUP('Données projet'!$B$12,Paramètres!$A$1:$I$89,3,0)*VLOOKUP('Données projet'!$B$12,Paramètres!$A$1:$I$89,5,0)</f>
        <v>210.91199999999981</v>
      </c>
      <c r="CA75" s="13">
        <f t="shared" si="93"/>
        <v>52.134830352456738</v>
      </c>
      <c r="CB75" s="20">
        <f t="shared" si="64"/>
        <v>458.13989619719513</v>
      </c>
      <c r="CC75" s="59">
        <f t="shared" si="65"/>
        <v>751.47322953052844</v>
      </c>
      <c r="CD75" s="59">
        <f ca="1">AVERAGE(OFFSET($CC$3,0,0,'Données projet'!$E$12+1,1))-AVERAGE(OFFSET($H$3,0,0,'Données projet'!$E$12+1,1))</f>
        <v>286.5685205631126</v>
      </c>
      <c r="CE75" s="59">
        <f t="shared" si="94"/>
        <v>264.17357326498581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0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0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6.1</v>
      </c>
      <c r="N76" s="13">
        <f>IF('Données projet'!$A$36&gt;35,N75+M76-V75,IF(A76&lt;'Données projet'!$A$36,$K$205^A76,IF(A76='Données projet'!$A$36,'Données projet'!$B$36,N75+M76-V75)))</f>
        <v>239.30000000000024</v>
      </c>
      <c r="O76" s="13">
        <f>N76*VLOOKUP('Données projet'!$B$9,Paramètres!$A$1:$I$89,3,0)*VLOOKUP('Données projet'!$B$9,Paramètres!$A$1:$I$89,5,0)</f>
        <v>216.5186400000002</v>
      </c>
      <c r="P76" s="13">
        <f t="shared" si="87"/>
        <v>53.357528323079173</v>
      </c>
      <c r="Q76" s="20">
        <f t="shared" si="54"/>
        <v>470.03432649602991</v>
      </c>
      <c r="R76" s="59">
        <f t="shared" si="55"/>
        <v>763.36765982936322</v>
      </c>
      <c r="S76" s="59">
        <f ca="1">AVERAGE(OFFSET($R$3,0,0,'Données projet'!$E$9+1,1))-AVERAGE(OFFSET($H$3,0,0,'Données projet'!$E$9+1,1))</f>
        <v>346.35147716792028</v>
      </c>
      <c r="T76" s="59">
        <f t="shared" si="88"/>
        <v>231.36959598460686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0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2.5807472616575169E-6</v>
      </c>
      <c r="AC76" s="22">
        <f t="shared" si="57"/>
        <v>2.5807472616575169E-6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6.1</v>
      </c>
      <c r="AI76" s="13">
        <f>IF('Données projet'!$A$62&gt;35,AI75+AH76-AQ75,IF(A76&lt;'Données projet'!$A$62,$AF$205^A76,IF(A76='Données projet'!$A$62,'Données projet'!$B$62,AI75+AH76-AQ75)))</f>
        <v>239.30000000000024</v>
      </c>
      <c r="AJ76" s="13">
        <f>AI76*VLOOKUP('Données projet'!$B$10,Paramètres!$A$1:$I$89,3,0)*VLOOKUP('Données projet'!$B$10,Paramètres!$A$1:$I$89,5,0)</f>
        <v>216.5186400000002</v>
      </c>
      <c r="AK76" s="13">
        <f t="shared" si="89"/>
        <v>53.357528323079173</v>
      </c>
      <c r="AL76" s="20">
        <f t="shared" si="58"/>
        <v>470.03432649602991</v>
      </c>
      <c r="AM76" s="59">
        <f t="shared" si="59"/>
        <v>763.36765982936322</v>
      </c>
      <c r="AN76" s="59">
        <f ca="1">AVERAGE(OFFSET($AM$3,0,0,'Données projet'!$E$10+1,1))-AVERAGE(OFFSET($H$3,0,0,'Données projet'!$E$10+1,1))</f>
        <v>346.35147716792028</v>
      </c>
      <c r="AO76" s="59">
        <f t="shared" si="90"/>
        <v>231.36959598460686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0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2.5807472616575169E-6</v>
      </c>
      <c r="AX76" s="21">
        <f t="shared" si="60"/>
        <v>2.5807472616575169E-6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1.1368683772161603E-13</v>
      </c>
      <c r="BE76" s="13">
        <f>BD76*VLOOKUP('Données projet'!$B$11,Paramètres!$A$1:$I$89,3,0)*VLOOKUP('Données projet'!$B$11,Paramètres!$A$1:$I$89,5,0)</f>
        <v>6.7984728957526396E-14</v>
      </c>
      <c r="BF76" s="13">
        <f t="shared" si="91"/>
        <v>1.0682447123141398E-12</v>
      </c>
      <c r="BG76" s="20">
        <f t="shared" si="61"/>
        <v>1.978932943548152E-12</v>
      </c>
      <c r="BH76" s="59">
        <f t="shared" si="62"/>
        <v>293.3333333333353</v>
      </c>
      <c r="BI76" s="59">
        <f ca="1">AVERAGE(OFFSET($BH$3,0,0,'Données projet'!$E$11+1,1))-AVERAGE(OFFSET($H$3,0,0,'Données projet'!$E$11+1,1))</f>
        <v>257.80952690600492</v>
      </c>
      <c r="BJ76" s="59">
        <f t="shared" si="92"/>
        <v>269.95358755269427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#VALUE!</v>
      </c>
      <c r="BQ76" s="21" t="e">
        <f>EXP(-LN(2)/25)*BQ75+(1-EXP(-LN(2)/25))/(LN(2)/25)*Calculateur!BL76*Calculateur!BN76*VLOOKUP('Données projet'!$B$11,Paramètres!$A$1:$I$89,3,0)*0.475*44/12</f>
        <v>#VALUE!</v>
      </c>
      <c r="BR76" s="21" t="e">
        <f>EXP(-LN(2)/2)*BR75+(1-EXP(-LN(2)/2))/(LN(2)/2)*BL76*BO76*VLOOKUP('Données projet'!$B$11,Paramètres!$A$1:$I$89,3,0)*0.475*44/12</f>
        <v>#VALUE!</v>
      </c>
      <c r="BS76" s="22" t="e">
        <f t="shared" si="63"/>
        <v>#VALUE!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5.2</v>
      </c>
      <c r="BY76" s="12">
        <f>IF('Données projet'!$A$114&gt;35,BY75+BX76-CG75,IF(A76&lt;'Données projet'!$A$114,$BV$205^A76,IF(A76='Données projet'!$A$114,'Données projet'!$B$114,BY75+BX76-CG75)))</f>
        <v>275.59999999999974</v>
      </c>
      <c r="BZ76" s="13">
        <f>BY76*VLOOKUP('Données projet'!$B$12,Paramètres!$A$1:$I$89,3,0)*VLOOKUP('Données projet'!$B$12,Paramètres!$A$1:$I$89,5,0)</f>
        <v>214.96799999999979</v>
      </c>
      <c r="CA76" s="13">
        <f t="shared" si="93"/>
        <v>53.019736939092944</v>
      </c>
      <c r="CB76" s="20">
        <f t="shared" si="64"/>
        <v>466.74530850225307</v>
      </c>
      <c r="CC76" s="59">
        <f t="shared" si="65"/>
        <v>760.07864183558638</v>
      </c>
      <c r="CD76" s="59">
        <f ca="1">AVERAGE(OFFSET($CC$3,0,0,'Données projet'!$E$12+1,1))-AVERAGE(OFFSET($H$3,0,0,'Données projet'!$E$12+1,1))</f>
        <v>286.5685205631126</v>
      </c>
      <c r="CE76" s="59">
        <f t="shared" si="94"/>
        <v>264.17357326498581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0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0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6.1</v>
      </c>
      <c r="N77" s="13">
        <f>IF('Données projet'!$A$36&gt;35,N76+M77-V76,IF(A77&lt;'Données projet'!$A$36,$K$205^A77,IF(A77='Données projet'!$A$36,'Données projet'!$B$36,N76+M77-V76)))</f>
        <v>245.40000000000023</v>
      </c>
      <c r="O77" s="13">
        <f>N77*VLOOKUP('Données projet'!$B$9,Paramètres!$A$1:$I$89,3,0)*VLOOKUP('Données projet'!$B$9,Paramètres!$A$1:$I$89,5,0)</f>
        <v>222.03792000000021</v>
      </c>
      <c r="P77" s="13">
        <f t="shared" si="87"/>
        <v>54.557579588273143</v>
      </c>
      <c r="Q77" s="20">
        <f t="shared" si="54"/>
        <v>481.73716178290942</v>
      </c>
      <c r="R77" s="59">
        <f t="shared" si="55"/>
        <v>775.07049511624268</v>
      </c>
      <c r="S77" s="59">
        <f ca="1">AVERAGE(OFFSET($R$3,0,0,'Données projet'!$E$9+1,1))-AVERAGE(OFFSET($H$3,0,0,'Données projet'!$E$9+1,1))</f>
        <v>346.35147716792028</v>
      </c>
      <c r="T77" s="59">
        <f t="shared" si="88"/>
        <v>231.36959598460686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0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1.8248638892466436E-6</v>
      </c>
      <c r="AC77" s="22">
        <f t="shared" si="57"/>
        <v>1.8248638892466436E-6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6.1</v>
      </c>
      <c r="AI77" s="13">
        <f>IF('Données projet'!$A$62&gt;35,AI76+AH77-AQ76,IF(A77&lt;'Données projet'!$A$62,$AF$205^A77,IF(A77='Données projet'!$A$62,'Données projet'!$B$62,AI76+AH77-AQ76)))</f>
        <v>245.40000000000023</v>
      </c>
      <c r="AJ77" s="13">
        <f>AI77*VLOOKUP('Données projet'!$B$10,Paramètres!$A$1:$I$89,3,0)*VLOOKUP('Données projet'!$B$10,Paramètres!$A$1:$I$89,5,0)</f>
        <v>222.03792000000021</v>
      </c>
      <c r="AK77" s="13">
        <f t="shared" si="89"/>
        <v>54.557579588273143</v>
      </c>
      <c r="AL77" s="20">
        <f t="shared" si="58"/>
        <v>481.73716178290942</v>
      </c>
      <c r="AM77" s="59">
        <f t="shared" si="59"/>
        <v>775.07049511624268</v>
      </c>
      <c r="AN77" s="59">
        <f ca="1">AVERAGE(OFFSET($AM$3,0,0,'Données projet'!$E$10+1,1))-AVERAGE(OFFSET($H$3,0,0,'Données projet'!$E$10+1,1))</f>
        <v>346.35147716792028</v>
      </c>
      <c r="AO77" s="59">
        <f t="shared" si="90"/>
        <v>231.36959598460686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0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1.8248638892466436E-6</v>
      </c>
      <c r="AX77" s="21">
        <f t="shared" si="60"/>
        <v>1.8248638892466436E-6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1.1368683772161603E-13</v>
      </c>
      <c r="BE77" s="13">
        <f>BD77*VLOOKUP('Données projet'!$B$11,Paramètres!$A$1:$I$89,3,0)*VLOOKUP('Données projet'!$B$11,Paramètres!$A$1:$I$89,5,0)</f>
        <v>6.7984728957526396E-14</v>
      </c>
      <c r="BF77" s="13">
        <f t="shared" si="91"/>
        <v>1.0682447123141398E-12</v>
      </c>
      <c r="BG77" s="20">
        <f t="shared" si="61"/>
        <v>1.978932943548152E-12</v>
      </c>
      <c r="BH77" s="59">
        <f t="shared" si="62"/>
        <v>293.3333333333353</v>
      </c>
      <c r="BI77" s="59">
        <f ca="1">AVERAGE(OFFSET($BH$3,0,0,'Données projet'!$E$11+1,1))-AVERAGE(OFFSET($H$3,0,0,'Données projet'!$E$11+1,1))</f>
        <v>257.80952690600492</v>
      </c>
      <c r="BJ77" s="59">
        <f t="shared" si="92"/>
        <v>269.95358755269427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#VALUE!</v>
      </c>
      <c r="BQ77" s="21" t="e">
        <f>EXP(-LN(2)/25)*BQ76+(1-EXP(-LN(2)/25))/(LN(2)/25)*Calculateur!BL77*Calculateur!BN77*VLOOKUP('Données projet'!$B$11,Paramètres!$A$1:$I$89,3,0)*0.475*44/12</f>
        <v>#VALUE!</v>
      </c>
      <c r="BR77" s="21" t="e">
        <f>EXP(-LN(2)/2)*BR76+(1-EXP(-LN(2)/2))/(LN(2)/2)*BL77*BO77*VLOOKUP('Données projet'!$B$11,Paramètres!$A$1:$I$89,3,0)*0.475*44/12</f>
        <v>#VALUE!</v>
      </c>
      <c r="BS77" s="22" t="e">
        <f t="shared" si="63"/>
        <v>#VALUE!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5.2</v>
      </c>
      <c r="BY77" s="12">
        <f>IF('Données projet'!$A$114&gt;35,BY76+BX77-CG76,IF(A77&lt;'Données projet'!$A$114,$BV$205^A77,IF(A77='Données projet'!$A$114,'Données projet'!$B$114,BY76+BX77-CG76)))</f>
        <v>280.79999999999973</v>
      </c>
      <c r="BZ77" s="13">
        <f>BY77*VLOOKUP('Données projet'!$B$12,Paramètres!$A$1:$I$89,3,0)*VLOOKUP('Données projet'!$B$12,Paramètres!$A$1:$I$89,5,0)</f>
        <v>219.0239999999998</v>
      </c>
      <c r="CA77" s="13">
        <f t="shared" si="93"/>
        <v>53.902702081308306</v>
      </c>
      <c r="CB77" s="20">
        <f t="shared" si="64"/>
        <v>475.34733945827821</v>
      </c>
      <c r="CC77" s="59">
        <f t="shared" si="65"/>
        <v>768.68067279161153</v>
      </c>
      <c r="CD77" s="59">
        <f ca="1">AVERAGE(OFFSET($CC$3,0,0,'Données projet'!$E$12+1,1))-AVERAGE(OFFSET($H$3,0,0,'Données projet'!$E$12+1,1))</f>
        <v>286.5685205631126</v>
      </c>
      <c r="CE77" s="59">
        <f t="shared" si="94"/>
        <v>264.17357326498581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0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0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6.1</v>
      </c>
      <c r="N78" s="13">
        <f>IF('Données projet'!$A$36&gt;35,N77+M78-V77,IF(A78&lt;'Données projet'!$A$36,$K$205^A78,IF(A78='Données projet'!$A$36,'Données projet'!$B$36,N77+M78-V77)))</f>
        <v>251.50000000000023</v>
      </c>
      <c r="O78" s="13">
        <f>N78*VLOOKUP('Données projet'!$B$9,Paramètres!$A$1:$I$89,3,0)*VLOOKUP('Données projet'!$B$9,Paramètres!$A$1:$I$89,5,0)</f>
        <v>227.55720000000019</v>
      </c>
      <c r="P78" s="13">
        <f t="shared" si="87"/>
        <v>55.754163267932753</v>
      </c>
      <c r="Q78" s="20">
        <f t="shared" si="54"/>
        <v>493.43395769164994</v>
      </c>
      <c r="R78" s="59">
        <f t="shared" si="55"/>
        <v>786.76729102498325</v>
      </c>
      <c r="S78" s="59">
        <f ca="1">AVERAGE(OFFSET($R$3,0,0,'Données projet'!$E$9+1,1))-AVERAGE(OFFSET($H$3,0,0,'Données projet'!$E$9+1,1))</f>
        <v>346.35147716792028</v>
      </c>
      <c r="T78" s="59">
        <f t="shared" si="88"/>
        <v>231.36959598460686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0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1.2903736308287587E-6</v>
      </c>
      <c r="AC78" s="22">
        <f t="shared" si="57"/>
        <v>1.2903736308287587E-6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6.1</v>
      </c>
      <c r="AI78" s="13">
        <f>IF('Données projet'!$A$62&gt;35,AI77+AH78-AQ77,IF(A78&lt;'Données projet'!$A$62,$AF$205^A78,IF(A78='Données projet'!$A$62,'Données projet'!$B$62,AI77+AH78-AQ77)))</f>
        <v>251.50000000000023</v>
      </c>
      <c r="AJ78" s="13">
        <f>AI78*VLOOKUP('Données projet'!$B$10,Paramètres!$A$1:$I$89,3,0)*VLOOKUP('Données projet'!$B$10,Paramètres!$A$1:$I$89,5,0)</f>
        <v>227.55720000000019</v>
      </c>
      <c r="AK78" s="13">
        <f t="shared" si="89"/>
        <v>55.754163267932753</v>
      </c>
      <c r="AL78" s="20">
        <f t="shared" si="58"/>
        <v>493.43395769164994</v>
      </c>
      <c r="AM78" s="59">
        <f t="shared" si="59"/>
        <v>786.76729102498325</v>
      </c>
      <c r="AN78" s="59">
        <f ca="1">AVERAGE(OFFSET($AM$3,0,0,'Données projet'!$E$10+1,1))-AVERAGE(OFFSET($H$3,0,0,'Données projet'!$E$10+1,1))</f>
        <v>346.35147716792028</v>
      </c>
      <c r="AO78" s="59">
        <f t="shared" si="90"/>
        <v>231.36959598460686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0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1.2903736308287587E-6</v>
      </c>
      <c r="AX78" s="21">
        <f t="shared" si="60"/>
        <v>1.2903736308287587E-6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1.1368683772161603E-13</v>
      </c>
      <c r="BE78" s="13">
        <f>BD78*VLOOKUP('Données projet'!$B$11,Paramètres!$A$1:$I$89,3,0)*VLOOKUP('Données projet'!$B$11,Paramètres!$A$1:$I$89,5,0)</f>
        <v>6.7984728957526396E-14</v>
      </c>
      <c r="BF78" s="13">
        <f t="shared" si="91"/>
        <v>1.0682447123141398E-12</v>
      </c>
      <c r="BG78" s="20">
        <f t="shared" si="61"/>
        <v>1.978932943548152E-12</v>
      </c>
      <c r="BH78" s="59">
        <f t="shared" si="62"/>
        <v>293.3333333333353</v>
      </c>
      <c r="BI78" s="59">
        <f ca="1">AVERAGE(OFFSET($BH$3,0,0,'Données projet'!$E$11+1,1))-AVERAGE(OFFSET($H$3,0,0,'Données projet'!$E$11+1,1))</f>
        <v>257.80952690600492</v>
      </c>
      <c r="BJ78" s="59">
        <f t="shared" si="92"/>
        <v>269.95358755269427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#VALUE!</v>
      </c>
      <c r="BQ78" s="21" t="e">
        <f>EXP(-LN(2)/25)*BQ77+(1-EXP(-LN(2)/25))/(LN(2)/25)*Calculateur!BL78*Calculateur!BN78*VLOOKUP('Données projet'!$B$11,Paramètres!$A$1:$I$89,3,0)*0.475*44/12</f>
        <v>#VALUE!</v>
      </c>
      <c r="BR78" s="21" t="e">
        <f>EXP(-LN(2)/2)*BR77+(1-EXP(-LN(2)/2))/(LN(2)/2)*BL78*BO78*VLOOKUP('Données projet'!$B$11,Paramètres!$A$1:$I$89,3,0)*0.475*44/12</f>
        <v>#VALUE!</v>
      </c>
      <c r="BS78" s="22" t="e">
        <f t="shared" si="63"/>
        <v>#VALUE!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286</v>
      </c>
      <c r="BW78" s="12">
        <f>VLOOKUP(A78,'Données projet'!$A$113:$I$133,9,0)</f>
        <v>5.2</v>
      </c>
      <c r="BX78" s="12">
        <f t="array" ref="BX78">INDEX(BW:BW,MIN(IF(ISNUMBER(BW78:BW274),ROW(BW78:BW274),"")))</f>
        <v>5.2</v>
      </c>
      <c r="BY78" s="12">
        <f>IF('Données projet'!$A$114&gt;35,BY77+BX78-CG77,IF(A78&lt;'Données projet'!$A$114,$BV$205^A78,IF(A78='Données projet'!$A$114,'Données projet'!$B$114,BY77+BX78-CG77)))</f>
        <v>285.99999999999972</v>
      </c>
      <c r="BZ78" s="13">
        <f>BY78*VLOOKUP('Données projet'!$B$12,Paramètres!$A$1:$I$89,3,0)*VLOOKUP('Données projet'!$B$12,Paramètres!$A$1:$I$89,5,0)</f>
        <v>223.07999999999979</v>
      </c>
      <c r="CA78" s="13">
        <f t="shared" si="93"/>
        <v>54.783765878062617</v>
      </c>
      <c r="CB78" s="20">
        <f t="shared" si="64"/>
        <v>483.94605890429199</v>
      </c>
      <c r="CC78" s="59">
        <f t="shared" si="65"/>
        <v>777.2793922376253</v>
      </c>
      <c r="CD78" s="59">
        <f ca="1">AVERAGE(OFFSET($CC$3,0,0,'Données projet'!$E$12+1,1))-AVERAGE(OFFSET($H$3,0,0,'Données projet'!$E$12+1,1))</f>
        <v>286.5685205631126</v>
      </c>
      <c r="CE78" s="59">
        <f t="shared" si="94"/>
        <v>264.17357326498581</v>
      </c>
      <c r="CF78" s="15" t="str">
        <f>IF(ISNA(VLOOKUP(A78,'Données projet'!$A$113:$I$133,3,0)),0,VLOOKUP(A78,'Données projet'!$A$113:$I$133,3,0))</f>
        <v>CR</v>
      </c>
      <c r="CG78" s="15">
        <f>IF(ISNA(VLOOKUP(A78,'Données projet'!$A$113:$I$133,4,0)),0,VLOOKUP(A78,'Données projet'!$A$113:$I$133,4,0))</f>
        <v>561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0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0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6.1</v>
      </c>
      <c r="N79" s="13">
        <f>IF('Données projet'!$A$36&gt;35,N78+M79-V78,IF(A79&lt;'Données projet'!$A$36,$K$205^A79,IF(A79='Données projet'!$A$36,'Données projet'!$B$36,N78+M79-V78)))</f>
        <v>257.60000000000025</v>
      </c>
      <c r="O79" s="13">
        <f>N79*VLOOKUP('Données projet'!$B$9,Paramètres!$A$1:$I$89,3,0)*VLOOKUP('Données projet'!$B$9,Paramètres!$A$1:$I$89,5,0)</f>
        <v>233.0764800000002</v>
      </c>
      <c r="P79" s="13">
        <f t="shared" si="87"/>
        <v>56.947373142454929</v>
      </c>
      <c r="Q79" s="20">
        <f t="shared" si="54"/>
        <v>505.1248775564427</v>
      </c>
      <c r="R79" s="59">
        <f t="shared" si="55"/>
        <v>798.45821088977596</v>
      </c>
      <c r="S79" s="59">
        <f ca="1">AVERAGE(OFFSET($R$3,0,0,'Données projet'!$E$9+1,1))-AVERAGE(OFFSET($H$3,0,0,'Données projet'!$E$9+1,1))</f>
        <v>346.35147716792028</v>
      </c>
      <c r="T79" s="59">
        <f t="shared" si="88"/>
        <v>231.36959598460686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0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9.12431944623322E-7</v>
      </c>
      <c r="AC79" s="22">
        <f t="shared" si="57"/>
        <v>9.12431944623322E-7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6.1</v>
      </c>
      <c r="AI79" s="13">
        <f>IF('Données projet'!$A$62&gt;35,AI78+AH79-AQ78,IF(A79&lt;'Données projet'!$A$62,$AF$205^A79,IF(A79='Données projet'!$A$62,'Données projet'!$B$62,AI78+AH79-AQ78)))</f>
        <v>257.60000000000025</v>
      </c>
      <c r="AJ79" s="13">
        <f>AI79*VLOOKUP('Données projet'!$B$10,Paramètres!$A$1:$I$89,3,0)*VLOOKUP('Données projet'!$B$10,Paramètres!$A$1:$I$89,5,0)</f>
        <v>233.0764800000002</v>
      </c>
      <c r="AK79" s="13">
        <f t="shared" si="89"/>
        <v>56.947373142454929</v>
      </c>
      <c r="AL79" s="20">
        <f t="shared" si="58"/>
        <v>505.1248775564427</v>
      </c>
      <c r="AM79" s="59">
        <f t="shared" si="59"/>
        <v>798.45821088977596</v>
      </c>
      <c r="AN79" s="59">
        <f ca="1">AVERAGE(OFFSET($AM$3,0,0,'Données projet'!$E$10+1,1))-AVERAGE(OFFSET($H$3,0,0,'Données projet'!$E$10+1,1))</f>
        <v>346.35147716792028</v>
      </c>
      <c r="AO79" s="59">
        <f t="shared" si="90"/>
        <v>231.36959598460686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0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9.12431944623322E-7</v>
      </c>
      <c r="AX79" s="21">
        <f t="shared" si="60"/>
        <v>9.12431944623322E-7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1.1368683772161603E-13</v>
      </c>
      <c r="BE79" s="13">
        <f>BD79*VLOOKUP('Données projet'!$B$11,Paramètres!$A$1:$I$89,3,0)*VLOOKUP('Données projet'!$B$11,Paramètres!$A$1:$I$89,5,0)</f>
        <v>6.7984728957526396E-14</v>
      </c>
      <c r="BF79" s="13">
        <f t="shared" si="91"/>
        <v>1.0682447123141398E-12</v>
      </c>
      <c r="BG79" s="20">
        <f t="shared" si="61"/>
        <v>1.978932943548152E-12</v>
      </c>
      <c r="BH79" s="59">
        <f t="shared" si="62"/>
        <v>293.3333333333353</v>
      </c>
      <c r="BI79" s="59">
        <f ca="1">AVERAGE(OFFSET($BH$3,0,0,'Données projet'!$E$11+1,1))-AVERAGE(OFFSET($H$3,0,0,'Données projet'!$E$11+1,1))</f>
        <v>257.80952690600492</v>
      </c>
      <c r="BJ79" s="59">
        <f t="shared" si="92"/>
        <v>269.95358755269427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#VALUE!</v>
      </c>
      <c r="BQ79" s="21" t="e">
        <f>EXP(-LN(2)/25)*BQ78+(1-EXP(-LN(2)/25))/(LN(2)/25)*Calculateur!BL79*Calculateur!BN79*VLOOKUP('Données projet'!$B$11,Paramètres!$A$1:$I$89,3,0)*0.475*44/12</f>
        <v>#VALUE!</v>
      </c>
      <c r="BR79" s="21" t="e">
        <f>EXP(-LN(2)/2)*BR78+(1-EXP(-LN(2)/2))/(LN(2)/2)*BL79*BO79*VLOOKUP('Données projet'!$B$11,Paramètres!$A$1:$I$89,3,0)*0.475*44/12</f>
        <v>#VALUE!</v>
      </c>
      <c r="BS79" s="22" t="e">
        <f t="shared" si="63"/>
        <v>#VALUE!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-275.00000000000028</v>
      </c>
      <c r="BZ79" s="13">
        <f>BY79*VLOOKUP('Données projet'!$B$12,Paramètres!$A$1:$I$89,3,0)*VLOOKUP('Données projet'!$B$12,Paramètres!$A$1:$I$89,5,0)</f>
        <v>-214.50000000000023</v>
      </c>
      <c r="CA79" s="13" t="e">
        <f t="shared" si="93"/>
        <v>#NUM!</v>
      </c>
      <c r="CB79" s="20" t="e">
        <f t="shared" si="64"/>
        <v>#NUM!</v>
      </c>
      <c r="CC79" s="59" t="e">
        <f t="shared" si="65"/>
        <v>#NUM!</v>
      </c>
      <c r="CD79" s="59">
        <f ca="1">AVERAGE(OFFSET($CC$3,0,0,'Données projet'!$E$12+1,1))-AVERAGE(OFFSET($H$3,0,0,'Données projet'!$E$12+1,1))</f>
        <v>286.5685205631126</v>
      </c>
      <c r="CE79" s="59">
        <f t="shared" si="94"/>
        <v>264.17357326498581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0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0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6.1</v>
      </c>
      <c r="N80" s="13">
        <f>IF('Données projet'!$A$36&gt;35,N79+M80-V79,IF(A80&lt;'Données projet'!$A$36,$K$205^A80,IF(A80='Données projet'!$A$36,'Données projet'!$B$36,N79+M80-V79)))</f>
        <v>263.70000000000027</v>
      </c>
      <c r="O80" s="13">
        <f>N80*VLOOKUP('Données projet'!$B$9,Paramètres!$A$1:$I$89,3,0)*VLOOKUP('Données projet'!$B$9,Paramètres!$A$1:$I$89,5,0)</f>
        <v>238.59576000000024</v>
      </c>
      <c r="P80" s="13">
        <f t="shared" si="87"/>
        <v>58.137298297430824</v>
      </c>
      <c r="Q80" s="20">
        <f t="shared" si="54"/>
        <v>516.81007653469237</v>
      </c>
      <c r="R80" s="59">
        <f t="shared" si="55"/>
        <v>810.14340986802563</v>
      </c>
      <c r="S80" s="59">
        <f ca="1">AVERAGE(OFFSET($R$3,0,0,'Données projet'!$E$9+1,1))-AVERAGE(OFFSET($H$3,0,0,'Données projet'!$E$9+1,1))</f>
        <v>346.35147716792028</v>
      </c>
      <c r="T80" s="59">
        <f t="shared" si="88"/>
        <v>231.36959598460686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0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6.4518681541437943E-7</v>
      </c>
      <c r="AC80" s="22">
        <f t="shared" si="57"/>
        <v>6.4518681541437943E-7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6.1</v>
      </c>
      <c r="AI80" s="13">
        <f>IF('Données projet'!$A$62&gt;35,AI79+AH80-AQ79,IF(A80&lt;'Données projet'!$A$62,$AF$205^A80,IF(A80='Données projet'!$A$62,'Données projet'!$B$62,AI79+AH80-AQ79)))</f>
        <v>263.70000000000027</v>
      </c>
      <c r="AJ80" s="13">
        <f>AI80*VLOOKUP('Données projet'!$B$10,Paramètres!$A$1:$I$89,3,0)*VLOOKUP('Données projet'!$B$10,Paramètres!$A$1:$I$89,5,0)</f>
        <v>238.59576000000024</v>
      </c>
      <c r="AK80" s="13">
        <f t="shared" si="89"/>
        <v>58.137298297430824</v>
      </c>
      <c r="AL80" s="20">
        <f t="shared" si="58"/>
        <v>516.81007653469237</v>
      </c>
      <c r="AM80" s="59">
        <f t="shared" si="59"/>
        <v>810.14340986802563</v>
      </c>
      <c r="AN80" s="59">
        <f ca="1">AVERAGE(OFFSET($AM$3,0,0,'Données projet'!$E$10+1,1))-AVERAGE(OFFSET($H$3,0,0,'Données projet'!$E$10+1,1))</f>
        <v>346.35147716792028</v>
      </c>
      <c r="AO80" s="59">
        <f t="shared" si="90"/>
        <v>231.36959598460686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0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6.4518681541437943E-7</v>
      </c>
      <c r="AX80" s="21">
        <f t="shared" si="60"/>
        <v>6.4518681541437943E-7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1.1368683772161603E-13</v>
      </c>
      <c r="BE80" s="13">
        <f>BD80*VLOOKUP('Données projet'!$B$11,Paramètres!$A$1:$I$89,3,0)*VLOOKUP('Données projet'!$B$11,Paramètres!$A$1:$I$89,5,0)</f>
        <v>6.7984728957526396E-14</v>
      </c>
      <c r="BF80" s="13">
        <f t="shared" si="91"/>
        <v>1.0682447123141398E-12</v>
      </c>
      <c r="BG80" s="20">
        <f t="shared" si="61"/>
        <v>1.978932943548152E-12</v>
      </c>
      <c r="BH80" s="59">
        <f t="shared" si="62"/>
        <v>293.3333333333353</v>
      </c>
      <c r="BI80" s="59">
        <f ca="1">AVERAGE(OFFSET($BH$3,0,0,'Données projet'!$E$11+1,1))-AVERAGE(OFFSET($H$3,0,0,'Données projet'!$E$11+1,1))</f>
        <v>257.80952690600492</v>
      </c>
      <c r="BJ80" s="59">
        <f t="shared" si="92"/>
        <v>269.95358755269427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#VALUE!</v>
      </c>
      <c r="BQ80" s="21" t="e">
        <f>EXP(-LN(2)/25)*BQ79+(1-EXP(-LN(2)/25))/(LN(2)/25)*Calculateur!BL80*Calculateur!BN80*VLOOKUP('Données projet'!$B$11,Paramètres!$A$1:$I$89,3,0)*0.475*44/12</f>
        <v>#VALUE!</v>
      </c>
      <c r="BR80" s="21" t="e">
        <f>EXP(-LN(2)/2)*BR79+(1-EXP(-LN(2)/2))/(LN(2)/2)*BL80*BO80*VLOOKUP('Données projet'!$B$11,Paramètres!$A$1:$I$89,3,0)*0.475*44/12</f>
        <v>#VALUE!</v>
      </c>
      <c r="BS80" s="22" t="e">
        <f t="shared" si="63"/>
        <v>#VALUE!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-275.00000000000028</v>
      </c>
      <c r="BZ80" s="13">
        <f>BY80*VLOOKUP('Données projet'!$B$12,Paramètres!$A$1:$I$89,3,0)*VLOOKUP('Données projet'!$B$12,Paramètres!$A$1:$I$89,5,0)</f>
        <v>-214.50000000000023</v>
      </c>
      <c r="CA80" s="13" t="e">
        <f t="shared" si="93"/>
        <v>#NUM!</v>
      </c>
      <c r="CB80" s="20" t="e">
        <f t="shared" si="64"/>
        <v>#NUM!</v>
      </c>
      <c r="CC80" s="59" t="e">
        <f t="shared" si="65"/>
        <v>#NUM!</v>
      </c>
      <c r="CD80" s="59">
        <f ca="1">AVERAGE(OFFSET($CC$3,0,0,'Données projet'!$E$12+1,1))-AVERAGE(OFFSET($H$3,0,0,'Données projet'!$E$12+1,1))</f>
        <v>286.5685205631126</v>
      </c>
      <c r="CE80" s="59">
        <f t="shared" si="94"/>
        <v>264.17357326498581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0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0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6.1</v>
      </c>
      <c r="N81" s="13">
        <f>IF('Données projet'!$A$36&gt;35,N80+M81-V80,IF(A81&lt;'Données projet'!$A$36,$K$205^A81,IF(A81='Données projet'!$A$36,'Données projet'!$B$36,N80+M81-V80)))</f>
        <v>269.8000000000003</v>
      </c>
      <c r="O81" s="13">
        <f>N81*VLOOKUP('Données projet'!$B$9,Paramètres!$A$1:$I$89,3,0)*VLOOKUP('Données projet'!$B$9,Paramètres!$A$1:$I$89,5,0)</f>
        <v>244.11504000000025</v>
      </c>
      <c r="P81" s="13">
        <f t="shared" si="87"/>
        <v>59.324023461759118</v>
      </c>
      <c r="Q81" s="20">
        <f t="shared" si="54"/>
        <v>528.48970219589762</v>
      </c>
      <c r="R81" s="59">
        <f t="shared" si="55"/>
        <v>821.82303552923099</v>
      </c>
      <c r="S81" s="59">
        <f ca="1">AVERAGE(OFFSET($R$3,0,0,'Données projet'!$E$9+1,1))-AVERAGE(OFFSET($H$3,0,0,'Données projet'!$E$9+1,1))</f>
        <v>346.35147716792028</v>
      </c>
      <c r="T81" s="59">
        <f t="shared" si="88"/>
        <v>231.36959598460686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0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4.5621597231166105E-7</v>
      </c>
      <c r="AC81" s="22">
        <f t="shared" si="57"/>
        <v>4.5621597231166105E-7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6.1</v>
      </c>
      <c r="AI81" s="13">
        <f>IF('Données projet'!$A$62&gt;35,AI80+AH81-AQ80,IF(A81&lt;'Données projet'!$A$62,$AF$205^A81,IF(A81='Données projet'!$A$62,'Données projet'!$B$62,AI80+AH81-AQ80)))</f>
        <v>269.8000000000003</v>
      </c>
      <c r="AJ81" s="13">
        <f>AI81*VLOOKUP('Données projet'!$B$10,Paramètres!$A$1:$I$89,3,0)*VLOOKUP('Données projet'!$B$10,Paramètres!$A$1:$I$89,5,0)</f>
        <v>244.11504000000025</v>
      </c>
      <c r="AK81" s="13">
        <f t="shared" si="89"/>
        <v>59.324023461759118</v>
      </c>
      <c r="AL81" s="20">
        <f t="shared" si="58"/>
        <v>528.48970219589762</v>
      </c>
      <c r="AM81" s="59">
        <f t="shared" si="59"/>
        <v>821.82303552923099</v>
      </c>
      <c r="AN81" s="59">
        <f ca="1">AVERAGE(OFFSET($AM$3,0,0,'Données projet'!$E$10+1,1))-AVERAGE(OFFSET($H$3,0,0,'Données projet'!$E$10+1,1))</f>
        <v>346.35147716792028</v>
      </c>
      <c r="AO81" s="59">
        <f t="shared" si="90"/>
        <v>231.36959598460686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0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4.5621597231166105E-7</v>
      </c>
      <c r="AX81" s="21">
        <f t="shared" si="60"/>
        <v>4.5621597231166105E-7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1.1368683772161603E-13</v>
      </c>
      <c r="BE81" s="13">
        <f>BD81*VLOOKUP('Données projet'!$B$11,Paramètres!$A$1:$I$89,3,0)*VLOOKUP('Données projet'!$B$11,Paramètres!$A$1:$I$89,5,0)</f>
        <v>6.7984728957526396E-14</v>
      </c>
      <c r="BF81" s="13">
        <f t="shared" si="91"/>
        <v>1.0682447123141398E-12</v>
      </c>
      <c r="BG81" s="20">
        <f t="shared" si="61"/>
        <v>1.978932943548152E-12</v>
      </c>
      <c r="BH81" s="59">
        <f t="shared" si="62"/>
        <v>293.3333333333353</v>
      </c>
      <c r="BI81" s="59">
        <f ca="1">AVERAGE(OFFSET($BH$3,0,0,'Données projet'!$E$11+1,1))-AVERAGE(OFFSET($H$3,0,0,'Données projet'!$E$11+1,1))</f>
        <v>257.80952690600492</v>
      </c>
      <c r="BJ81" s="59">
        <f t="shared" si="92"/>
        <v>269.95358755269427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#VALUE!</v>
      </c>
      <c r="BQ81" s="21" t="e">
        <f>EXP(-LN(2)/25)*BQ80+(1-EXP(-LN(2)/25))/(LN(2)/25)*Calculateur!BL81*Calculateur!BN81*VLOOKUP('Données projet'!$B$11,Paramètres!$A$1:$I$89,3,0)*0.475*44/12</f>
        <v>#VALUE!</v>
      </c>
      <c r="BR81" s="21" t="e">
        <f>EXP(-LN(2)/2)*BR80+(1-EXP(-LN(2)/2))/(LN(2)/2)*BL81*BO81*VLOOKUP('Données projet'!$B$11,Paramètres!$A$1:$I$89,3,0)*0.475*44/12</f>
        <v>#VALUE!</v>
      </c>
      <c r="BS81" s="22" t="e">
        <f t="shared" si="63"/>
        <v>#VALUE!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-275.00000000000028</v>
      </c>
      <c r="BZ81" s="13">
        <f>BY81*VLOOKUP('Données projet'!$B$12,Paramètres!$A$1:$I$89,3,0)*VLOOKUP('Données projet'!$B$12,Paramètres!$A$1:$I$89,5,0)</f>
        <v>-214.50000000000023</v>
      </c>
      <c r="CA81" s="13" t="e">
        <f t="shared" si="93"/>
        <v>#NUM!</v>
      </c>
      <c r="CB81" s="20" t="e">
        <f t="shared" si="64"/>
        <v>#NUM!</v>
      </c>
      <c r="CC81" s="59" t="e">
        <f t="shared" si="65"/>
        <v>#NUM!</v>
      </c>
      <c r="CD81" s="59">
        <f ca="1">AVERAGE(OFFSET($CC$3,0,0,'Données projet'!$E$12+1,1))-AVERAGE(OFFSET($H$3,0,0,'Données projet'!$E$12+1,1))</f>
        <v>286.5685205631126</v>
      </c>
      <c r="CE81" s="59">
        <f t="shared" si="94"/>
        <v>264.17357326498581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0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0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6.1</v>
      </c>
      <c r="N82" s="13">
        <f>IF('Données projet'!$A$36&gt;35,N81+M82-V81,IF(A82&lt;'Données projet'!$A$36,$K$205^A82,IF(A82='Données projet'!$A$36,'Données projet'!$B$36,N81+M82-V81)))</f>
        <v>275.90000000000032</v>
      </c>
      <c r="O82" s="13">
        <f>N82*VLOOKUP('Données projet'!$B$9,Paramètres!$A$1:$I$89,3,0)*VLOOKUP('Données projet'!$B$9,Paramètres!$A$1:$I$89,5,0)</f>
        <v>249.63432000000026</v>
      </c>
      <c r="P82" s="13">
        <f t="shared" si="87"/>
        <v>60.507629314318471</v>
      </c>
      <c r="Q82" s="20">
        <f t="shared" si="54"/>
        <v>540.16389505577172</v>
      </c>
      <c r="R82" s="59">
        <f t="shared" si="55"/>
        <v>833.49722838910498</v>
      </c>
      <c r="S82" s="59">
        <f ca="1">AVERAGE(OFFSET($R$3,0,0,'Données projet'!$E$9+1,1))-AVERAGE(OFFSET($H$3,0,0,'Données projet'!$E$9+1,1))</f>
        <v>346.35147716792028</v>
      </c>
      <c r="T82" s="59">
        <f t="shared" si="88"/>
        <v>231.36959598460686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0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3.2259340770718977E-7</v>
      </c>
      <c r="AC82" s="22">
        <f t="shared" si="57"/>
        <v>3.2259340770718977E-7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6.1</v>
      </c>
      <c r="AI82" s="13">
        <f>IF('Données projet'!$A$62&gt;35,AI81+AH82-AQ81,IF(A82&lt;'Données projet'!$A$62,$AF$205^A82,IF(A82='Données projet'!$A$62,'Données projet'!$B$62,AI81+AH82-AQ81)))</f>
        <v>275.90000000000032</v>
      </c>
      <c r="AJ82" s="13">
        <f>AI82*VLOOKUP('Données projet'!$B$10,Paramètres!$A$1:$I$89,3,0)*VLOOKUP('Données projet'!$B$10,Paramètres!$A$1:$I$89,5,0)</f>
        <v>249.63432000000026</v>
      </c>
      <c r="AK82" s="13">
        <f t="shared" si="89"/>
        <v>60.507629314318471</v>
      </c>
      <c r="AL82" s="20">
        <f t="shared" si="58"/>
        <v>540.16389505577172</v>
      </c>
      <c r="AM82" s="59">
        <f t="shared" si="59"/>
        <v>833.49722838910498</v>
      </c>
      <c r="AN82" s="59">
        <f ca="1">AVERAGE(OFFSET($AM$3,0,0,'Données projet'!$E$10+1,1))-AVERAGE(OFFSET($H$3,0,0,'Données projet'!$E$10+1,1))</f>
        <v>346.35147716792028</v>
      </c>
      <c r="AO82" s="59">
        <f t="shared" si="90"/>
        <v>231.36959598460686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0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3.2259340770718977E-7</v>
      </c>
      <c r="AX82" s="21">
        <f t="shared" si="60"/>
        <v>3.2259340770718977E-7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1.1368683772161603E-13</v>
      </c>
      <c r="BE82" s="13">
        <f>BD82*VLOOKUP('Données projet'!$B$11,Paramètres!$A$1:$I$89,3,0)*VLOOKUP('Données projet'!$B$11,Paramètres!$A$1:$I$89,5,0)</f>
        <v>6.7984728957526396E-14</v>
      </c>
      <c r="BF82" s="13">
        <f t="shared" si="91"/>
        <v>1.0682447123141398E-12</v>
      </c>
      <c r="BG82" s="20">
        <f t="shared" si="61"/>
        <v>1.978932943548152E-12</v>
      </c>
      <c r="BH82" s="59">
        <f t="shared" si="62"/>
        <v>293.3333333333353</v>
      </c>
      <c r="BI82" s="59">
        <f ca="1">AVERAGE(OFFSET($BH$3,0,0,'Données projet'!$E$11+1,1))-AVERAGE(OFFSET($H$3,0,0,'Données projet'!$E$11+1,1))</f>
        <v>257.80952690600492</v>
      </c>
      <c r="BJ82" s="59">
        <f t="shared" si="92"/>
        <v>269.95358755269427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#VALUE!</v>
      </c>
      <c r="BQ82" s="21" t="e">
        <f>EXP(-LN(2)/25)*BQ81+(1-EXP(-LN(2)/25))/(LN(2)/25)*Calculateur!BL82*Calculateur!BN82*VLOOKUP('Données projet'!$B$11,Paramètres!$A$1:$I$89,3,0)*0.475*44/12</f>
        <v>#VALUE!</v>
      </c>
      <c r="BR82" s="21" t="e">
        <f>EXP(-LN(2)/2)*BR81+(1-EXP(-LN(2)/2))/(LN(2)/2)*BL82*BO82*VLOOKUP('Données projet'!$B$11,Paramètres!$A$1:$I$89,3,0)*0.475*44/12</f>
        <v>#VALUE!</v>
      </c>
      <c r="BS82" s="22" t="e">
        <f t="shared" si="63"/>
        <v>#VALUE!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-275.00000000000028</v>
      </c>
      <c r="BZ82" s="13">
        <f>BY82*VLOOKUP('Données projet'!$B$12,Paramètres!$A$1:$I$89,3,0)*VLOOKUP('Données projet'!$B$12,Paramètres!$A$1:$I$89,5,0)</f>
        <v>-214.50000000000023</v>
      </c>
      <c r="CA82" s="13" t="e">
        <f t="shared" si="93"/>
        <v>#NUM!</v>
      </c>
      <c r="CB82" s="20" t="e">
        <f t="shared" si="64"/>
        <v>#NUM!</v>
      </c>
      <c r="CC82" s="59" t="e">
        <f t="shared" si="65"/>
        <v>#NUM!</v>
      </c>
      <c r="CD82" s="59">
        <f ca="1">AVERAGE(OFFSET($CC$3,0,0,'Données projet'!$E$12+1,1))-AVERAGE(OFFSET($H$3,0,0,'Données projet'!$E$12+1,1))</f>
        <v>286.5685205631126</v>
      </c>
      <c r="CE82" s="59">
        <f t="shared" si="94"/>
        <v>264.17357326498581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0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0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282</v>
      </c>
      <c r="L83" s="12">
        <f>VLOOKUP(A83,'Données projet'!$A$35:$I$55,9,0)</f>
        <v>6.1</v>
      </c>
      <c r="M83" s="12">
        <f t="array" ref="M83">INDEX(L:L,MIN(IF(ISNUMBER(L83:L279),ROW(L83:L279),"")))</f>
        <v>6.1</v>
      </c>
      <c r="N83" s="13">
        <f>IF('Données projet'!$A$36&gt;35,N82+M83-V82,IF(A83&lt;'Données projet'!$A$36,$K$205^A83,IF(A83='Données projet'!$A$36,'Données projet'!$B$36,N82+M83-V82)))</f>
        <v>282.00000000000034</v>
      </c>
      <c r="O83" s="13">
        <f>N83*VLOOKUP('Données projet'!$B$9,Paramètres!$A$1:$I$89,3,0)*VLOOKUP('Données projet'!$B$9,Paramètres!$A$1:$I$89,5,0)</f>
        <v>255.15360000000027</v>
      </c>
      <c r="P83" s="13">
        <f t="shared" si="87"/>
        <v>61.688192762754483</v>
      </c>
      <c r="Q83" s="20">
        <f t="shared" si="54"/>
        <v>551.83278906179783</v>
      </c>
      <c r="R83" s="59">
        <f t="shared" si="55"/>
        <v>845.1661223951312</v>
      </c>
      <c r="S83" s="59">
        <f ca="1">AVERAGE(OFFSET($R$3,0,0,'Données projet'!$E$9+1,1))-AVERAGE(OFFSET($H$3,0,0,'Données projet'!$E$9+1,1))</f>
        <v>346.35147716792028</v>
      </c>
      <c r="T83" s="59">
        <f t="shared" si="88"/>
        <v>231.36959598460686</v>
      </c>
      <c r="U83" s="15">
        <f>IF(ISNA(VLOOKUP(A83,'Données projet'!$A$35:$I$55,3,0)),0,VLOOKUP(A83,'Données projet'!$A$35:$I$55,3,0))</f>
        <v>7</v>
      </c>
      <c r="V83" s="15">
        <f>IF(ISNA(VLOOKUP(A83,'Données projet'!$A$35:$I$55,4,0)),0,VLOOKUP(A83,'Données projet'!$A$35:$I$55,4,0))</f>
        <v>42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0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2.2810798615583055E-7</v>
      </c>
      <c r="AC83" s="22">
        <f t="shared" si="57"/>
        <v>2.2810798615583055E-7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282</v>
      </c>
      <c r="AG83" s="12">
        <f>VLOOKUP(A83,'Données projet'!$A$61:$I$81,9,0)</f>
        <v>6.1</v>
      </c>
      <c r="AH83" s="12">
        <f t="array" ref="AH83">INDEX(AG:AG,MIN(IF(ISNUMBER(AG83:AG279),ROW(AG83:AG279),"")))</f>
        <v>6.1</v>
      </c>
      <c r="AI83" s="13">
        <f>IF('Données projet'!$A$62&gt;35,AI82+AH83-AQ82,IF(A83&lt;'Données projet'!$A$62,$AF$205^A83,IF(A83='Données projet'!$A$62,'Données projet'!$B$62,AI82+AH83-AQ82)))</f>
        <v>282.00000000000034</v>
      </c>
      <c r="AJ83" s="13">
        <f>AI83*VLOOKUP('Données projet'!$B$10,Paramètres!$A$1:$I$89,3,0)*VLOOKUP('Données projet'!$B$10,Paramètres!$A$1:$I$89,5,0)</f>
        <v>255.15360000000027</v>
      </c>
      <c r="AK83" s="13">
        <f t="shared" si="89"/>
        <v>61.688192762754483</v>
      </c>
      <c r="AL83" s="20">
        <f t="shared" si="58"/>
        <v>551.83278906179783</v>
      </c>
      <c r="AM83" s="59">
        <f t="shared" si="59"/>
        <v>845.1661223951312</v>
      </c>
      <c r="AN83" s="59">
        <f ca="1">AVERAGE(OFFSET($AM$3,0,0,'Données projet'!$E$10+1,1))-AVERAGE(OFFSET($H$3,0,0,'Données projet'!$E$10+1,1))</f>
        <v>346.35147716792028</v>
      </c>
      <c r="AO83" s="59">
        <f t="shared" si="90"/>
        <v>231.36959598460686</v>
      </c>
      <c r="AP83" s="15">
        <f>IF(ISNA(VLOOKUP(A83,'Données projet'!$A$61:$I$81,3,0)),0,VLOOKUP(A83,'Données projet'!$A$61:$I$81,3,0))</f>
        <v>7</v>
      </c>
      <c r="AQ83" s="15">
        <f>IF(ISNA(VLOOKUP(A83,'Données projet'!$A$61:$I$81,4,0)),0,VLOOKUP(A83,'Données projet'!$A$61:$I$81,4,0))</f>
        <v>42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0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2.2810798615583055E-7</v>
      </c>
      <c r="AX83" s="21">
        <f t="shared" si="60"/>
        <v>2.2810798615583055E-7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1.1368683772161603E-13</v>
      </c>
      <c r="BE83" s="13">
        <f>BD83*VLOOKUP('Données projet'!$B$11,Paramètres!$A$1:$I$89,3,0)*VLOOKUP('Données projet'!$B$11,Paramètres!$A$1:$I$89,5,0)</f>
        <v>6.7984728957526396E-14</v>
      </c>
      <c r="BF83" s="13">
        <f t="shared" si="91"/>
        <v>1.0682447123141398E-12</v>
      </c>
      <c r="BG83" s="20">
        <f t="shared" si="61"/>
        <v>1.978932943548152E-12</v>
      </c>
      <c r="BH83" s="59">
        <f t="shared" si="62"/>
        <v>293.3333333333353</v>
      </c>
      <c r="BI83" s="59">
        <f ca="1">AVERAGE(OFFSET($BH$3,0,0,'Données projet'!$E$11+1,1))-AVERAGE(OFFSET($H$3,0,0,'Données projet'!$E$11+1,1))</f>
        <v>257.80952690600492</v>
      </c>
      <c r="BJ83" s="59">
        <f t="shared" si="92"/>
        <v>269.95358755269427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#VALUE!</v>
      </c>
      <c r="BQ83" s="21" t="e">
        <f>EXP(-LN(2)/25)*BQ82+(1-EXP(-LN(2)/25))/(LN(2)/25)*Calculateur!BL83*Calculateur!BN83*VLOOKUP('Données projet'!$B$11,Paramètres!$A$1:$I$89,3,0)*0.475*44/12</f>
        <v>#VALUE!</v>
      </c>
      <c r="BR83" s="21" t="e">
        <f>EXP(-LN(2)/2)*BR82+(1-EXP(-LN(2)/2))/(LN(2)/2)*BL83*BO83*VLOOKUP('Données projet'!$B$11,Paramètres!$A$1:$I$89,3,0)*0.475*44/12</f>
        <v>#VALUE!</v>
      </c>
      <c r="BS83" s="22" t="e">
        <f t="shared" si="63"/>
        <v>#VALUE!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-275.00000000000028</v>
      </c>
      <c r="BZ83" s="13">
        <f>BY83*VLOOKUP('Données projet'!$B$12,Paramètres!$A$1:$I$89,3,0)*VLOOKUP('Données projet'!$B$12,Paramètres!$A$1:$I$89,5,0)</f>
        <v>-214.50000000000023</v>
      </c>
      <c r="CA83" s="13" t="e">
        <f t="shared" si="93"/>
        <v>#NUM!</v>
      </c>
      <c r="CB83" s="20" t="e">
        <f t="shared" si="64"/>
        <v>#NUM!</v>
      </c>
      <c r="CC83" s="59" t="e">
        <f t="shared" si="65"/>
        <v>#NUM!</v>
      </c>
      <c r="CD83" s="59">
        <f ca="1">AVERAGE(OFFSET($CC$3,0,0,'Données projet'!$E$12+1,1))-AVERAGE(OFFSET($H$3,0,0,'Données projet'!$E$12+1,1))</f>
        <v>286.5685205631126</v>
      </c>
      <c r="CE83" s="59">
        <f t="shared" si="94"/>
        <v>264.17357326498581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0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0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5.6</v>
      </c>
      <c r="N84" s="13">
        <f>IF('Données projet'!$A$36&gt;35,N83+M84-V83,IF(A84&lt;'Données projet'!$A$36,$K$205^A84,IF(A84='Données projet'!$A$36,'Données projet'!$B$36,N83+M84-V83)))</f>
        <v>245.60000000000036</v>
      </c>
      <c r="O84" s="13">
        <f>N84*VLOOKUP('Données projet'!$B$9,Paramètres!$A$1:$I$89,3,0)*VLOOKUP('Données projet'!$B$9,Paramètres!$A$1:$I$89,5,0)</f>
        <v>222.21888000000033</v>
      </c>
      <c r="P84" s="13">
        <f t="shared" si="87"/>
        <v>54.596866296848951</v>
      </c>
      <c r="Q84" s="20">
        <f t="shared" si="54"/>
        <v>482.12075813367915</v>
      </c>
      <c r="R84" s="59">
        <f t="shared" si="55"/>
        <v>775.4540914670124</v>
      </c>
      <c r="S84" s="59">
        <f ca="1">AVERAGE(OFFSET($R$3,0,0,'Données projet'!$E$9+1,1))-AVERAGE(OFFSET($H$3,0,0,'Données projet'!$E$9+1,1))</f>
        <v>346.35147716792028</v>
      </c>
      <c r="T84" s="59">
        <f t="shared" si="88"/>
        <v>231.36959598460686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0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1.6129670385359488E-7</v>
      </c>
      <c r="AC84" s="22">
        <f t="shared" si="57"/>
        <v>1.6129670385359488E-7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5.6</v>
      </c>
      <c r="AI84" s="13">
        <f>IF('Données projet'!$A$62&gt;35,AI83+AH84-AQ83,IF(A84&lt;'Données projet'!$A$62,$AF$205^A84,IF(A84='Données projet'!$A$62,'Données projet'!$B$62,AI83+AH84-AQ83)))</f>
        <v>245.60000000000036</v>
      </c>
      <c r="AJ84" s="13">
        <f>AI84*VLOOKUP('Données projet'!$B$10,Paramètres!$A$1:$I$89,3,0)*VLOOKUP('Données projet'!$B$10,Paramètres!$A$1:$I$89,5,0)</f>
        <v>222.21888000000033</v>
      </c>
      <c r="AK84" s="13">
        <f t="shared" si="89"/>
        <v>54.596866296848951</v>
      </c>
      <c r="AL84" s="20">
        <f t="shared" si="58"/>
        <v>482.12075813367915</v>
      </c>
      <c r="AM84" s="59">
        <f t="shared" si="59"/>
        <v>775.4540914670124</v>
      </c>
      <c r="AN84" s="59">
        <f ca="1">AVERAGE(OFFSET($AM$3,0,0,'Données projet'!$E$10+1,1))-AVERAGE(OFFSET($H$3,0,0,'Données projet'!$E$10+1,1))</f>
        <v>346.35147716792028</v>
      </c>
      <c r="AO84" s="59">
        <f t="shared" si="90"/>
        <v>231.36959598460686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0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1.6129670385359488E-7</v>
      </c>
      <c r="AX84" s="21">
        <f t="shared" si="60"/>
        <v>1.6129670385359488E-7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1.1368683772161603E-13</v>
      </c>
      <c r="BE84" s="13">
        <f>BD84*VLOOKUP('Données projet'!$B$11,Paramètres!$A$1:$I$89,3,0)*VLOOKUP('Données projet'!$B$11,Paramètres!$A$1:$I$89,5,0)</f>
        <v>6.7984728957526396E-14</v>
      </c>
      <c r="BF84" s="13">
        <f t="shared" si="91"/>
        <v>1.0682447123141398E-12</v>
      </c>
      <c r="BG84" s="20">
        <f t="shared" si="61"/>
        <v>1.978932943548152E-12</v>
      </c>
      <c r="BH84" s="59">
        <f t="shared" si="62"/>
        <v>293.3333333333353</v>
      </c>
      <c r="BI84" s="59">
        <f ca="1">AVERAGE(OFFSET($BH$3,0,0,'Données projet'!$E$11+1,1))-AVERAGE(OFFSET($H$3,0,0,'Données projet'!$E$11+1,1))</f>
        <v>257.80952690600492</v>
      </c>
      <c r="BJ84" s="59">
        <f t="shared" si="92"/>
        <v>269.95358755269427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#VALUE!</v>
      </c>
      <c r="BQ84" s="21" t="e">
        <f>EXP(-LN(2)/25)*BQ83+(1-EXP(-LN(2)/25))/(LN(2)/25)*Calculateur!BL84*Calculateur!BN84*VLOOKUP('Données projet'!$B$11,Paramètres!$A$1:$I$89,3,0)*0.475*44/12</f>
        <v>#VALUE!</v>
      </c>
      <c r="BR84" s="21" t="e">
        <f>EXP(-LN(2)/2)*BR83+(1-EXP(-LN(2)/2))/(LN(2)/2)*BL84*BO84*VLOOKUP('Données projet'!$B$11,Paramètres!$A$1:$I$89,3,0)*0.475*44/12</f>
        <v>#VALUE!</v>
      </c>
      <c r="BS84" s="22" t="e">
        <f t="shared" si="63"/>
        <v>#VALUE!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-275.00000000000028</v>
      </c>
      <c r="BZ84" s="13">
        <f>BY84*VLOOKUP('Données projet'!$B$12,Paramètres!$A$1:$I$89,3,0)*VLOOKUP('Données projet'!$B$12,Paramètres!$A$1:$I$89,5,0)</f>
        <v>-214.50000000000023</v>
      </c>
      <c r="CA84" s="13" t="e">
        <f t="shared" si="93"/>
        <v>#NUM!</v>
      </c>
      <c r="CB84" s="20" t="e">
        <f t="shared" si="64"/>
        <v>#NUM!</v>
      </c>
      <c r="CC84" s="59" t="e">
        <f t="shared" si="65"/>
        <v>#NUM!</v>
      </c>
      <c r="CD84" s="59">
        <f ca="1">AVERAGE(OFFSET($CC$3,0,0,'Données projet'!$E$12+1,1))-AVERAGE(OFFSET($H$3,0,0,'Données projet'!$E$12+1,1))</f>
        <v>286.5685205631126</v>
      </c>
      <c r="CE84" s="59">
        <f t="shared" si="94"/>
        <v>264.17357326498581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0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0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5.6</v>
      </c>
      <c r="N85" s="13">
        <f>IF('Données projet'!$A$36&gt;35,N84+M85-V84,IF(A85&lt;'Données projet'!$A$36,$K$205^A85,IF(A85='Données projet'!$A$36,'Données projet'!$B$36,N84+M85-V84)))</f>
        <v>251.20000000000036</v>
      </c>
      <c r="O85" s="13">
        <f>N85*VLOOKUP('Données projet'!$B$9,Paramètres!$A$1:$I$89,3,0)*VLOOKUP('Données projet'!$B$9,Paramètres!$A$1:$I$89,5,0)</f>
        <v>227.28576000000032</v>
      </c>
      <c r="P85" s="13">
        <f t="shared" si="87"/>
        <v>55.695394520076427</v>
      </c>
      <c r="Q85" s="20">
        <f t="shared" si="54"/>
        <v>492.85884412246702</v>
      </c>
      <c r="R85" s="59">
        <f t="shared" si="55"/>
        <v>786.19217745580033</v>
      </c>
      <c r="S85" s="59">
        <f ca="1">AVERAGE(OFFSET($R$3,0,0,'Données projet'!$E$9+1,1))-AVERAGE(OFFSET($H$3,0,0,'Données projet'!$E$9+1,1))</f>
        <v>346.35147716792028</v>
      </c>
      <c r="T85" s="59">
        <f t="shared" si="88"/>
        <v>231.36959598460686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0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1.1405399307791528E-7</v>
      </c>
      <c r="AC85" s="22">
        <f t="shared" si="57"/>
        <v>1.1405399307791528E-7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5.6</v>
      </c>
      <c r="AI85" s="13">
        <f>IF('Données projet'!$A$62&gt;35,AI84+AH85-AQ84,IF(A85&lt;'Données projet'!$A$62,$AF$205^A85,IF(A85='Données projet'!$A$62,'Données projet'!$B$62,AI84+AH85-AQ84)))</f>
        <v>251.20000000000036</v>
      </c>
      <c r="AJ85" s="13">
        <f>AI85*VLOOKUP('Données projet'!$B$10,Paramètres!$A$1:$I$89,3,0)*VLOOKUP('Données projet'!$B$10,Paramètres!$A$1:$I$89,5,0)</f>
        <v>227.28576000000032</v>
      </c>
      <c r="AK85" s="13">
        <f t="shared" si="89"/>
        <v>55.695394520076427</v>
      </c>
      <c r="AL85" s="20">
        <f t="shared" si="58"/>
        <v>492.85884412246702</v>
      </c>
      <c r="AM85" s="59">
        <f t="shared" si="59"/>
        <v>786.19217745580033</v>
      </c>
      <c r="AN85" s="59">
        <f ca="1">AVERAGE(OFFSET($AM$3,0,0,'Données projet'!$E$10+1,1))-AVERAGE(OFFSET($H$3,0,0,'Données projet'!$E$10+1,1))</f>
        <v>346.35147716792028</v>
      </c>
      <c r="AO85" s="59">
        <f t="shared" si="90"/>
        <v>231.36959598460686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0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1.1405399307791528E-7</v>
      </c>
      <c r="AX85" s="21">
        <f t="shared" si="60"/>
        <v>1.1405399307791528E-7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1.1368683772161603E-13</v>
      </c>
      <c r="BE85" s="13">
        <f>BD85*VLOOKUP('Données projet'!$B$11,Paramètres!$A$1:$I$89,3,0)*VLOOKUP('Données projet'!$B$11,Paramètres!$A$1:$I$89,5,0)</f>
        <v>6.7984728957526396E-14</v>
      </c>
      <c r="BF85" s="13">
        <f t="shared" si="91"/>
        <v>1.0682447123141398E-12</v>
      </c>
      <c r="BG85" s="20">
        <f t="shared" si="61"/>
        <v>1.978932943548152E-12</v>
      </c>
      <c r="BH85" s="59">
        <f t="shared" si="62"/>
        <v>293.3333333333353</v>
      </c>
      <c r="BI85" s="59">
        <f ca="1">AVERAGE(OFFSET($BH$3,0,0,'Données projet'!$E$11+1,1))-AVERAGE(OFFSET($H$3,0,0,'Données projet'!$E$11+1,1))</f>
        <v>257.80952690600492</v>
      </c>
      <c r="BJ85" s="59">
        <f t="shared" si="92"/>
        <v>269.95358755269427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#VALUE!</v>
      </c>
      <c r="BQ85" s="21" t="e">
        <f>EXP(-LN(2)/25)*BQ84+(1-EXP(-LN(2)/25))/(LN(2)/25)*Calculateur!BL85*Calculateur!BN85*VLOOKUP('Données projet'!$B$11,Paramètres!$A$1:$I$89,3,0)*0.475*44/12</f>
        <v>#VALUE!</v>
      </c>
      <c r="BR85" s="21" t="e">
        <f>EXP(-LN(2)/2)*BR84+(1-EXP(-LN(2)/2))/(LN(2)/2)*BL85*BO85*VLOOKUP('Données projet'!$B$11,Paramètres!$A$1:$I$89,3,0)*0.475*44/12</f>
        <v>#VALUE!</v>
      </c>
      <c r="BS85" s="22" t="e">
        <f t="shared" si="63"/>
        <v>#VALUE!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-275.00000000000028</v>
      </c>
      <c r="BZ85" s="13">
        <f>BY85*VLOOKUP('Données projet'!$B$12,Paramètres!$A$1:$I$89,3,0)*VLOOKUP('Données projet'!$B$12,Paramètres!$A$1:$I$89,5,0)</f>
        <v>-214.50000000000023</v>
      </c>
      <c r="CA85" s="13" t="e">
        <f t="shared" si="93"/>
        <v>#NUM!</v>
      </c>
      <c r="CB85" s="20" t="e">
        <f t="shared" si="64"/>
        <v>#NUM!</v>
      </c>
      <c r="CC85" s="59" t="e">
        <f t="shared" si="65"/>
        <v>#NUM!</v>
      </c>
      <c r="CD85" s="59">
        <f ca="1">AVERAGE(OFFSET($CC$3,0,0,'Données projet'!$E$12+1,1))-AVERAGE(OFFSET($H$3,0,0,'Données projet'!$E$12+1,1))</f>
        <v>286.5685205631126</v>
      </c>
      <c r="CE85" s="59">
        <f t="shared" si="94"/>
        <v>264.17357326498581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0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0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5.6</v>
      </c>
      <c r="N86" s="13">
        <f>IF('Données projet'!$A$36&gt;35,N85+M86-V85,IF(A86&lt;'Données projet'!$A$36,$K$205^A86,IF(A86='Données projet'!$A$36,'Données projet'!$B$36,N85+M86-V85)))</f>
        <v>256.80000000000035</v>
      </c>
      <c r="O86" s="13">
        <f>N86*VLOOKUP('Données projet'!$B$9,Paramètres!$A$1:$I$89,3,0)*VLOOKUP('Données projet'!$B$9,Paramètres!$A$1:$I$89,5,0)</f>
        <v>232.35264000000029</v>
      </c>
      <c r="P86" s="13">
        <f t="shared" si="87"/>
        <v>56.791075613550355</v>
      </c>
      <c r="Q86" s="20">
        <f t="shared" si="54"/>
        <v>503.59197136026728</v>
      </c>
      <c r="R86" s="59">
        <f t="shared" si="55"/>
        <v>796.92530469360054</v>
      </c>
      <c r="S86" s="59">
        <f ca="1">AVERAGE(OFFSET($R$3,0,0,'Données projet'!$E$9+1,1))-AVERAGE(OFFSET($H$3,0,0,'Données projet'!$E$9+1,1))</f>
        <v>346.35147716792028</v>
      </c>
      <c r="T86" s="59">
        <f t="shared" si="88"/>
        <v>231.36959598460686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0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8.0648351926797442E-8</v>
      </c>
      <c r="AC86" s="22">
        <f t="shared" si="57"/>
        <v>8.0648351926797442E-8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5.6</v>
      </c>
      <c r="AI86" s="13">
        <f>IF('Données projet'!$A$62&gt;35,AI85+AH86-AQ85,IF(A86&lt;'Données projet'!$A$62,$AF$205^A86,IF(A86='Données projet'!$A$62,'Données projet'!$B$62,AI85+AH86-AQ85)))</f>
        <v>256.80000000000035</v>
      </c>
      <c r="AJ86" s="13">
        <f>AI86*VLOOKUP('Données projet'!$B$10,Paramètres!$A$1:$I$89,3,0)*VLOOKUP('Données projet'!$B$10,Paramètres!$A$1:$I$89,5,0)</f>
        <v>232.35264000000029</v>
      </c>
      <c r="AK86" s="13">
        <f t="shared" si="89"/>
        <v>56.791075613550355</v>
      </c>
      <c r="AL86" s="20">
        <f t="shared" si="58"/>
        <v>503.59197136026728</v>
      </c>
      <c r="AM86" s="59">
        <f t="shared" si="59"/>
        <v>796.92530469360054</v>
      </c>
      <c r="AN86" s="59">
        <f ca="1">AVERAGE(OFFSET($AM$3,0,0,'Données projet'!$E$10+1,1))-AVERAGE(OFFSET($H$3,0,0,'Données projet'!$E$10+1,1))</f>
        <v>346.35147716792028</v>
      </c>
      <c r="AO86" s="59">
        <f t="shared" si="90"/>
        <v>231.36959598460686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0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8.0648351926797442E-8</v>
      </c>
      <c r="AX86" s="21">
        <f t="shared" si="60"/>
        <v>8.0648351926797442E-8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1.1368683772161603E-13</v>
      </c>
      <c r="BE86" s="13">
        <f>BD86*VLOOKUP('Données projet'!$B$11,Paramètres!$A$1:$I$89,3,0)*VLOOKUP('Données projet'!$B$11,Paramètres!$A$1:$I$89,5,0)</f>
        <v>6.7984728957526396E-14</v>
      </c>
      <c r="BF86" s="13">
        <f t="shared" si="91"/>
        <v>1.0682447123141398E-12</v>
      </c>
      <c r="BG86" s="20">
        <f t="shared" si="61"/>
        <v>1.978932943548152E-12</v>
      </c>
      <c r="BH86" s="59">
        <f t="shared" si="62"/>
        <v>293.3333333333353</v>
      </c>
      <c r="BI86" s="59">
        <f ca="1">AVERAGE(OFFSET($BH$3,0,0,'Données projet'!$E$11+1,1))-AVERAGE(OFFSET($H$3,0,0,'Données projet'!$E$11+1,1))</f>
        <v>257.80952690600492</v>
      </c>
      <c r="BJ86" s="59">
        <f t="shared" si="92"/>
        <v>269.95358755269427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#VALUE!</v>
      </c>
      <c r="BQ86" s="21" t="e">
        <f>EXP(-LN(2)/25)*BQ85+(1-EXP(-LN(2)/25))/(LN(2)/25)*Calculateur!BL86*Calculateur!BN86*VLOOKUP('Données projet'!$B$11,Paramètres!$A$1:$I$89,3,0)*0.475*44/12</f>
        <v>#VALUE!</v>
      </c>
      <c r="BR86" s="21" t="e">
        <f>EXP(-LN(2)/2)*BR85+(1-EXP(-LN(2)/2))/(LN(2)/2)*BL86*BO86*VLOOKUP('Données projet'!$B$11,Paramètres!$A$1:$I$89,3,0)*0.475*44/12</f>
        <v>#VALUE!</v>
      </c>
      <c r="BS86" s="22" t="e">
        <f t="shared" si="63"/>
        <v>#VALUE!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-275.00000000000028</v>
      </c>
      <c r="BZ86" s="13">
        <f>BY86*VLOOKUP('Données projet'!$B$12,Paramètres!$A$1:$I$89,3,0)*VLOOKUP('Données projet'!$B$12,Paramètres!$A$1:$I$89,5,0)</f>
        <v>-214.50000000000023</v>
      </c>
      <c r="CA86" s="13" t="e">
        <f t="shared" si="93"/>
        <v>#NUM!</v>
      </c>
      <c r="CB86" s="20" t="e">
        <f t="shared" si="64"/>
        <v>#NUM!</v>
      </c>
      <c r="CC86" s="59" t="e">
        <f t="shared" si="65"/>
        <v>#NUM!</v>
      </c>
      <c r="CD86" s="59">
        <f ca="1">AVERAGE(OFFSET($CC$3,0,0,'Données projet'!$E$12+1,1))-AVERAGE(OFFSET($H$3,0,0,'Données projet'!$E$12+1,1))</f>
        <v>286.5685205631126</v>
      </c>
      <c r="CE86" s="59">
        <f t="shared" si="94"/>
        <v>264.17357326498581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0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0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5.6</v>
      </c>
      <c r="N87" s="13">
        <f>IF('Données projet'!$A$36&gt;35,N86+M87-V86,IF(A87&lt;'Données projet'!$A$36,$K$205^A87,IF(A87='Données projet'!$A$36,'Données projet'!$B$36,N86+M87-V86)))</f>
        <v>262.40000000000038</v>
      </c>
      <c r="O87" s="13">
        <f>N87*VLOOKUP('Données projet'!$B$9,Paramètres!$A$1:$I$89,3,0)*VLOOKUP('Données projet'!$B$9,Paramètres!$A$1:$I$89,5,0)</f>
        <v>237.41952000000032</v>
      </c>
      <c r="P87" s="13">
        <f t="shared" si="87"/>
        <v>57.883978814320969</v>
      </c>
      <c r="Q87" s="20">
        <f t="shared" si="54"/>
        <v>514.32026043494295</v>
      </c>
      <c r="R87" s="59">
        <f t="shared" si="55"/>
        <v>807.65359376827632</v>
      </c>
      <c r="S87" s="59">
        <f ca="1">AVERAGE(OFFSET($R$3,0,0,'Données projet'!$E$9+1,1))-AVERAGE(OFFSET($H$3,0,0,'Données projet'!$E$9+1,1))</f>
        <v>346.35147716792028</v>
      </c>
      <c r="T87" s="59">
        <f t="shared" si="88"/>
        <v>231.36959598460686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0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5.7026996538957638E-8</v>
      </c>
      <c r="AC87" s="22">
        <f t="shared" si="57"/>
        <v>5.7026996538957638E-8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5.6</v>
      </c>
      <c r="AI87" s="13">
        <f>IF('Données projet'!$A$62&gt;35,AI86+AH87-AQ86,IF(A87&lt;'Données projet'!$A$62,$AF$205^A87,IF(A87='Données projet'!$A$62,'Données projet'!$B$62,AI86+AH87-AQ86)))</f>
        <v>262.40000000000038</v>
      </c>
      <c r="AJ87" s="13">
        <f>AI87*VLOOKUP('Données projet'!$B$10,Paramètres!$A$1:$I$89,3,0)*VLOOKUP('Données projet'!$B$10,Paramètres!$A$1:$I$89,5,0)</f>
        <v>237.41952000000032</v>
      </c>
      <c r="AK87" s="13">
        <f t="shared" si="89"/>
        <v>57.883978814320969</v>
      </c>
      <c r="AL87" s="20">
        <f t="shared" si="58"/>
        <v>514.32026043494295</v>
      </c>
      <c r="AM87" s="59">
        <f t="shared" si="59"/>
        <v>807.65359376827632</v>
      </c>
      <c r="AN87" s="59">
        <f ca="1">AVERAGE(OFFSET($AM$3,0,0,'Données projet'!$E$10+1,1))-AVERAGE(OFFSET($H$3,0,0,'Données projet'!$E$10+1,1))</f>
        <v>346.35147716792028</v>
      </c>
      <c r="AO87" s="59">
        <f t="shared" si="90"/>
        <v>231.36959598460686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0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5.7026996538957638E-8</v>
      </c>
      <c r="AX87" s="21">
        <f t="shared" si="60"/>
        <v>5.7026996538957638E-8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1.1368683772161603E-13</v>
      </c>
      <c r="BE87" s="13">
        <f>BD87*VLOOKUP('Données projet'!$B$11,Paramètres!$A$1:$I$89,3,0)*VLOOKUP('Données projet'!$B$11,Paramètres!$A$1:$I$89,5,0)</f>
        <v>6.7984728957526396E-14</v>
      </c>
      <c r="BF87" s="13">
        <f t="shared" si="91"/>
        <v>1.0682447123141398E-12</v>
      </c>
      <c r="BG87" s="20">
        <f t="shared" si="61"/>
        <v>1.978932943548152E-12</v>
      </c>
      <c r="BH87" s="59">
        <f t="shared" si="62"/>
        <v>293.3333333333353</v>
      </c>
      <c r="BI87" s="59">
        <f ca="1">AVERAGE(OFFSET($BH$3,0,0,'Données projet'!$E$11+1,1))-AVERAGE(OFFSET($H$3,0,0,'Données projet'!$E$11+1,1))</f>
        <v>257.80952690600492</v>
      </c>
      <c r="BJ87" s="59">
        <f t="shared" si="92"/>
        <v>269.95358755269427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#VALUE!</v>
      </c>
      <c r="BQ87" s="21" t="e">
        <f>EXP(-LN(2)/25)*BQ86+(1-EXP(-LN(2)/25))/(LN(2)/25)*Calculateur!BL87*Calculateur!BN87*VLOOKUP('Données projet'!$B$11,Paramètres!$A$1:$I$89,3,0)*0.475*44/12</f>
        <v>#VALUE!</v>
      </c>
      <c r="BR87" s="21" t="e">
        <f>EXP(-LN(2)/2)*BR86+(1-EXP(-LN(2)/2))/(LN(2)/2)*BL87*BO87*VLOOKUP('Données projet'!$B$11,Paramètres!$A$1:$I$89,3,0)*0.475*44/12</f>
        <v>#VALUE!</v>
      </c>
      <c r="BS87" s="22" t="e">
        <f t="shared" si="63"/>
        <v>#VALUE!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-275.00000000000028</v>
      </c>
      <c r="BZ87" s="13">
        <f>BY87*VLOOKUP('Données projet'!$B$12,Paramètres!$A$1:$I$89,3,0)*VLOOKUP('Données projet'!$B$12,Paramètres!$A$1:$I$89,5,0)</f>
        <v>-214.50000000000023</v>
      </c>
      <c r="CA87" s="13" t="e">
        <f t="shared" si="93"/>
        <v>#NUM!</v>
      </c>
      <c r="CB87" s="20" t="e">
        <f t="shared" si="64"/>
        <v>#NUM!</v>
      </c>
      <c r="CC87" s="59" t="e">
        <f t="shared" si="65"/>
        <v>#NUM!</v>
      </c>
      <c r="CD87" s="59">
        <f ca="1">AVERAGE(OFFSET($CC$3,0,0,'Données projet'!$E$12+1,1))-AVERAGE(OFFSET($H$3,0,0,'Données projet'!$E$12+1,1))</f>
        <v>286.5685205631126</v>
      </c>
      <c r="CE87" s="59">
        <f t="shared" si="94"/>
        <v>264.17357326498581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0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0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5.6</v>
      </c>
      <c r="N88" s="13">
        <f>IF('Données projet'!$A$36&gt;35,N87+M88-V87,IF(A88&lt;'Données projet'!$A$36,$K$205^A88,IF(A88='Données projet'!$A$36,'Données projet'!$B$36,N87+M88-V87)))</f>
        <v>268.0000000000004</v>
      </c>
      <c r="O88" s="13">
        <f>N88*VLOOKUP('Données projet'!$B$9,Paramètres!$A$1:$I$89,3,0)*VLOOKUP('Données projet'!$B$9,Paramètres!$A$1:$I$89,5,0)</f>
        <v>242.48640000000037</v>
      </c>
      <c r="P88" s="13">
        <f t="shared" si="87"/>
        <v>58.974170235372526</v>
      </c>
      <c r="Q88" s="20">
        <f t="shared" si="54"/>
        <v>525.04382649327442</v>
      </c>
      <c r="R88" s="59">
        <f t="shared" si="55"/>
        <v>818.37715982660779</v>
      </c>
      <c r="S88" s="59">
        <f ca="1">AVERAGE(OFFSET($R$3,0,0,'Données projet'!$E$9+1,1))-AVERAGE(OFFSET($H$3,0,0,'Données projet'!$E$9+1,1))</f>
        <v>346.35147716792028</v>
      </c>
      <c r="T88" s="59">
        <f t="shared" si="88"/>
        <v>231.36959598460686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0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4.0324175963398721E-8</v>
      </c>
      <c r="AC88" s="22">
        <f t="shared" si="57"/>
        <v>4.0324175963398721E-8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5.6</v>
      </c>
      <c r="AI88" s="13">
        <f>IF('Données projet'!$A$62&gt;35,AI87+AH88-AQ87,IF(A88&lt;'Données projet'!$A$62,$AF$205^A88,IF(A88='Données projet'!$A$62,'Données projet'!$B$62,AI87+AH88-AQ87)))</f>
        <v>268.0000000000004</v>
      </c>
      <c r="AJ88" s="13">
        <f>AI88*VLOOKUP('Données projet'!$B$10,Paramètres!$A$1:$I$89,3,0)*VLOOKUP('Données projet'!$B$10,Paramètres!$A$1:$I$89,5,0)</f>
        <v>242.48640000000037</v>
      </c>
      <c r="AK88" s="13">
        <f t="shared" si="89"/>
        <v>58.974170235372526</v>
      </c>
      <c r="AL88" s="20">
        <f t="shared" si="58"/>
        <v>525.04382649327442</v>
      </c>
      <c r="AM88" s="59">
        <f t="shared" si="59"/>
        <v>818.37715982660779</v>
      </c>
      <c r="AN88" s="59">
        <f ca="1">AVERAGE(OFFSET($AM$3,0,0,'Données projet'!$E$10+1,1))-AVERAGE(OFFSET($H$3,0,0,'Données projet'!$E$10+1,1))</f>
        <v>346.35147716792028</v>
      </c>
      <c r="AO88" s="59">
        <f t="shared" si="90"/>
        <v>231.36959598460686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0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4.0324175963398721E-8</v>
      </c>
      <c r="AX88" s="21">
        <f t="shared" si="60"/>
        <v>4.0324175963398721E-8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1.1368683772161603E-13</v>
      </c>
      <c r="BE88" s="13">
        <f>BD88*VLOOKUP('Données projet'!$B$11,Paramètres!$A$1:$I$89,3,0)*VLOOKUP('Données projet'!$B$11,Paramètres!$A$1:$I$89,5,0)</f>
        <v>6.7984728957526396E-14</v>
      </c>
      <c r="BF88" s="13">
        <f t="shared" si="91"/>
        <v>1.0682447123141398E-12</v>
      </c>
      <c r="BG88" s="20">
        <f t="shared" si="61"/>
        <v>1.978932943548152E-12</v>
      </c>
      <c r="BH88" s="59">
        <f t="shared" si="62"/>
        <v>293.3333333333353</v>
      </c>
      <c r="BI88" s="59">
        <f ca="1">AVERAGE(OFFSET($BH$3,0,0,'Données projet'!$E$11+1,1))-AVERAGE(OFFSET($H$3,0,0,'Données projet'!$E$11+1,1))</f>
        <v>257.80952690600492</v>
      </c>
      <c r="BJ88" s="59">
        <f t="shared" si="92"/>
        <v>269.95358755269427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#VALUE!</v>
      </c>
      <c r="BQ88" s="21" t="e">
        <f>EXP(-LN(2)/25)*BQ87+(1-EXP(-LN(2)/25))/(LN(2)/25)*Calculateur!BL88*Calculateur!BN88*VLOOKUP('Données projet'!$B$11,Paramètres!$A$1:$I$89,3,0)*0.475*44/12</f>
        <v>#VALUE!</v>
      </c>
      <c r="BR88" s="21" t="e">
        <f>EXP(-LN(2)/2)*BR87+(1-EXP(-LN(2)/2))/(LN(2)/2)*BL88*BO88*VLOOKUP('Données projet'!$B$11,Paramètres!$A$1:$I$89,3,0)*0.475*44/12</f>
        <v>#VALUE!</v>
      </c>
      <c r="BS88" s="22" t="e">
        <f t="shared" si="63"/>
        <v>#VALUE!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-275.00000000000028</v>
      </c>
      <c r="BZ88" s="13">
        <f>BY88*VLOOKUP('Données projet'!$B$12,Paramètres!$A$1:$I$89,3,0)*VLOOKUP('Données projet'!$B$12,Paramètres!$A$1:$I$89,5,0)</f>
        <v>-214.50000000000023</v>
      </c>
      <c r="CA88" s="13" t="e">
        <f t="shared" si="93"/>
        <v>#NUM!</v>
      </c>
      <c r="CB88" s="20" t="e">
        <f t="shared" si="64"/>
        <v>#NUM!</v>
      </c>
      <c r="CC88" s="59" t="e">
        <f t="shared" si="65"/>
        <v>#NUM!</v>
      </c>
      <c r="CD88" s="59">
        <f ca="1">AVERAGE(OFFSET($CC$3,0,0,'Données projet'!$E$12+1,1))-AVERAGE(OFFSET($H$3,0,0,'Données projet'!$E$12+1,1))</f>
        <v>286.5685205631126</v>
      </c>
      <c r="CE88" s="59">
        <f t="shared" si="94"/>
        <v>264.17357326498581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0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0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5.6</v>
      </c>
      <c r="N89" s="13">
        <f>IF('Données projet'!$A$36&gt;35,N88+M89-V88,IF(A89&lt;'Données projet'!$A$36,$K$205^A89,IF(A89='Données projet'!$A$36,'Données projet'!$B$36,N88+M89-V88)))</f>
        <v>273.60000000000042</v>
      </c>
      <c r="O89" s="13">
        <f>N89*VLOOKUP('Données projet'!$B$9,Paramètres!$A$1:$I$89,3,0)*VLOOKUP('Données projet'!$B$9,Paramètres!$A$1:$I$89,5,0)</f>
        <v>247.5532800000004</v>
      </c>
      <c r="P89" s="13">
        <f t="shared" si="87"/>
        <v>60.061713068870304</v>
      </c>
      <c r="Q89" s="20">
        <f t="shared" si="54"/>
        <v>535.76277959494985</v>
      </c>
      <c r="R89" s="59">
        <f t="shared" si="55"/>
        <v>829.09611292828322</v>
      </c>
      <c r="S89" s="59">
        <f ca="1">AVERAGE(OFFSET($R$3,0,0,'Données projet'!$E$9+1,1))-AVERAGE(OFFSET($H$3,0,0,'Données projet'!$E$9+1,1))</f>
        <v>346.35147716792028</v>
      </c>
      <c r="T89" s="59">
        <f t="shared" si="88"/>
        <v>231.36959598460686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0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2.8513498269478819E-8</v>
      </c>
      <c r="AC89" s="22">
        <f t="shared" si="57"/>
        <v>2.8513498269478819E-8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5.6</v>
      </c>
      <c r="AI89" s="13">
        <f>IF('Données projet'!$A$62&gt;35,AI88+AH89-AQ88,IF(A89&lt;'Données projet'!$A$62,$AF$205^A89,IF(A89='Données projet'!$A$62,'Données projet'!$B$62,AI88+AH89-AQ88)))</f>
        <v>273.60000000000042</v>
      </c>
      <c r="AJ89" s="13">
        <f>AI89*VLOOKUP('Données projet'!$B$10,Paramètres!$A$1:$I$89,3,0)*VLOOKUP('Données projet'!$B$10,Paramètres!$A$1:$I$89,5,0)</f>
        <v>247.5532800000004</v>
      </c>
      <c r="AK89" s="13">
        <f t="shared" si="89"/>
        <v>60.061713068870304</v>
      </c>
      <c r="AL89" s="20">
        <f t="shared" si="58"/>
        <v>535.76277959494985</v>
      </c>
      <c r="AM89" s="59">
        <f t="shared" si="59"/>
        <v>829.09611292828322</v>
      </c>
      <c r="AN89" s="59">
        <f ca="1">AVERAGE(OFFSET($AM$3,0,0,'Données projet'!$E$10+1,1))-AVERAGE(OFFSET($H$3,0,0,'Données projet'!$E$10+1,1))</f>
        <v>346.35147716792028</v>
      </c>
      <c r="AO89" s="59">
        <f t="shared" si="90"/>
        <v>231.36959598460686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0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2.8513498269478819E-8</v>
      </c>
      <c r="AX89" s="21">
        <f t="shared" si="60"/>
        <v>2.8513498269478819E-8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1.1368683772161603E-13</v>
      </c>
      <c r="BE89" s="13">
        <f>BD89*VLOOKUP('Données projet'!$B$11,Paramètres!$A$1:$I$89,3,0)*VLOOKUP('Données projet'!$B$11,Paramètres!$A$1:$I$89,5,0)</f>
        <v>6.7984728957526396E-14</v>
      </c>
      <c r="BF89" s="13">
        <f t="shared" si="91"/>
        <v>1.0682447123141398E-12</v>
      </c>
      <c r="BG89" s="20">
        <f t="shared" si="61"/>
        <v>1.978932943548152E-12</v>
      </c>
      <c r="BH89" s="59">
        <f t="shared" si="62"/>
        <v>293.3333333333353</v>
      </c>
      <c r="BI89" s="59">
        <f ca="1">AVERAGE(OFFSET($BH$3,0,0,'Données projet'!$E$11+1,1))-AVERAGE(OFFSET($H$3,0,0,'Données projet'!$E$11+1,1))</f>
        <v>257.80952690600492</v>
      </c>
      <c r="BJ89" s="59">
        <f t="shared" si="92"/>
        <v>269.95358755269427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#VALUE!</v>
      </c>
      <c r="BQ89" s="21" t="e">
        <f>EXP(-LN(2)/25)*BQ88+(1-EXP(-LN(2)/25))/(LN(2)/25)*Calculateur!BL89*Calculateur!BN89*VLOOKUP('Données projet'!$B$11,Paramètres!$A$1:$I$89,3,0)*0.475*44/12</f>
        <v>#VALUE!</v>
      </c>
      <c r="BR89" s="21" t="e">
        <f>EXP(-LN(2)/2)*BR88+(1-EXP(-LN(2)/2))/(LN(2)/2)*BL89*BO89*VLOOKUP('Données projet'!$B$11,Paramètres!$A$1:$I$89,3,0)*0.475*44/12</f>
        <v>#VALUE!</v>
      </c>
      <c r="BS89" s="22" t="e">
        <f t="shared" si="63"/>
        <v>#VALUE!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-275.00000000000028</v>
      </c>
      <c r="BZ89" s="13">
        <f>BY89*VLOOKUP('Données projet'!$B$12,Paramètres!$A$1:$I$89,3,0)*VLOOKUP('Données projet'!$B$12,Paramètres!$A$1:$I$89,5,0)</f>
        <v>-214.50000000000023</v>
      </c>
      <c r="CA89" s="13" t="e">
        <f t="shared" si="93"/>
        <v>#NUM!</v>
      </c>
      <c r="CB89" s="20" t="e">
        <f t="shared" si="64"/>
        <v>#NUM!</v>
      </c>
      <c r="CC89" s="59" t="e">
        <f t="shared" si="65"/>
        <v>#NUM!</v>
      </c>
      <c r="CD89" s="59">
        <f ca="1">AVERAGE(OFFSET($CC$3,0,0,'Données projet'!$E$12+1,1))-AVERAGE(OFFSET($H$3,0,0,'Données projet'!$E$12+1,1))</f>
        <v>286.5685205631126</v>
      </c>
      <c r="CE89" s="59">
        <f t="shared" si="94"/>
        <v>264.17357326498581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0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0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5.6</v>
      </c>
      <c r="N90" s="13">
        <f>IF('Données projet'!$A$36&gt;35,N89+M90-V89,IF(A90&lt;'Données projet'!$A$36,$K$205^A90,IF(A90='Données projet'!$A$36,'Données projet'!$B$36,N89+M90-V89)))</f>
        <v>279.20000000000044</v>
      </c>
      <c r="O90" s="13">
        <f>N90*VLOOKUP('Données projet'!$B$9,Paramètres!$A$1:$I$89,3,0)*VLOOKUP('Données projet'!$B$9,Paramètres!$A$1:$I$89,5,0)</f>
        <v>252.62016000000037</v>
      </c>
      <c r="P90" s="13">
        <f t="shared" si="87"/>
        <v>61.146667772298876</v>
      </c>
      <c r="Q90" s="20">
        <f t="shared" si="54"/>
        <v>546.47722503675448</v>
      </c>
      <c r="R90" s="59">
        <f t="shared" si="55"/>
        <v>839.81055837008785</v>
      </c>
      <c r="S90" s="59">
        <f ca="1">AVERAGE(OFFSET($R$3,0,0,'Données projet'!$E$9+1,1))-AVERAGE(OFFSET($H$3,0,0,'Données projet'!$E$9+1,1))</f>
        <v>346.35147716792028</v>
      </c>
      <c r="T90" s="59">
        <f t="shared" si="88"/>
        <v>231.36959598460686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0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2.0162087981699361E-8</v>
      </c>
      <c r="AC90" s="22">
        <f t="shared" si="57"/>
        <v>2.0162087981699361E-8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5.6</v>
      </c>
      <c r="AI90" s="13">
        <f>IF('Données projet'!$A$62&gt;35,AI89+AH90-AQ89,IF(A90&lt;'Données projet'!$A$62,$AF$205^A90,IF(A90='Données projet'!$A$62,'Données projet'!$B$62,AI89+AH90-AQ89)))</f>
        <v>279.20000000000044</v>
      </c>
      <c r="AJ90" s="13">
        <f>AI90*VLOOKUP('Données projet'!$B$10,Paramètres!$A$1:$I$89,3,0)*VLOOKUP('Données projet'!$B$10,Paramètres!$A$1:$I$89,5,0)</f>
        <v>252.62016000000037</v>
      </c>
      <c r="AK90" s="13">
        <f t="shared" si="89"/>
        <v>61.146667772298876</v>
      </c>
      <c r="AL90" s="20">
        <f t="shared" si="58"/>
        <v>546.47722503675448</v>
      </c>
      <c r="AM90" s="59">
        <f t="shared" si="59"/>
        <v>839.81055837008785</v>
      </c>
      <c r="AN90" s="59">
        <f ca="1">AVERAGE(OFFSET($AM$3,0,0,'Données projet'!$E$10+1,1))-AVERAGE(OFFSET($H$3,0,0,'Données projet'!$E$10+1,1))</f>
        <v>346.35147716792028</v>
      </c>
      <c r="AO90" s="59">
        <f t="shared" si="90"/>
        <v>231.36959598460686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0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2.0162087981699361E-8</v>
      </c>
      <c r="AX90" s="21">
        <f t="shared" si="60"/>
        <v>2.0162087981699361E-8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1.1368683772161603E-13</v>
      </c>
      <c r="BE90" s="13">
        <f>BD90*VLOOKUP('Données projet'!$B$11,Paramètres!$A$1:$I$89,3,0)*VLOOKUP('Données projet'!$B$11,Paramètres!$A$1:$I$89,5,0)</f>
        <v>6.7984728957526396E-14</v>
      </c>
      <c r="BF90" s="13">
        <f t="shared" si="91"/>
        <v>1.0682447123141398E-12</v>
      </c>
      <c r="BG90" s="20">
        <f t="shared" si="61"/>
        <v>1.978932943548152E-12</v>
      </c>
      <c r="BH90" s="59">
        <f t="shared" si="62"/>
        <v>293.3333333333353</v>
      </c>
      <c r="BI90" s="59">
        <f ca="1">AVERAGE(OFFSET($BH$3,0,0,'Données projet'!$E$11+1,1))-AVERAGE(OFFSET($H$3,0,0,'Données projet'!$E$11+1,1))</f>
        <v>257.80952690600492</v>
      </c>
      <c r="BJ90" s="59">
        <f t="shared" si="92"/>
        <v>269.95358755269427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#VALUE!</v>
      </c>
      <c r="BQ90" s="21" t="e">
        <f>EXP(-LN(2)/25)*BQ89+(1-EXP(-LN(2)/25))/(LN(2)/25)*Calculateur!BL90*Calculateur!BN90*VLOOKUP('Données projet'!$B$11,Paramètres!$A$1:$I$89,3,0)*0.475*44/12</f>
        <v>#VALUE!</v>
      </c>
      <c r="BR90" s="21" t="e">
        <f>EXP(-LN(2)/2)*BR89+(1-EXP(-LN(2)/2))/(LN(2)/2)*BL90*BO90*VLOOKUP('Données projet'!$B$11,Paramètres!$A$1:$I$89,3,0)*0.475*44/12</f>
        <v>#VALUE!</v>
      </c>
      <c r="BS90" s="22" t="e">
        <f t="shared" si="63"/>
        <v>#VALUE!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-275.00000000000028</v>
      </c>
      <c r="BZ90" s="13">
        <f>BY90*VLOOKUP('Données projet'!$B$12,Paramètres!$A$1:$I$89,3,0)*VLOOKUP('Données projet'!$B$12,Paramètres!$A$1:$I$89,5,0)</f>
        <v>-214.50000000000023</v>
      </c>
      <c r="CA90" s="13" t="e">
        <f t="shared" si="93"/>
        <v>#NUM!</v>
      </c>
      <c r="CB90" s="20" t="e">
        <f t="shared" si="64"/>
        <v>#NUM!</v>
      </c>
      <c r="CC90" s="59" t="e">
        <f t="shared" si="65"/>
        <v>#NUM!</v>
      </c>
      <c r="CD90" s="59">
        <f ca="1">AVERAGE(OFFSET($CC$3,0,0,'Données projet'!$E$12+1,1))-AVERAGE(OFFSET($H$3,0,0,'Données projet'!$E$12+1,1))</f>
        <v>286.5685205631126</v>
      </c>
      <c r="CE90" s="59">
        <f t="shared" si="94"/>
        <v>264.17357326498581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0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0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5.6</v>
      </c>
      <c r="N91" s="13">
        <f>IF('Données projet'!$A$36&gt;35,N90+M91-V90,IF(A91&lt;'Données projet'!$A$36,$K$205^A91,IF(A91='Données projet'!$A$36,'Données projet'!$B$36,N90+M91-V90)))</f>
        <v>284.80000000000047</v>
      </c>
      <c r="O91" s="13">
        <f>N91*VLOOKUP('Données projet'!$B$9,Paramètres!$A$1:$I$89,3,0)*VLOOKUP('Données projet'!$B$9,Paramètres!$A$1:$I$89,5,0)</f>
        <v>257.68704000000042</v>
      </c>
      <c r="P91" s="13">
        <f t="shared" si="87"/>
        <v>62.229092239243457</v>
      </c>
      <c r="Q91" s="20">
        <f t="shared" si="54"/>
        <v>557.18726365001646</v>
      </c>
      <c r="R91" s="59">
        <f t="shared" si="55"/>
        <v>850.52059698334983</v>
      </c>
      <c r="S91" s="59">
        <f ca="1">AVERAGE(OFFSET($R$3,0,0,'Données projet'!$E$9+1,1))-AVERAGE(OFFSET($H$3,0,0,'Données projet'!$E$9+1,1))</f>
        <v>346.35147716792028</v>
      </c>
      <c r="T91" s="59">
        <f t="shared" si="88"/>
        <v>231.36959598460686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0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1.425674913473941E-8</v>
      </c>
      <c r="AC91" s="22">
        <f t="shared" si="57"/>
        <v>1.425674913473941E-8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5.6</v>
      </c>
      <c r="AI91" s="13">
        <f>IF('Données projet'!$A$62&gt;35,AI90+AH91-AQ90,IF(A91&lt;'Données projet'!$A$62,$AF$205^A91,IF(A91='Données projet'!$A$62,'Données projet'!$B$62,AI90+AH91-AQ90)))</f>
        <v>284.80000000000047</v>
      </c>
      <c r="AJ91" s="13">
        <f>AI91*VLOOKUP('Données projet'!$B$10,Paramètres!$A$1:$I$89,3,0)*VLOOKUP('Données projet'!$B$10,Paramètres!$A$1:$I$89,5,0)</f>
        <v>257.68704000000042</v>
      </c>
      <c r="AK91" s="13">
        <f t="shared" si="89"/>
        <v>62.229092239243457</v>
      </c>
      <c r="AL91" s="20">
        <f t="shared" si="58"/>
        <v>557.18726365001646</v>
      </c>
      <c r="AM91" s="59">
        <f t="shared" si="59"/>
        <v>850.52059698334983</v>
      </c>
      <c r="AN91" s="59">
        <f ca="1">AVERAGE(OFFSET($AM$3,0,0,'Données projet'!$E$10+1,1))-AVERAGE(OFFSET($H$3,0,0,'Données projet'!$E$10+1,1))</f>
        <v>346.35147716792028</v>
      </c>
      <c r="AO91" s="59">
        <f t="shared" si="90"/>
        <v>231.36959598460686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1.425674913473941E-8</v>
      </c>
      <c r="AX91" s="21">
        <f t="shared" si="60"/>
        <v>1.425674913473941E-8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1.1368683772161603E-13</v>
      </c>
      <c r="BE91" s="13">
        <f>BD91*VLOOKUP('Données projet'!$B$11,Paramètres!$A$1:$I$89,3,0)*VLOOKUP('Données projet'!$B$11,Paramètres!$A$1:$I$89,5,0)</f>
        <v>6.7984728957526396E-14</v>
      </c>
      <c r="BF91" s="13">
        <f t="shared" si="91"/>
        <v>1.0682447123141398E-12</v>
      </c>
      <c r="BG91" s="20">
        <f t="shared" si="61"/>
        <v>1.978932943548152E-12</v>
      </c>
      <c r="BH91" s="59">
        <f t="shared" si="62"/>
        <v>293.3333333333353</v>
      </c>
      <c r="BI91" s="59">
        <f ca="1">AVERAGE(OFFSET($BH$3,0,0,'Données projet'!$E$11+1,1))-AVERAGE(OFFSET($H$3,0,0,'Données projet'!$E$11+1,1))</f>
        <v>257.80952690600492</v>
      </c>
      <c r="BJ91" s="59">
        <f t="shared" si="92"/>
        <v>269.95358755269427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#VALUE!</v>
      </c>
      <c r="BQ91" s="21" t="e">
        <f>EXP(-LN(2)/25)*BQ90+(1-EXP(-LN(2)/25))/(LN(2)/25)*Calculateur!BL91*Calculateur!BN91*VLOOKUP('Données projet'!$B$11,Paramètres!$A$1:$I$89,3,0)*0.475*44/12</f>
        <v>#VALUE!</v>
      </c>
      <c r="BR91" s="21" t="e">
        <f>EXP(-LN(2)/2)*BR90+(1-EXP(-LN(2)/2))/(LN(2)/2)*BL91*BO91*VLOOKUP('Données projet'!$B$11,Paramètres!$A$1:$I$89,3,0)*0.475*44/12</f>
        <v>#VALUE!</v>
      </c>
      <c r="BS91" s="22" t="e">
        <f t="shared" si="63"/>
        <v>#VALUE!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-275.00000000000028</v>
      </c>
      <c r="BZ91" s="13">
        <f>BY91*VLOOKUP('Données projet'!$B$12,Paramètres!$A$1:$I$89,3,0)*VLOOKUP('Données projet'!$B$12,Paramètres!$A$1:$I$89,5,0)</f>
        <v>-214.50000000000023</v>
      </c>
      <c r="CA91" s="13" t="e">
        <f t="shared" si="93"/>
        <v>#NUM!</v>
      </c>
      <c r="CB91" s="20" t="e">
        <f t="shared" si="64"/>
        <v>#NUM!</v>
      </c>
      <c r="CC91" s="59" t="e">
        <f t="shared" si="65"/>
        <v>#NUM!</v>
      </c>
      <c r="CD91" s="59">
        <f ca="1">AVERAGE(OFFSET($CC$3,0,0,'Données projet'!$E$12+1,1))-AVERAGE(OFFSET($H$3,0,0,'Données projet'!$E$12+1,1))</f>
        <v>286.5685205631126</v>
      </c>
      <c r="CE91" s="59">
        <f t="shared" si="94"/>
        <v>264.17357326498581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0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0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5.6</v>
      </c>
      <c r="N92" s="13">
        <f>IF('Données projet'!$A$36&gt;35,N91+M92-V91,IF(A92&lt;'Données projet'!$A$36,$K$205^A92,IF(A92='Données projet'!$A$36,'Données projet'!$B$36,N91+M92-V91)))</f>
        <v>290.40000000000049</v>
      </c>
      <c r="O92" s="13">
        <f>N92*VLOOKUP('Données projet'!$B$9,Paramètres!$A$1:$I$89,3,0)*VLOOKUP('Données projet'!$B$9,Paramètres!$A$1:$I$89,5,0)</f>
        <v>262.75392000000045</v>
      </c>
      <c r="P92" s="13">
        <f t="shared" si="87"/>
        <v>63.309041956360382</v>
      </c>
      <c r="Q92" s="20">
        <f t="shared" si="54"/>
        <v>567.89299207399506</v>
      </c>
      <c r="R92" s="59">
        <f t="shared" si="55"/>
        <v>861.22632540732843</v>
      </c>
      <c r="S92" s="59">
        <f ca="1">AVERAGE(OFFSET($R$3,0,0,'Données projet'!$E$9+1,1))-AVERAGE(OFFSET($H$3,0,0,'Données projet'!$E$9+1,1))</f>
        <v>346.35147716792028</v>
      </c>
      <c r="T92" s="59">
        <f t="shared" si="88"/>
        <v>231.36959598460686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0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1.008104399084968E-8</v>
      </c>
      <c r="AC92" s="22">
        <f t="shared" si="57"/>
        <v>1.008104399084968E-8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5.6</v>
      </c>
      <c r="AI92" s="13">
        <f>IF('Données projet'!$A$62&gt;35,AI91+AH92-AQ91,IF(A92&lt;'Données projet'!$A$62,$AF$205^A92,IF(A92='Données projet'!$A$62,'Données projet'!$B$62,AI91+AH92-AQ91)))</f>
        <v>290.40000000000049</v>
      </c>
      <c r="AJ92" s="13">
        <f>AI92*VLOOKUP('Données projet'!$B$10,Paramètres!$A$1:$I$89,3,0)*VLOOKUP('Données projet'!$B$10,Paramètres!$A$1:$I$89,5,0)</f>
        <v>262.75392000000045</v>
      </c>
      <c r="AK92" s="13">
        <f t="shared" si="89"/>
        <v>63.309041956360382</v>
      </c>
      <c r="AL92" s="20">
        <f t="shared" si="58"/>
        <v>567.89299207399506</v>
      </c>
      <c r="AM92" s="59">
        <f t="shared" si="59"/>
        <v>861.22632540732843</v>
      </c>
      <c r="AN92" s="59">
        <f ca="1">AVERAGE(OFFSET($AM$3,0,0,'Données projet'!$E$10+1,1))-AVERAGE(OFFSET($H$3,0,0,'Données projet'!$E$10+1,1))</f>
        <v>346.35147716792028</v>
      </c>
      <c r="AO92" s="59">
        <f t="shared" si="90"/>
        <v>231.36959598460686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1.008104399084968E-8</v>
      </c>
      <c r="AX92" s="21">
        <f t="shared" si="60"/>
        <v>1.008104399084968E-8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1.1368683772161603E-13</v>
      </c>
      <c r="BE92" s="13">
        <f>BD92*VLOOKUP('Données projet'!$B$11,Paramètres!$A$1:$I$89,3,0)*VLOOKUP('Données projet'!$B$11,Paramètres!$A$1:$I$89,5,0)</f>
        <v>6.7984728957526396E-14</v>
      </c>
      <c r="BF92" s="13">
        <f t="shared" si="91"/>
        <v>1.0682447123141398E-12</v>
      </c>
      <c r="BG92" s="20">
        <f t="shared" si="61"/>
        <v>1.978932943548152E-12</v>
      </c>
      <c r="BH92" s="59">
        <f t="shared" si="62"/>
        <v>293.3333333333353</v>
      </c>
      <c r="BI92" s="59">
        <f ca="1">AVERAGE(OFFSET($BH$3,0,0,'Données projet'!$E$11+1,1))-AVERAGE(OFFSET($H$3,0,0,'Données projet'!$E$11+1,1))</f>
        <v>257.80952690600492</v>
      </c>
      <c r="BJ92" s="59">
        <f t="shared" si="92"/>
        <v>269.95358755269427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#VALUE!</v>
      </c>
      <c r="BQ92" s="21" t="e">
        <f>EXP(-LN(2)/25)*BQ91+(1-EXP(-LN(2)/25))/(LN(2)/25)*Calculateur!BL92*Calculateur!BN92*VLOOKUP('Données projet'!$B$11,Paramètres!$A$1:$I$89,3,0)*0.475*44/12</f>
        <v>#VALUE!</v>
      </c>
      <c r="BR92" s="21" t="e">
        <f>EXP(-LN(2)/2)*BR91+(1-EXP(-LN(2)/2))/(LN(2)/2)*BL92*BO92*VLOOKUP('Données projet'!$B$11,Paramètres!$A$1:$I$89,3,0)*0.475*44/12</f>
        <v>#VALUE!</v>
      </c>
      <c r="BS92" s="22" t="e">
        <f t="shared" si="63"/>
        <v>#VALUE!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-275.00000000000028</v>
      </c>
      <c r="BZ92" s="13">
        <f>BY92*VLOOKUP('Données projet'!$B$12,Paramètres!$A$1:$I$89,3,0)*VLOOKUP('Données projet'!$B$12,Paramètres!$A$1:$I$89,5,0)</f>
        <v>-214.50000000000023</v>
      </c>
      <c r="CA92" s="13" t="e">
        <f t="shared" si="93"/>
        <v>#NUM!</v>
      </c>
      <c r="CB92" s="20" t="e">
        <f t="shared" si="64"/>
        <v>#NUM!</v>
      </c>
      <c r="CC92" s="59" t="e">
        <f t="shared" si="65"/>
        <v>#NUM!</v>
      </c>
      <c r="CD92" s="59">
        <f ca="1">AVERAGE(OFFSET($CC$3,0,0,'Données projet'!$E$12+1,1))-AVERAGE(OFFSET($H$3,0,0,'Données projet'!$E$12+1,1))</f>
        <v>286.5685205631126</v>
      </c>
      <c r="CE92" s="59">
        <f t="shared" si="94"/>
        <v>264.17357326498581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0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0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296</v>
      </c>
      <c r="L93" s="12">
        <f>VLOOKUP(A93,'Données projet'!$A$35:$I$55,9,0)</f>
        <v>5.6</v>
      </c>
      <c r="M93" s="12">
        <f t="array" ref="M93">INDEX(L:L,MIN(IF(ISNUMBER(L93:L289),ROW(L93:L289),"")))</f>
        <v>5.6</v>
      </c>
      <c r="N93" s="13">
        <f>IF('Données projet'!$A$36&gt;35,N92+M93-V92,IF(A93&lt;'Données projet'!$A$36,$K$205^A93,IF(A93='Données projet'!$A$36,'Données projet'!$B$36,N92+M93-V92)))</f>
        <v>296.00000000000051</v>
      </c>
      <c r="O93" s="13">
        <f>N93*VLOOKUP('Données projet'!$B$9,Paramètres!$A$1:$I$89,3,0)*VLOOKUP('Données projet'!$B$9,Paramètres!$A$1:$I$89,5,0)</f>
        <v>267.82080000000047</v>
      </c>
      <c r="P93" s="13">
        <f t="shared" si="87"/>
        <v>64.386570147897487</v>
      </c>
      <c r="Q93" s="20">
        <f t="shared" si="54"/>
        <v>578.59450300758897</v>
      </c>
      <c r="R93" s="59">
        <f t="shared" si="55"/>
        <v>871.92783634092234</v>
      </c>
      <c r="S93" s="59">
        <f ca="1">AVERAGE(OFFSET($R$3,0,0,'Données projet'!$E$9+1,1))-AVERAGE(OFFSET($H$3,0,0,'Données projet'!$E$9+1,1))</f>
        <v>346.35147716792028</v>
      </c>
      <c r="T93" s="59">
        <f t="shared" si="88"/>
        <v>231.36959598460686</v>
      </c>
      <c r="U93" s="15">
        <f>IF(ISNA(VLOOKUP(A93,'Données projet'!$A$35:$I$55,3,0)),0,VLOOKUP(A93,'Données projet'!$A$35:$I$55,3,0))</f>
        <v>8</v>
      </c>
      <c r="V93" s="15">
        <f>IF(ISNA(VLOOKUP(A93,'Données projet'!$A$35:$I$55,4,0)),0,VLOOKUP(A93,'Données projet'!$A$35:$I$55,4,0))</f>
        <v>42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0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7.1283745673697048E-9</v>
      </c>
      <c r="AC93" s="22">
        <f t="shared" si="57"/>
        <v>7.1283745673697048E-9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296</v>
      </c>
      <c r="AG93" s="12">
        <f>VLOOKUP(A93,'Données projet'!$A$61:$I$81,9,0)</f>
        <v>5.6</v>
      </c>
      <c r="AH93" s="12">
        <f t="array" ref="AH93">INDEX(AG:AG,MIN(IF(ISNUMBER(AG93:AG289),ROW(AG93:AG289),"")))</f>
        <v>5.6</v>
      </c>
      <c r="AI93" s="13">
        <f>IF('Données projet'!$A$62&gt;35,AI92+AH93-AQ92,IF(A93&lt;'Données projet'!$A$62,$AF$205^A93,IF(A93='Données projet'!$A$62,'Données projet'!$B$62,AI92+AH93-AQ92)))</f>
        <v>296.00000000000051</v>
      </c>
      <c r="AJ93" s="13">
        <f>AI93*VLOOKUP('Données projet'!$B$10,Paramètres!$A$1:$I$89,3,0)*VLOOKUP('Données projet'!$B$10,Paramètres!$A$1:$I$89,5,0)</f>
        <v>267.82080000000047</v>
      </c>
      <c r="AK93" s="13">
        <f t="shared" si="89"/>
        <v>64.386570147897487</v>
      </c>
      <c r="AL93" s="20">
        <f t="shared" si="58"/>
        <v>578.59450300758897</v>
      </c>
      <c r="AM93" s="59">
        <f t="shared" si="59"/>
        <v>871.92783634092234</v>
      </c>
      <c r="AN93" s="59">
        <f ca="1">AVERAGE(OFFSET($AM$3,0,0,'Données projet'!$E$10+1,1))-AVERAGE(OFFSET($H$3,0,0,'Données projet'!$E$10+1,1))</f>
        <v>346.35147716792028</v>
      </c>
      <c r="AO93" s="59">
        <f t="shared" si="90"/>
        <v>231.36959598460686</v>
      </c>
      <c r="AP93" s="15">
        <f>IF(ISNA(VLOOKUP(A93,'Données projet'!$A$61:$I$81,3,0)),0,VLOOKUP(A93,'Données projet'!$A$61:$I$81,3,0))</f>
        <v>8</v>
      </c>
      <c r="AQ93" s="15">
        <f>IF(ISNA(VLOOKUP(A93,'Données projet'!$A$61:$I$81,4,0)),0,VLOOKUP(A93,'Données projet'!$A$61:$I$81,4,0))</f>
        <v>42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7.1283745673697048E-9</v>
      </c>
      <c r="AX93" s="21">
        <f t="shared" si="60"/>
        <v>7.1283745673697048E-9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1.1368683772161603E-13</v>
      </c>
      <c r="BE93" s="13">
        <f>BD93*VLOOKUP('Données projet'!$B$11,Paramètres!$A$1:$I$89,3,0)*VLOOKUP('Données projet'!$B$11,Paramètres!$A$1:$I$89,5,0)</f>
        <v>6.7984728957526396E-14</v>
      </c>
      <c r="BF93" s="13">
        <f t="shared" si="91"/>
        <v>1.0682447123141398E-12</v>
      </c>
      <c r="BG93" s="20">
        <f t="shared" si="61"/>
        <v>1.978932943548152E-12</v>
      </c>
      <c r="BH93" s="59">
        <f t="shared" si="62"/>
        <v>293.3333333333353</v>
      </c>
      <c r="BI93" s="59">
        <f ca="1">AVERAGE(OFFSET($BH$3,0,0,'Données projet'!$E$11+1,1))-AVERAGE(OFFSET($H$3,0,0,'Données projet'!$E$11+1,1))</f>
        <v>257.80952690600492</v>
      </c>
      <c r="BJ93" s="59">
        <f t="shared" si="92"/>
        <v>269.95358755269427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#VALUE!</v>
      </c>
      <c r="BQ93" s="21" t="e">
        <f>EXP(-LN(2)/25)*BQ92+(1-EXP(-LN(2)/25))/(LN(2)/25)*Calculateur!BL93*Calculateur!BN93*VLOOKUP('Données projet'!$B$11,Paramètres!$A$1:$I$89,3,0)*0.475*44/12</f>
        <v>#VALUE!</v>
      </c>
      <c r="BR93" s="21" t="e">
        <f>EXP(-LN(2)/2)*BR92+(1-EXP(-LN(2)/2))/(LN(2)/2)*BL93*BO93*VLOOKUP('Données projet'!$B$11,Paramètres!$A$1:$I$89,3,0)*0.475*44/12</f>
        <v>#VALUE!</v>
      </c>
      <c r="BS93" s="22" t="e">
        <f t="shared" si="63"/>
        <v>#VALUE!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-275.00000000000028</v>
      </c>
      <c r="BZ93" s="13">
        <f>BY93*VLOOKUP('Données projet'!$B$12,Paramètres!$A$1:$I$89,3,0)*VLOOKUP('Données projet'!$B$12,Paramètres!$A$1:$I$89,5,0)</f>
        <v>-214.50000000000023</v>
      </c>
      <c r="CA93" s="13" t="e">
        <f t="shared" si="93"/>
        <v>#NUM!</v>
      </c>
      <c r="CB93" s="20" t="e">
        <f t="shared" si="64"/>
        <v>#NUM!</v>
      </c>
      <c r="CC93" s="59" t="e">
        <f t="shared" si="65"/>
        <v>#NUM!</v>
      </c>
      <c r="CD93" s="59">
        <f ca="1">AVERAGE(OFFSET($CC$3,0,0,'Données projet'!$E$12+1,1))-AVERAGE(OFFSET($H$3,0,0,'Données projet'!$E$12+1,1))</f>
        <v>286.5685205631126</v>
      </c>
      <c r="CE93" s="59">
        <f t="shared" si="94"/>
        <v>264.17357326498581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0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0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4.9000000000000004</v>
      </c>
      <c r="N94" s="13">
        <f>IF('Données projet'!$A$36&gt;35,N93+M94-V93,IF(A94&lt;'Données projet'!$A$36,$K$205^A94,IF(A94='Données projet'!$A$36,'Données projet'!$B$36,N93+M94-V93)))</f>
        <v>258.90000000000049</v>
      </c>
      <c r="O94" s="13">
        <f>N94*VLOOKUP('Données projet'!$B$9,Paramètres!$A$1:$I$89,3,0)*VLOOKUP('Données projet'!$B$9,Paramètres!$A$1:$I$89,5,0)</f>
        <v>234.25272000000041</v>
      </c>
      <c r="P94" s="13">
        <f t="shared" si="87"/>
        <v>57.2012362311714</v>
      </c>
      <c r="Q94" s="20">
        <f t="shared" si="54"/>
        <v>507.61564043595746</v>
      </c>
      <c r="R94" s="59">
        <f t="shared" si="55"/>
        <v>800.94897376929077</v>
      </c>
      <c r="S94" s="59">
        <f ca="1">AVERAGE(OFFSET($R$3,0,0,'Données projet'!$E$9+1,1))-AVERAGE(OFFSET($H$3,0,0,'Données projet'!$E$9+1,1))</f>
        <v>346.35147716792028</v>
      </c>
      <c r="T94" s="59">
        <f t="shared" si="88"/>
        <v>231.36959598460686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0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5.0405219954248401E-9</v>
      </c>
      <c r="AC94" s="22">
        <f t="shared" si="57"/>
        <v>5.0405219954248401E-9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4.9000000000000004</v>
      </c>
      <c r="AI94" s="13">
        <f>IF('Données projet'!$A$62&gt;35,AI93+AH94-AQ93,IF(A94&lt;'Données projet'!$A$62,$AF$205^A94,IF(A94='Données projet'!$A$62,'Données projet'!$B$62,AI93+AH94-AQ93)))</f>
        <v>258.90000000000049</v>
      </c>
      <c r="AJ94" s="13">
        <f>AI94*VLOOKUP('Données projet'!$B$10,Paramètres!$A$1:$I$89,3,0)*VLOOKUP('Données projet'!$B$10,Paramètres!$A$1:$I$89,5,0)</f>
        <v>234.25272000000041</v>
      </c>
      <c r="AK94" s="13">
        <f t="shared" si="89"/>
        <v>57.2012362311714</v>
      </c>
      <c r="AL94" s="20">
        <f t="shared" si="58"/>
        <v>507.61564043595746</v>
      </c>
      <c r="AM94" s="59">
        <f t="shared" si="59"/>
        <v>800.94897376929077</v>
      </c>
      <c r="AN94" s="59">
        <f ca="1">AVERAGE(OFFSET($AM$3,0,0,'Données projet'!$E$10+1,1))-AVERAGE(OFFSET($H$3,0,0,'Données projet'!$E$10+1,1))</f>
        <v>346.35147716792028</v>
      </c>
      <c r="AO94" s="59">
        <f t="shared" si="90"/>
        <v>231.36959598460686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5.0405219954248401E-9</v>
      </c>
      <c r="AX94" s="21">
        <f t="shared" si="60"/>
        <v>5.0405219954248401E-9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1.1368683772161603E-13</v>
      </c>
      <c r="BE94" s="13">
        <f>BD94*VLOOKUP('Données projet'!$B$11,Paramètres!$A$1:$I$89,3,0)*VLOOKUP('Données projet'!$B$11,Paramètres!$A$1:$I$89,5,0)</f>
        <v>6.7984728957526396E-14</v>
      </c>
      <c r="BF94" s="13">
        <f t="shared" si="91"/>
        <v>1.0682447123141398E-12</v>
      </c>
      <c r="BG94" s="20">
        <f t="shared" si="61"/>
        <v>1.978932943548152E-12</v>
      </c>
      <c r="BH94" s="59">
        <f t="shared" si="62"/>
        <v>293.3333333333353</v>
      </c>
      <c r="BI94" s="59">
        <f ca="1">AVERAGE(OFFSET($BH$3,0,0,'Données projet'!$E$11+1,1))-AVERAGE(OFFSET($H$3,0,0,'Données projet'!$E$11+1,1))</f>
        <v>257.80952690600492</v>
      </c>
      <c r="BJ94" s="59">
        <f t="shared" si="92"/>
        <v>269.95358755269427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#VALUE!</v>
      </c>
      <c r="BQ94" s="21" t="e">
        <f>EXP(-LN(2)/25)*BQ93+(1-EXP(-LN(2)/25))/(LN(2)/25)*Calculateur!BL94*Calculateur!BN94*VLOOKUP('Données projet'!$B$11,Paramètres!$A$1:$I$89,3,0)*0.475*44/12</f>
        <v>#VALUE!</v>
      </c>
      <c r="BR94" s="21" t="e">
        <f>EXP(-LN(2)/2)*BR93+(1-EXP(-LN(2)/2))/(LN(2)/2)*BL94*BO94*VLOOKUP('Données projet'!$B$11,Paramètres!$A$1:$I$89,3,0)*0.475*44/12</f>
        <v>#VALUE!</v>
      </c>
      <c r="BS94" s="22" t="e">
        <f t="shared" si="63"/>
        <v>#VALUE!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-275.00000000000028</v>
      </c>
      <c r="BZ94" s="13">
        <f>BY94*VLOOKUP('Données projet'!$B$12,Paramètres!$A$1:$I$89,3,0)*VLOOKUP('Données projet'!$B$12,Paramètres!$A$1:$I$89,5,0)</f>
        <v>-214.50000000000023</v>
      </c>
      <c r="CA94" s="13" t="e">
        <f t="shared" si="93"/>
        <v>#NUM!</v>
      </c>
      <c r="CB94" s="20" t="e">
        <f t="shared" si="64"/>
        <v>#NUM!</v>
      </c>
      <c r="CC94" s="59" t="e">
        <f t="shared" si="65"/>
        <v>#NUM!</v>
      </c>
      <c r="CD94" s="59">
        <f ca="1">AVERAGE(OFFSET($CC$3,0,0,'Données projet'!$E$12+1,1))-AVERAGE(OFFSET($H$3,0,0,'Données projet'!$E$12+1,1))</f>
        <v>286.5685205631126</v>
      </c>
      <c r="CE94" s="59">
        <f t="shared" si="94"/>
        <v>264.17357326498581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0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0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4.9000000000000004</v>
      </c>
      <c r="N95" s="13">
        <f>IF('Données projet'!$A$36&gt;35,N94+M95-V94,IF(A95&lt;'Données projet'!$A$36,$K$205^A95,IF(A95='Données projet'!$A$36,'Données projet'!$B$36,N94+M95-V94)))</f>
        <v>263.80000000000047</v>
      </c>
      <c r="O95" s="13">
        <f>N95*VLOOKUP('Données projet'!$B$9,Paramètres!$A$1:$I$89,3,0)*VLOOKUP('Données projet'!$B$9,Paramètres!$A$1:$I$89,5,0)</f>
        <v>238.6862400000004</v>
      </c>
      <c r="P95" s="13">
        <f t="shared" si="87"/>
        <v>58.156778382060978</v>
      </c>
      <c r="Q95" s="20">
        <f t="shared" si="54"/>
        <v>517.00159034875685</v>
      </c>
      <c r="R95" s="59">
        <f t="shared" si="55"/>
        <v>810.33492368209022</v>
      </c>
      <c r="S95" s="59">
        <f ca="1">AVERAGE(OFFSET($R$3,0,0,'Données projet'!$E$9+1,1))-AVERAGE(OFFSET($H$3,0,0,'Données projet'!$E$9+1,1))</f>
        <v>346.35147716792028</v>
      </c>
      <c r="T95" s="59">
        <f t="shared" si="88"/>
        <v>231.36959598460686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0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3.5641872836848524E-9</v>
      </c>
      <c r="AC95" s="22">
        <f t="shared" si="57"/>
        <v>3.5641872836848524E-9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4.9000000000000004</v>
      </c>
      <c r="AI95" s="13">
        <f>IF('Données projet'!$A$62&gt;35,AI94+AH95-AQ94,IF(A95&lt;'Données projet'!$A$62,$AF$205^A95,IF(A95='Données projet'!$A$62,'Données projet'!$B$62,AI94+AH95-AQ94)))</f>
        <v>263.80000000000047</v>
      </c>
      <c r="AJ95" s="13">
        <f>AI95*VLOOKUP('Données projet'!$B$10,Paramètres!$A$1:$I$89,3,0)*VLOOKUP('Données projet'!$B$10,Paramètres!$A$1:$I$89,5,0)</f>
        <v>238.6862400000004</v>
      </c>
      <c r="AK95" s="13">
        <f t="shared" si="89"/>
        <v>58.156778382060978</v>
      </c>
      <c r="AL95" s="20">
        <f t="shared" si="58"/>
        <v>517.00159034875685</v>
      </c>
      <c r="AM95" s="59">
        <f t="shared" si="59"/>
        <v>810.33492368209022</v>
      </c>
      <c r="AN95" s="59">
        <f ca="1">AVERAGE(OFFSET($AM$3,0,0,'Données projet'!$E$10+1,1))-AVERAGE(OFFSET($H$3,0,0,'Données projet'!$E$10+1,1))</f>
        <v>346.35147716792028</v>
      </c>
      <c r="AO95" s="59">
        <f t="shared" si="90"/>
        <v>231.36959598460686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3.5641872836848524E-9</v>
      </c>
      <c r="AX95" s="21">
        <f t="shared" si="60"/>
        <v>3.5641872836848524E-9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1.1368683772161603E-13</v>
      </c>
      <c r="BE95" s="13">
        <f>BD95*VLOOKUP('Données projet'!$B$11,Paramètres!$A$1:$I$89,3,0)*VLOOKUP('Données projet'!$B$11,Paramètres!$A$1:$I$89,5,0)</f>
        <v>6.7984728957526396E-14</v>
      </c>
      <c r="BF95" s="13">
        <f t="shared" si="91"/>
        <v>1.0682447123141398E-12</v>
      </c>
      <c r="BG95" s="20">
        <f t="shared" si="61"/>
        <v>1.978932943548152E-12</v>
      </c>
      <c r="BH95" s="59">
        <f t="shared" si="62"/>
        <v>293.3333333333353</v>
      </c>
      <c r="BI95" s="59">
        <f ca="1">AVERAGE(OFFSET($BH$3,0,0,'Données projet'!$E$11+1,1))-AVERAGE(OFFSET($H$3,0,0,'Données projet'!$E$11+1,1))</f>
        <v>257.80952690600492</v>
      </c>
      <c r="BJ95" s="59">
        <f t="shared" si="92"/>
        <v>269.95358755269427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#VALUE!</v>
      </c>
      <c r="BQ95" s="21" t="e">
        <f>EXP(-LN(2)/25)*BQ94+(1-EXP(-LN(2)/25))/(LN(2)/25)*Calculateur!BL95*Calculateur!BN95*VLOOKUP('Données projet'!$B$11,Paramètres!$A$1:$I$89,3,0)*0.475*44/12</f>
        <v>#VALUE!</v>
      </c>
      <c r="BR95" s="21" t="e">
        <f>EXP(-LN(2)/2)*BR94+(1-EXP(-LN(2)/2))/(LN(2)/2)*BL95*BO95*VLOOKUP('Données projet'!$B$11,Paramètres!$A$1:$I$89,3,0)*0.475*44/12</f>
        <v>#VALUE!</v>
      </c>
      <c r="BS95" s="22" t="e">
        <f t="shared" si="63"/>
        <v>#VALUE!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-275.00000000000028</v>
      </c>
      <c r="BZ95" s="13">
        <f>BY95*VLOOKUP('Données projet'!$B$12,Paramètres!$A$1:$I$89,3,0)*VLOOKUP('Données projet'!$B$12,Paramètres!$A$1:$I$89,5,0)</f>
        <v>-214.50000000000023</v>
      </c>
      <c r="CA95" s="13" t="e">
        <f t="shared" si="93"/>
        <v>#NUM!</v>
      </c>
      <c r="CB95" s="20" t="e">
        <f t="shared" si="64"/>
        <v>#NUM!</v>
      </c>
      <c r="CC95" s="59" t="e">
        <f t="shared" si="65"/>
        <v>#NUM!</v>
      </c>
      <c r="CD95" s="59">
        <f ca="1">AVERAGE(OFFSET($CC$3,0,0,'Données projet'!$E$12+1,1))-AVERAGE(OFFSET($H$3,0,0,'Données projet'!$E$12+1,1))</f>
        <v>286.5685205631126</v>
      </c>
      <c r="CE95" s="59">
        <f t="shared" si="94"/>
        <v>264.17357326498581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0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0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4.9000000000000004</v>
      </c>
      <c r="N96" s="13">
        <f>IF('Données projet'!$A$36&gt;35,N95+M96-V95,IF(A96&lt;'Données projet'!$A$36,$K$205^A96,IF(A96='Données projet'!$A$36,'Données projet'!$B$36,N95+M96-V95)))</f>
        <v>268.70000000000044</v>
      </c>
      <c r="O96" s="13">
        <f>N96*VLOOKUP('Données projet'!$B$9,Paramètres!$A$1:$I$89,3,0)*VLOOKUP('Données projet'!$B$9,Paramètres!$A$1:$I$89,5,0)</f>
        <v>243.11976000000041</v>
      </c>
      <c r="P96" s="13">
        <f t="shared" si="87"/>
        <v>59.110256668778582</v>
      </c>
      <c r="Q96" s="20">
        <f t="shared" si="54"/>
        <v>526.3839456981234</v>
      </c>
      <c r="R96" s="59">
        <f t="shared" si="55"/>
        <v>819.71727903145666</v>
      </c>
      <c r="S96" s="59">
        <f ca="1">AVERAGE(OFFSET($R$3,0,0,'Données projet'!$E$9+1,1))-AVERAGE(OFFSET($H$3,0,0,'Données projet'!$E$9+1,1))</f>
        <v>346.35147716792028</v>
      </c>
      <c r="T96" s="59">
        <f t="shared" si="88"/>
        <v>231.36959598460686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0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2.5202609977124201E-9</v>
      </c>
      <c r="AC96" s="22">
        <f t="shared" si="57"/>
        <v>2.5202609977124201E-9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4.9000000000000004</v>
      </c>
      <c r="AI96" s="13">
        <f>IF('Données projet'!$A$62&gt;35,AI95+AH96-AQ95,IF(A96&lt;'Données projet'!$A$62,$AF$205^A96,IF(A96='Données projet'!$A$62,'Données projet'!$B$62,AI95+AH96-AQ95)))</f>
        <v>268.70000000000044</v>
      </c>
      <c r="AJ96" s="13">
        <f>AI96*VLOOKUP('Données projet'!$B$10,Paramètres!$A$1:$I$89,3,0)*VLOOKUP('Données projet'!$B$10,Paramètres!$A$1:$I$89,5,0)</f>
        <v>243.11976000000041</v>
      </c>
      <c r="AK96" s="13">
        <f t="shared" si="89"/>
        <v>59.110256668778582</v>
      </c>
      <c r="AL96" s="20">
        <f t="shared" si="58"/>
        <v>526.3839456981234</v>
      </c>
      <c r="AM96" s="59">
        <f t="shared" si="59"/>
        <v>819.71727903145666</v>
      </c>
      <c r="AN96" s="59">
        <f ca="1">AVERAGE(OFFSET($AM$3,0,0,'Données projet'!$E$10+1,1))-AVERAGE(OFFSET($H$3,0,0,'Données projet'!$E$10+1,1))</f>
        <v>346.35147716792028</v>
      </c>
      <c r="AO96" s="59">
        <f t="shared" si="90"/>
        <v>231.36959598460686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2.5202609977124201E-9</v>
      </c>
      <c r="AX96" s="21">
        <f t="shared" si="60"/>
        <v>2.5202609977124201E-9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1.1368683772161603E-13</v>
      </c>
      <c r="BE96" s="13">
        <f>BD96*VLOOKUP('Données projet'!$B$11,Paramètres!$A$1:$I$89,3,0)*VLOOKUP('Données projet'!$B$11,Paramètres!$A$1:$I$89,5,0)</f>
        <v>6.7984728957526396E-14</v>
      </c>
      <c r="BF96" s="13">
        <f t="shared" si="91"/>
        <v>1.0682447123141398E-12</v>
      </c>
      <c r="BG96" s="20">
        <f t="shared" si="61"/>
        <v>1.978932943548152E-12</v>
      </c>
      <c r="BH96" s="59">
        <f t="shared" si="62"/>
        <v>293.3333333333353</v>
      </c>
      <c r="BI96" s="59">
        <f ca="1">AVERAGE(OFFSET($BH$3,0,0,'Données projet'!$E$11+1,1))-AVERAGE(OFFSET($H$3,0,0,'Données projet'!$E$11+1,1))</f>
        <v>257.80952690600492</v>
      </c>
      <c r="BJ96" s="59">
        <f t="shared" si="92"/>
        <v>269.95358755269427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#VALUE!</v>
      </c>
      <c r="BQ96" s="21" t="e">
        <f>EXP(-LN(2)/25)*BQ95+(1-EXP(-LN(2)/25))/(LN(2)/25)*Calculateur!BL96*Calculateur!BN96*VLOOKUP('Données projet'!$B$11,Paramètres!$A$1:$I$89,3,0)*0.475*44/12</f>
        <v>#VALUE!</v>
      </c>
      <c r="BR96" s="21" t="e">
        <f>EXP(-LN(2)/2)*BR95+(1-EXP(-LN(2)/2))/(LN(2)/2)*BL96*BO96*VLOOKUP('Données projet'!$B$11,Paramètres!$A$1:$I$89,3,0)*0.475*44/12</f>
        <v>#VALUE!</v>
      </c>
      <c r="BS96" s="22" t="e">
        <f t="shared" si="63"/>
        <v>#VALUE!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-275.00000000000028</v>
      </c>
      <c r="BZ96" s="13">
        <f>BY96*VLOOKUP('Données projet'!$B$12,Paramètres!$A$1:$I$89,3,0)*VLOOKUP('Données projet'!$B$12,Paramètres!$A$1:$I$89,5,0)</f>
        <v>-214.50000000000023</v>
      </c>
      <c r="CA96" s="13" t="e">
        <f t="shared" si="93"/>
        <v>#NUM!</v>
      </c>
      <c r="CB96" s="20" t="e">
        <f t="shared" si="64"/>
        <v>#NUM!</v>
      </c>
      <c r="CC96" s="59" t="e">
        <f t="shared" si="65"/>
        <v>#NUM!</v>
      </c>
      <c r="CD96" s="59">
        <f ca="1">AVERAGE(OFFSET($CC$3,0,0,'Données projet'!$E$12+1,1))-AVERAGE(OFFSET($H$3,0,0,'Données projet'!$E$12+1,1))</f>
        <v>286.5685205631126</v>
      </c>
      <c r="CE96" s="59">
        <f t="shared" si="94"/>
        <v>264.17357326498581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0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0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4.9000000000000004</v>
      </c>
      <c r="N97" s="13">
        <f>IF('Données projet'!$A$36&gt;35,N96+M97-V96,IF(A97&lt;'Données projet'!$A$36,$K$205^A97,IF(A97='Données projet'!$A$36,'Données projet'!$B$36,N96+M97-V96)))</f>
        <v>273.60000000000042</v>
      </c>
      <c r="O97" s="13">
        <f>N97*VLOOKUP('Données projet'!$B$9,Paramètres!$A$1:$I$89,3,0)*VLOOKUP('Données projet'!$B$9,Paramètres!$A$1:$I$89,5,0)</f>
        <v>247.5532800000004</v>
      </c>
      <c r="P97" s="13">
        <f t="shared" si="87"/>
        <v>60.061713068870304</v>
      </c>
      <c r="Q97" s="20">
        <f t="shared" si="54"/>
        <v>535.76277959494985</v>
      </c>
      <c r="R97" s="59">
        <f t="shared" si="55"/>
        <v>829.09611292828322</v>
      </c>
      <c r="S97" s="59">
        <f ca="1">AVERAGE(OFFSET($R$3,0,0,'Données projet'!$E$9+1,1))-AVERAGE(OFFSET($H$3,0,0,'Données projet'!$E$9+1,1))</f>
        <v>346.35147716792028</v>
      </c>
      <c r="T97" s="59">
        <f t="shared" si="88"/>
        <v>231.36959598460686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0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1.7820936418424262E-9</v>
      </c>
      <c r="AC97" s="22">
        <f t="shared" si="57"/>
        <v>1.7820936418424262E-9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4.9000000000000004</v>
      </c>
      <c r="AI97" s="13">
        <f>IF('Données projet'!$A$62&gt;35,AI96+AH97-AQ96,IF(A97&lt;'Données projet'!$A$62,$AF$205^A97,IF(A97='Données projet'!$A$62,'Données projet'!$B$62,AI96+AH97-AQ96)))</f>
        <v>273.60000000000042</v>
      </c>
      <c r="AJ97" s="13">
        <f>AI97*VLOOKUP('Données projet'!$B$10,Paramètres!$A$1:$I$89,3,0)*VLOOKUP('Données projet'!$B$10,Paramètres!$A$1:$I$89,5,0)</f>
        <v>247.5532800000004</v>
      </c>
      <c r="AK97" s="13">
        <f t="shared" si="89"/>
        <v>60.061713068870304</v>
      </c>
      <c r="AL97" s="20">
        <f t="shared" si="58"/>
        <v>535.76277959494985</v>
      </c>
      <c r="AM97" s="59">
        <f t="shared" si="59"/>
        <v>829.09611292828322</v>
      </c>
      <c r="AN97" s="59">
        <f ca="1">AVERAGE(OFFSET($AM$3,0,0,'Données projet'!$E$10+1,1))-AVERAGE(OFFSET($H$3,0,0,'Données projet'!$E$10+1,1))</f>
        <v>346.35147716792028</v>
      </c>
      <c r="AO97" s="59">
        <f t="shared" si="90"/>
        <v>231.36959598460686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1.7820936418424262E-9</v>
      </c>
      <c r="AX97" s="21">
        <f t="shared" si="60"/>
        <v>1.7820936418424262E-9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1.1368683772161603E-13</v>
      </c>
      <c r="BE97" s="13">
        <f>BD97*VLOOKUP('Données projet'!$B$11,Paramètres!$A$1:$I$89,3,0)*VLOOKUP('Données projet'!$B$11,Paramètres!$A$1:$I$89,5,0)</f>
        <v>6.7984728957526396E-14</v>
      </c>
      <c r="BF97" s="13">
        <f t="shared" si="91"/>
        <v>1.0682447123141398E-12</v>
      </c>
      <c r="BG97" s="20">
        <f t="shared" si="61"/>
        <v>1.978932943548152E-12</v>
      </c>
      <c r="BH97" s="59">
        <f t="shared" si="62"/>
        <v>293.3333333333353</v>
      </c>
      <c r="BI97" s="59">
        <f ca="1">AVERAGE(OFFSET($BH$3,0,0,'Données projet'!$E$11+1,1))-AVERAGE(OFFSET($H$3,0,0,'Données projet'!$E$11+1,1))</f>
        <v>257.80952690600492</v>
      </c>
      <c r="BJ97" s="59">
        <f t="shared" si="92"/>
        <v>269.95358755269427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#VALUE!</v>
      </c>
      <c r="BQ97" s="21" t="e">
        <f>EXP(-LN(2)/25)*BQ96+(1-EXP(-LN(2)/25))/(LN(2)/25)*Calculateur!BL97*Calculateur!BN97*VLOOKUP('Données projet'!$B$11,Paramètres!$A$1:$I$89,3,0)*0.475*44/12</f>
        <v>#VALUE!</v>
      </c>
      <c r="BR97" s="21" t="e">
        <f>EXP(-LN(2)/2)*BR96+(1-EXP(-LN(2)/2))/(LN(2)/2)*BL97*BO97*VLOOKUP('Données projet'!$B$11,Paramètres!$A$1:$I$89,3,0)*0.475*44/12</f>
        <v>#VALUE!</v>
      </c>
      <c r="BS97" s="22" t="e">
        <f t="shared" si="63"/>
        <v>#VALUE!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-275.00000000000028</v>
      </c>
      <c r="BZ97" s="13">
        <f>BY97*VLOOKUP('Données projet'!$B$12,Paramètres!$A$1:$I$89,3,0)*VLOOKUP('Données projet'!$B$12,Paramètres!$A$1:$I$89,5,0)</f>
        <v>-214.50000000000023</v>
      </c>
      <c r="CA97" s="13" t="e">
        <f t="shared" si="93"/>
        <v>#NUM!</v>
      </c>
      <c r="CB97" s="20" t="e">
        <f t="shared" si="64"/>
        <v>#NUM!</v>
      </c>
      <c r="CC97" s="59" t="e">
        <f t="shared" si="65"/>
        <v>#NUM!</v>
      </c>
      <c r="CD97" s="59">
        <f ca="1">AVERAGE(OFFSET($CC$3,0,0,'Données projet'!$E$12+1,1))-AVERAGE(OFFSET($H$3,0,0,'Données projet'!$E$12+1,1))</f>
        <v>286.5685205631126</v>
      </c>
      <c r="CE97" s="59">
        <f t="shared" si="94"/>
        <v>264.17357326498581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0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0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4.9000000000000004</v>
      </c>
      <c r="N98" s="13">
        <f>IF('Données projet'!$A$36&gt;35,N97+M98-V97,IF(A98&lt;'Données projet'!$A$36,$K$205^A98,IF(A98='Données projet'!$A$36,'Données projet'!$B$36,N97+M98-V97)))</f>
        <v>278.5000000000004</v>
      </c>
      <c r="O98" s="13">
        <f>N98*VLOOKUP('Données projet'!$B$9,Paramètres!$A$1:$I$89,3,0)*VLOOKUP('Données projet'!$B$9,Paramètres!$A$1:$I$89,5,0)</f>
        <v>251.98680000000036</v>
      </c>
      <c r="P98" s="13">
        <f t="shared" si="87"/>
        <v>61.011187970195103</v>
      </c>
      <c r="Q98" s="20">
        <f t="shared" si="54"/>
        <v>545.13816238142374</v>
      </c>
      <c r="R98" s="59">
        <f t="shared" si="55"/>
        <v>838.47149571475711</v>
      </c>
      <c r="S98" s="59">
        <f ca="1">AVERAGE(OFFSET($R$3,0,0,'Données projet'!$E$9+1,1))-AVERAGE(OFFSET($H$3,0,0,'Données projet'!$E$9+1,1))</f>
        <v>346.35147716792028</v>
      </c>
      <c r="T98" s="59">
        <f t="shared" si="88"/>
        <v>231.36959598460686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0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1.26013049885621E-9</v>
      </c>
      <c r="AC98" s="22">
        <f t="shared" si="57"/>
        <v>1.26013049885621E-9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4.9000000000000004</v>
      </c>
      <c r="AI98" s="13">
        <f>IF('Données projet'!$A$62&gt;35,AI97+AH98-AQ97,IF(A98&lt;'Données projet'!$A$62,$AF$205^A98,IF(A98='Données projet'!$A$62,'Données projet'!$B$62,AI97+AH98-AQ97)))</f>
        <v>278.5000000000004</v>
      </c>
      <c r="AJ98" s="13">
        <f>AI98*VLOOKUP('Données projet'!$B$10,Paramètres!$A$1:$I$89,3,0)*VLOOKUP('Données projet'!$B$10,Paramètres!$A$1:$I$89,5,0)</f>
        <v>251.98680000000036</v>
      </c>
      <c r="AK98" s="13">
        <f t="shared" si="89"/>
        <v>61.011187970195103</v>
      </c>
      <c r="AL98" s="20">
        <f t="shared" si="58"/>
        <v>545.13816238142374</v>
      </c>
      <c r="AM98" s="59">
        <f t="shared" si="59"/>
        <v>838.47149571475711</v>
      </c>
      <c r="AN98" s="59">
        <f ca="1">AVERAGE(OFFSET($AM$3,0,0,'Données projet'!$E$10+1,1))-AVERAGE(OFFSET($H$3,0,0,'Données projet'!$E$10+1,1))</f>
        <v>346.35147716792028</v>
      </c>
      <c r="AO98" s="59">
        <f t="shared" si="90"/>
        <v>231.36959598460686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1.26013049885621E-9</v>
      </c>
      <c r="AX98" s="21">
        <f t="shared" si="60"/>
        <v>1.26013049885621E-9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1.1368683772161603E-13</v>
      </c>
      <c r="BE98" s="13">
        <f>BD98*VLOOKUP('Données projet'!$B$11,Paramètres!$A$1:$I$89,3,0)*VLOOKUP('Données projet'!$B$11,Paramètres!$A$1:$I$89,5,0)</f>
        <v>6.7984728957526396E-14</v>
      </c>
      <c r="BF98" s="13">
        <f t="shared" si="91"/>
        <v>1.0682447123141398E-12</v>
      </c>
      <c r="BG98" s="20">
        <f t="shared" si="61"/>
        <v>1.978932943548152E-12</v>
      </c>
      <c r="BH98" s="59">
        <f t="shared" si="62"/>
        <v>293.3333333333353</v>
      </c>
      <c r="BI98" s="59">
        <f ca="1">AVERAGE(OFFSET($BH$3,0,0,'Données projet'!$E$11+1,1))-AVERAGE(OFFSET($H$3,0,0,'Données projet'!$E$11+1,1))</f>
        <v>257.80952690600492</v>
      </c>
      <c r="BJ98" s="59">
        <f t="shared" si="92"/>
        <v>269.95358755269427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#VALUE!</v>
      </c>
      <c r="BQ98" s="21" t="e">
        <f>EXP(-LN(2)/25)*BQ97+(1-EXP(-LN(2)/25))/(LN(2)/25)*Calculateur!BL98*Calculateur!BN98*VLOOKUP('Données projet'!$B$11,Paramètres!$A$1:$I$89,3,0)*0.475*44/12</f>
        <v>#VALUE!</v>
      </c>
      <c r="BR98" s="21" t="e">
        <f>EXP(-LN(2)/2)*BR97+(1-EXP(-LN(2)/2))/(LN(2)/2)*BL98*BO98*VLOOKUP('Données projet'!$B$11,Paramètres!$A$1:$I$89,3,0)*0.475*44/12</f>
        <v>#VALUE!</v>
      </c>
      <c r="BS98" s="22" t="e">
        <f t="shared" si="63"/>
        <v>#VALUE!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-275.00000000000028</v>
      </c>
      <c r="BZ98" s="13">
        <f>BY98*VLOOKUP('Données projet'!$B$12,Paramètres!$A$1:$I$89,3,0)*VLOOKUP('Données projet'!$B$12,Paramètres!$A$1:$I$89,5,0)</f>
        <v>-214.50000000000023</v>
      </c>
      <c r="CA98" s="13" t="e">
        <f t="shared" si="93"/>
        <v>#NUM!</v>
      </c>
      <c r="CB98" s="20" t="e">
        <f t="shared" si="64"/>
        <v>#NUM!</v>
      </c>
      <c r="CC98" s="59" t="e">
        <f t="shared" si="65"/>
        <v>#NUM!</v>
      </c>
      <c r="CD98" s="59">
        <f ca="1">AVERAGE(OFFSET($CC$3,0,0,'Données projet'!$E$12+1,1))-AVERAGE(OFFSET($H$3,0,0,'Données projet'!$E$12+1,1))</f>
        <v>286.5685205631126</v>
      </c>
      <c r="CE98" s="59">
        <f t="shared" si="94"/>
        <v>264.17357326498581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0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0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4.9000000000000004</v>
      </c>
      <c r="N99" s="13">
        <f>IF('Données projet'!$A$36&gt;35,N98+M99-V98,IF(A99&lt;'Données projet'!$A$36,$K$205^A99,IF(A99='Données projet'!$A$36,'Données projet'!$B$36,N98+M99-V98)))</f>
        <v>283.40000000000038</v>
      </c>
      <c r="O99" s="13">
        <f>N99*VLOOKUP('Données projet'!$B$9,Paramètres!$A$1:$I$89,3,0)*VLOOKUP('Données projet'!$B$9,Paramètres!$A$1:$I$89,5,0)</f>
        <v>256.42032000000034</v>
      </c>
      <c r="P99" s="13">
        <f t="shared" si="87"/>
        <v>61.958720258017024</v>
      </c>
      <c r="Q99" s="20">
        <f t="shared" ref="Q99:Q130" si="107">(O99+P99)*0.475*44/12</f>
        <v>554.51016178271357</v>
      </c>
      <c r="R99" s="59">
        <f t="shared" si="55"/>
        <v>847.84349511604682</v>
      </c>
      <c r="S99" s="59">
        <f ca="1">AVERAGE(OFFSET($R$3,0,0,'Données projet'!$E$9+1,1))-AVERAGE(OFFSET($H$3,0,0,'Données projet'!$E$9+1,1))</f>
        <v>346.35147716792028</v>
      </c>
      <c r="T99" s="59">
        <f t="shared" si="88"/>
        <v>231.36959598460686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0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8.910468209212131E-10</v>
      </c>
      <c r="AC99" s="22">
        <f t="shared" si="57"/>
        <v>8.910468209212131E-10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4.9000000000000004</v>
      </c>
      <c r="AI99" s="13">
        <f>IF('Données projet'!$A$62&gt;35,AI98+AH99-AQ98,IF(A99&lt;'Données projet'!$A$62,$AF$205^A99,IF(A99='Données projet'!$A$62,'Données projet'!$B$62,AI98+AH99-AQ98)))</f>
        <v>283.40000000000038</v>
      </c>
      <c r="AJ99" s="13">
        <f>AI99*VLOOKUP('Données projet'!$B$10,Paramètres!$A$1:$I$89,3,0)*VLOOKUP('Données projet'!$B$10,Paramètres!$A$1:$I$89,5,0)</f>
        <v>256.42032000000034</v>
      </c>
      <c r="AK99" s="13">
        <f t="shared" si="89"/>
        <v>61.958720258017024</v>
      </c>
      <c r="AL99" s="20">
        <f t="shared" si="58"/>
        <v>554.51016178271357</v>
      </c>
      <c r="AM99" s="59">
        <f t="shared" si="59"/>
        <v>847.84349511604682</v>
      </c>
      <c r="AN99" s="59">
        <f ca="1">AVERAGE(OFFSET($AM$3,0,0,'Données projet'!$E$10+1,1))-AVERAGE(OFFSET($H$3,0,0,'Données projet'!$E$10+1,1))</f>
        <v>346.35147716792028</v>
      </c>
      <c r="AO99" s="59">
        <f t="shared" si="90"/>
        <v>231.36959598460686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8.910468209212131E-10</v>
      </c>
      <c r="AX99" s="21">
        <f t="shared" si="60"/>
        <v>8.910468209212131E-10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1.1368683772161603E-13</v>
      </c>
      <c r="BE99" s="13">
        <f>BD99*VLOOKUP('Données projet'!$B$11,Paramètres!$A$1:$I$89,3,0)*VLOOKUP('Données projet'!$B$11,Paramètres!$A$1:$I$89,5,0)</f>
        <v>6.7984728957526396E-14</v>
      </c>
      <c r="BF99" s="13">
        <f t="shared" si="91"/>
        <v>1.0682447123141398E-12</v>
      </c>
      <c r="BG99" s="20">
        <f t="shared" si="61"/>
        <v>1.978932943548152E-12</v>
      </c>
      <c r="BH99" s="59">
        <f t="shared" si="62"/>
        <v>293.3333333333353</v>
      </c>
      <c r="BI99" s="59">
        <f ca="1">AVERAGE(OFFSET($BH$3,0,0,'Données projet'!$E$11+1,1))-AVERAGE(OFFSET($H$3,0,0,'Données projet'!$E$11+1,1))</f>
        <v>257.80952690600492</v>
      </c>
      <c r="BJ99" s="59">
        <f t="shared" si="92"/>
        <v>269.95358755269427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#VALUE!</v>
      </c>
      <c r="BQ99" s="21" t="e">
        <f>EXP(-LN(2)/25)*BQ98+(1-EXP(-LN(2)/25))/(LN(2)/25)*Calculateur!BL99*Calculateur!BN99*VLOOKUP('Données projet'!$B$11,Paramètres!$A$1:$I$89,3,0)*0.475*44/12</f>
        <v>#VALUE!</v>
      </c>
      <c r="BR99" s="21" t="e">
        <f>EXP(-LN(2)/2)*BR98+(1-EXP(-LN(2)/2))/(LN(2)/2)*BL99*BO99*VLOOKUP('Données projet'!$B$11,Paramètres!$A$1:$I$89,3,0)*0.475*44/12</f>
        <v>#VALUE!</v>
      </c>
      <c r="BS99" s="22" t="e">
        <f t="shared" si="63"/>
        <v>#VALUE!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-275.00000000000028</v>
      </c>
      <c r="BZ99" s="13">
        <f>BY99*VLOOKUP('Données projet'!$B$12,Paramètres!$A$1:$I$89,3,0)*VLOOKUP('Données projet'!$B$12,Paramètres!$A$1:$I$89,5,0)</f>
        <v>-214.50000000000023</v>
      </c>
      <c r="CA99" s="13" t="e">
        <f t="shared" si="93"/>
        <v>#NUM!</v>
      </c>
      <c r="CB99" s="20" t="e">
        <f t="shared" si="64"/>
        <v>#NUM!</v>
      </c>
      <c r="CC99" s="59" t="e">
        <f t="shared" si="65"/>
        <v>#NUM!</v>
      </c>
      <c r="CD99" s="59">
        <f ca="1">AVERAGE(OFFSET($CC$3,0,0,'Données projet'!$E$12+1,1))-AVERAGE(OFFSET($H$3,0,0,'Données projet'!$E$12+1,1))</f>
        <v>286.5685205631126</v>
      </c>
      <c r="CE99" s="59">
        <f t="shared" si="94"/>
        <v>264.17357326498581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0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0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4.9000000000000004</v>
      </c>
      <c r="N100" s="13">
        <f>IF('Données projet'!$A$36&gt;35,N99+M100-V99,IF(A100&lt;'Données projet'!$A$36,$K$205^A100,IF(A100='Données projet'!$A$36,'Données projet'!$B$36,N99+M100-V99)))</f>
        <v>288.30000000000035</v>
      </c>
      <c r="O100" s="13">
        <f>N100*VLOOKUP('Données projet'!$B$9,Paramètres!$A$1:$I$89,3,0)*VLOOKUP('Données projet'!$B$9,Paramètres!$A$1:$I$89,5,0)</f>
        <v>260.85384000000033</v>
      </c>
      <c r="P100" s="13">
        <f t="shared" si="87"/>
        <v>62.90434739590382</v>
      </c>
      <c r="Q100" s="20">
        <f t="shared" si="107"/>
        <v>563.87884304786633</v>
      </c>
      <c r="R100" s="59">
        <f t="shared" si="55"/>
        <v>857.2121763811997</v>
      </c>
      <c r="S100" s="59">
        <f ca="1">AVERAGE(OFFSET($R$3,0,0,'Données projet'!$E$9+1,1))-AVERAGE(OFFSET($H$3,0,0,'Données projet'!$E$9+1,1))</f>
        <v>346.35147716792028</v>
      </c>
      <c r="T100" s="59">
        <f t="shared" si="88"/>
        <v>231.36959598460686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0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6.3006524942810502E-10</v>
      </c>
      <c r="AC100" s="22">
        <f t="shared" si="57"/>
        <v>6.3006524942810502E-10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4.9000000000000004</v>
      </c>
      <c r="AI100" s="13">
        <f>IF('Données projet'!$A$62&gt;35,AI99+AH100-AQ99,IF(A100&lt;'Données projet'!$A$62,$AF$205^A100,IF(A100='Données projet'!$A$62,'Données projet'!$B$62,AI99+AH100-AQ99)))</f>
        <v>288.30000000000035</v>
      </c>
      <c r="AJ100" s="13">
        <f>AI100*VLOOKUP('Données projet'!$B$10,Paramètres!$A$1:$I$89,3,0)*VLOOKUP('Données projet'!$B$10,Paramètres!$A$1:$I$89,5,0)</f>
        <v>260.85384000000033</v>
      </c>
      <c r="AK100" s="13">
        <f t="shared" si="89"/>
        <v>62.90434739590382</v>
      </c>
      <c r="AL100" s="20">
        <f t="shared" si="58"/>
        <v>563.87884304786633</v>
      </c>
      <c r="AM100" s="59">
        <f t="shared" si="59"/>
        <v>857.2121763811997</v>
      </c>
      <c r="AN100" s="59">
        <f ca="1">AVERAGE(OFFSET($AM$3,0,0,'Données projet'!$E$10+1,1))-AVERAGE(OFFSET($H$3,0,0,'Données projet'!$E$10+1,1))</f>
        <v>346.35147716792028</v>
      </c>
      <c r="AO100" s="59">
        <f t="shared" si="90"/>
        <v>231.36959598460686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6.3006524942810502E-10</v>
      </c>
      <c r="AX100" s="21">
        <f t="shared" si="60"/>
        <v>6.3006524942810502E-10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1.1368683772161603E-13</v>
      </c>
      <c r="BE100" s="13">
        <f>BD100*VLOOKUP('Données projet'!$B$11,Paramètres!$A$1:$I$89,3,0)*VLOOKUP('Données projet'!$B$11,Paramètres!$A$1:$I$89,5,0)</f>
        <v>6.7984728957526396E-14</v>
      </c>
      <c r="BF100" s="13">
        <f t="shared" si="91"/>
        <v>1.0682447123141398E-12</v>
      </c>
      <c r="BG100" s="20">
        <f t="shared" si="61"/>
        <v>1.978932943548152E-12</v>
      </c>
      <c r="BH100" s="59">
        <f t="shared" si="62"/>
        <v>293.3333333333353</v>
      </c>
      <c r="BI100" s="59">
        <f ca="1">AVERAGE(OFFSET($BH$3,0,0,'Données projet'!$E$11+1,1))-AVERAGE(OFFSET($H$3,0,0,'Données projet'!$E$11+1,1))</f>
        <v>257.80952690600492</v>
      </c>
      <c r="BJ100" s="59">
        <f t="shared" si="92"/>
        <v>269.95358755269427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#VALUE!</v>
      </c>
      <c r="BQ100" s="21" t="e">
        <f>EXP(-LN(2)/25)*BQ99+(1-EXP(-LN(2)/25))/(LN(2)/25)*Calculateur!BL100*Calculateur!BN100*VLOOKUP('Données projet'!$B$11,Paramètres!$A$1:$I$89,3,0)*0.475*44/12</f>
        <v>#VALUE!</v>
      </c>
      <c r="BR100" s="21" t="e">
        <f>EXP(-LN(2)/2)*BR99+(1-EXP(-LN(2)/2))/(LN(2)/2)*BL100*BO100*VLOOKUP('Données projet'!$B$11,Paramètres!$A$1:$I$89,3,0)*0.475*44/12</f>
        <v>#VALUE!</v>
      </c>
      <c r="BS100" s="22" t="e">
        <f t="shared" si="63"/>
        <v>#VALUE!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-275.00000000000028</v>
      </c>
      <c r="BZ100" s="13">
        <f>BY100*VLOOKUP('Données projet'!$B$12,Paramètres!$A$1:$I$89,3,0)*VLOOKUP('Données projet'!$B$12,Paramètres!$A$1:$I$89,5,0)</f>
        <v>-214.50000000000023</v>
      </c>
      <c r="CA100" s="13" t="e">
        <f t="shared" si="93"/>
        <v>#NUM!</v>
      </c>
      <c r="CB100" s="20" t="e">
        <f t="shared" si="64"/>
        <v>#NUM!</v>
      </c>
      <c r="CC100" s="59" t="e">
        <f t="shared" si="65"/>
        <v>#NUM!</v>
      </c>
      <c r="CD100" s="59">
        <f ca="1">AVERAGE(OFFSET($CC$3,0,0,'Données projet'!$E$12+1,1))-AVERAGE(OFFSET($H$3,0,0,'Données projet'!$E$12+1,1))</f>
        <v>286.5685205631126</v>
      </c>
      <c r="CE100" s="59">
        <f t="shared" si="94"/>
        <v>264.17357326498581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0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0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4.9000000000000004</v>
      </c>
      <c r="N101" s="13">
        <f>IF('Données projet'!$A$36&gt;35,N100+M101-V100,IF(A101&lt;'Données projet'!$A$36,$K$205^A101,IF(A101='Données projet'!$A$36,'Données projet'!$B$36,N100+M101-V100)))</f>
        <v>293.20000000000033</v>
      </c>
      <c r="O101" s="13">
        <f>N101*VLOOKUP('Données projet'!$B$9,Paramètres!$A$1:$I$89,3,0)*VLOOKUP('Données projet'!$B$9,Paramètres!$A$1:$I$89,5,0)</f>
        <v>265.28736000000032</v>
      </c>
      <c r="P101" s="13">
        <f t="shared" si="87"/>
        <v>63.848105500970064</v>
      </c>
      <c r="Q101" s="20">
        <f t="shared" si="107"/>
        <v>573.24426908085672</v>
      </c>
      <c r="R101" s="59">
        <f t="shared" si="55"/>
        <v>866.5776024141901</v>
      </c>
      <c r="S101" s="59">
        <f ca="1">AVERAGE(OFFSET($R$3,0,0,'Données projet'!$E$9+1,1))-AVERAGE(OFFSET($H$3,0,0,'Données projet'!$E$9+1,1))</f>
        <v>346.35147716792028</v>
      </c>
      <c r="T101" s="59">
        <f t="shared" si="88"/>
        <v>231.36959598460686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0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4.4552341046060655E-10</v>
      </c>
      <c r="AC101" s="22">
        <f t="shared" si="57"/>
        <v>4.4552341046060655E-10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4.9000000000000004</v>
      </c>
      <c r="AI101" s="13">
        <f>IF('Données projet'!$A$62&gt;35,AI100+AH101-AQ100,IF(A101&lt;'Données projet'!$A$62,$AF$205^A101,IF(A101='Données projet'!$A$62,'Données projet'!$B$62,AI100+AH101-AQ100)))</f>
        <v>293.20000000000033</v>
      </c>
      <c r="AJ101" s="13">
        <f>AI101*VLOOKUP('Données projet'!$B$10,Paramètres!$A$1:$I$89,3,0)*VLOOKUP('Données projet'!$B$10,Paramètres!$A$1:$I$89,5,0)</f>
        <v>265.28736000000032</v>
      </c>
      <c r="AK101" s="13">
        <f t="shared" si="89"/>
        <v>63.848105500970064</v>
      </c>
      <c r="AL101" s="20">
        <f t="shared" si="58"/>
        <v>573.24426908085672</v>
      </c>
      <c r="AM101" s="59">
        <f t="shared" si="59"/>
        <v>866.5776024141901</v>
      </c>
      <c r="AN101" s="59">
        <f ca="1">AVERAGE(OFFSET($AM$3,0,0,'Données projet'!$E$10+1,1))-AVERAGE(OFFSET($H$3,0,0,'Données projet'!$E$10+1,1))</f>
        <v>346.35147716792028</v>
      </c>
      <c r="AO101" s="59">
        <f t="shared" si="90"/>
        <v>231.36959598460686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4.4552341046060655E-10</v>
      </c>
      <c r="AX101" s="21">
        <f t="shared" si="60"/>
        <v>4.4552341046060655E-10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1.1368683772161603E-13</v>
      </c>
      <c r="BE101" s="13">
        <f>BD101*VLOOKUP('Données projet'!$B$11,Paramètres!$A$1:$I$89,3,0)*VLOOKUP('Données projet'!$B$11,Paramètres!$A$1:$I$89,5,0)</f>
        <v>6.7984728957526396E-14</v>
      </c>
      <c r="BF101" s="13">
        <f t="shared" si="91"/>
        <v>1.0682447123141398E-12</v>
      </c>
      <c r="BG101" s="20">
        <f t="shared" si="61"/>
        <v>1.978932943548152E-12</v>
      </c>
      <c r="BH101" s="59">
        <f t="shared" si="62"/>
        <v>293.3333333333353</v>
      </c>
      <c r="BI101" s="59">
        <f ca="1">AVERAGE(OFFSET($BH$3,0,0,'Données projet'!$E$11+1,1))-AVERAGE(OFFSET($H$3,0,0,'Données projet'!$E$11+1,1))</f>
        <v>257.80952690600492</v>
      </c>
      <c r="BJ101" s="59">
        <f t="shared" si="92"/>
        <v>269.95358755269427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#VALUE!</v>
      </c>
      <c r="BQ101" s="21" t="e">
        <f>EXP(-LN(2)/25)*BQ100+(1-EXP(-LN(2)/25))/(LN(2)/25)*Calculateur!BL101*Calculateur!BN101*VLOOKUP('Données projet'!$B$11,Paramètres!$A$1:$I$89,3,0)*0.475*44/12</f>
        <v>#VALUE!</v>
      </c>
      <c r="BR101" s="21" t="e">
        <f>EXP(-LN(2)/2)*BR100+(1-EXP(-LN(2)/2))/(LN(2)/2)*BL101*BO101*VLOOKUP('Données projet'!$B$11,Paramètres!$A$1:$I$89,3,0)*0.475*44/12</f>
        <v>#VALUE!</v>
      </c>
      <c r="BS101" s="22" t="e">
        <f t="shared" si="63"/>
        <v>#VALUE!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-275.00000000000028</v>
      </c>
      <c r="BZ101" s="13">
        <f>BY101*VLOOKUP('Données projet'!$B$12,Paramètres!$A$1:$I$89,3,0)*VLOOKUP('Données projet'!$B$12,Paramètres!$A$1:$I$89,5,0)</f>
        <v>-214.50000000000023</v>
      </c>
      <c r="CA101" s="13" t="e">
        <f t="shared" si="93"/>
        <v>#NUM!</v>
      </c>
      <c r="CB101" s="20" t="e">
        <f t="shared" si="64"/>
        <v>#NUM!</v>
      </c>
      <c r="CC101" s="59" t="e">
        <f t="shared" si="65"/>
        <v>#NUM!</v>
      </c>
      <c r="CD101" s="59">
        <f ca="1">AVERAGE(OFFSET($CC$3,0,0,'Données projet'!$E$12+1,1))-AVERAGE(OFFSET($H$3,0,0,'Données projet'!$E$12+1,1))</f>
        <v>286.5685205631126</v>
      </c>
      <c r="CE101" s="59">
        <f t="shared" si="94"/>
        <v>264.17357326498581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0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0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4.9000000000000004</v>
      </c>
      <c r="N102" s="13">
        <f>IF('Données projet'!$A$36&gt;35,N101+M102-V101,IF(A102&lt;'Données projet'!$A$36,$K$205^A102,IF(A102='Données projet'!$A$36,'Données projet'!$B$36,N101+M102-V101)))</f>
        <v>298.10000000000031</v>
      </c>
      <c r="O102" s="13">
        <f>N102*VLOOKUP('Données projet'!$B$9,Paramètres!$A$1:$I$89,3,0)*VLOOKUP('Données projet'!$B$9,Paramètres!$A$1:$I$89,5,0)</f>
        <v>269.72088000000025</v>
      </c>
      <c r="P102" s="13">
        <f t="shared" si="87"/>
        <v>64.790029413947011</v>
      </c>
      <c r="Q102" s="20">
        <f t="shared" si="107"/>
        <v>582.60650056262477</v>
      </c>
      <c r="R102" s="59">
        <f t="shared" si="55"/>
        <v>875.93983389595815</v>
      </c>
      <c r="S102" s="59">
        <f ca="1">AVERAGE(OFFSET($R$3,0,0,'Données projet'!$E$9+1,1))-AVERAGE(OFFSET($H$3,0,0,'Données projet'!$E$9+1,1))</f>
        <v>346.35147716792028</v>
      </c>
      <c r="T102" s="59">
        <f t="shared" si="88"/>
        <v>231.36959598460686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0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3.1503262471405251E-10</v>
      </c>
      <c r="AC102" s="22">
        <f t="shared" si="57"/>
        <v>3.1503262471405251E-10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4.9000000000000004</v>
      </c>
      <c r="AI102" s="13">
        <f>IF('Données projet'!$A$62&gt;35,AI101+AH102-AQ101,IF(A102&lt;'Données projet'!$A$62,$AF$205^A102,IF(A102='Données projet'!$A$62,'Données projet'!$B$62,AI101+AH102-AQ101)))</f>
        <v>298.10000000000031</v>
      </c>
      <c r="AJ102" s="13">
        <f>AI102*VLOOKUP('Données projet'!$B$10,Paramètres!$A$1:$I$89,3,0)*VLOOKUP('Données projet'!$B$10,Paramètres!$A$1:$I$89,5,0)</f>
        <v>269.72088000000025</v>
      </c>
      <c r="AK102" s="13">
        <f t="shared" si="89"/>
        <v>64.790029413947011</v>
      </c>
      <c r="AL102" s="20">
        <f t="shared" si="58"/>
        <v>582.60650056262477</v>
      </c>
      <c r="AM102" s="59">
        <f t="shared" si="59"/>
        <v>875.93983389595815</v>
      </c>
      <c r="AN102" s="59">
        <f ca="1">AVERAGE(OFFSET($AM$3,0,0,'Données projet'!$E$10+1,1))-AVERAGE(OFFSET($H$3,0,0,'Données projet'!$E$10+1,1))</f>
        <v>346.35147716792028</v>
      </c>
      <c r="AO102" s="59">
        <f t="shared" si="90"/>
        <v>231.36959598460686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3.1503262471405251E-10</v>
      </c>
      <c r="AX102" s="21">
        <f t="shared" si="60"/>
        <v>3.1503262471405251E-10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1.1368683772161603E-13</v>
      </c>
      <c r="BE102" s="13">
        <f>BD102*VLOOKUP('Données projet'!$B$11,Paramètres!$A$1:$I$89,3,0)*VLOOKUP('Données projet'!$B$11,Paramètres!$A$1:$I$89,5,0)</f>
        <v>6.7984728957526396E-14</v>
      </c>
      <c r="BF102" s="13">
        <f t="shared" si="91"/>
        <v>1.0682447123141398E-12</v>
      </c>
      <c r="BG102" s="20">
        <f t="shared" si="61"/>
        <v>1.978932943548152E-12</v>
      </c>
      <c r="BH102" s="59">
        <f t="shared" si="62"/>
        <v>293.3333333333353</v>
      </c>
      <c r="BI102" s="59">
        <f ca="1">AVERAGE(OFFSET($BH$3,0,0,'Données projet'!$E$11+1,1))-AVERAGE(OFFSET($H$3,0,0,'Données projet'!$E$11+1,1))</f>
        <v>257.80952690600492</v>
      </c>
      <c r="BJ102" s="59">
        <f t="shared" si="92"/>
        <v>269.95358755269427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#VALUE!</v>
      </c>
      <c r="BQ102" s="21" t="e">
        <f>EXP(-LN(2)/25)*BQ101+(1-EXP(-LN(2)/25))/(LN(2)/25)*Calculateur!BL102*Calculateur!BN102*VLOOKUP('Données projet'!$B$11,Paramètres!$A$1:$I$89,3,0)*0.475*44/12</f>
        <v>#VALUE!</v>
      </c>
      <c r="BR102" s="21" t="e">
        <f>EXP(-LN(2)/2)*BR101+(1-EXP(-LN(2)/2))/(LN(2)/2)*BL102*BO102*VLOOKUP('Données projet'!$B$11,Paramètres!$A$1:$I$89,3,0)*0.475*44/12</f>
        <v>#VALUE!</v>
      </c>
      <c r="BS102" s="22" t="e">
        <f t="shared" si="63"/>
        <v>#VALUE!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-275.00000000000028</v>
      </c>
      <c r="BZ102" s="13">
        <f>BY102*VLOOKUP('Données projet'!$B$12,Paramètres!$A$1:$I$89,3,0)*VLOOKUP('Données projet'!$B$12,Paramètres!$A$1:$I$89,5,0)</f>
        <v>-214.50000000000023</v>
      </c>
      <c r="CA102" s="13" t="e">
        <f t="shared" si="93"/>
        <v>#NUM!</v>
      </c>
      <c r="CB102" s="20" t="e">
        <f t="shared" si="64"/>
        <v>#NUM!</v>
      </c>
      <c r="CC102" s="59" t="e">
        <f t="shared" si="65"/>
        <v>#NUM!</v>
      </c>
      <c r="CD102" s="59">
        <f ca="1">AVERAGE(OFFSET($CC$3,0,0,'Données projet'!$E$12+1,1))-AVERAGE(OFFSET($H$3,0,0,'Données projet'!$E$12+1,1))</f>
        <v>286.5685205631126</v>
      </c>
      <c r="CE102" s="59">
        <f t="shared" si="94"/>
        <v>264.17357326498581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0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0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303</v>
      </c>
      <c r="L103" s="12">
        <f>VLOOKUP(A103,'Données projet'!$A$35:$I$55,9,0)</f>
        <v>4.9000000000000004</v>
      </c>
      <c r="M103" s="12">
        <f t="array" ref="M103">INDEX(L:L,MIN(IF(ISNUMBER(L103:L299),ROW(L103:L299),"")))</f>
        <v>4.9000000000000004</v>
      </c>
      <c r="N103" s="13">
        <f>IF('Données projet'!$A$36&gt;35,N102+M103-V102,IF(A103&lt;'Données projet'!$A$36,$K$205^A103,IF(A103='Données projet'!$A$36,'Données projet'!$B$36,N102+M103-V102)))</f>
        <v>303.00000000000028</v>
      </c>
      <c r="O103" s="13">
        <f>N103*VLOOKUP('Données projet'!$B$9,Paramètres!$A$1:$I$89,3,0)*VLOOKUP('Données projet'!$B$9,Paramètres!$A$1:$I$89,5,0)</f>
        <v>274.15440000000024</v>
      </c>
      <c r="P103" s="13">
        <f t="shared" si="87"/>
        <v>65.730152764515893</v>
      </c>
      <c r="Q103" s="20">
        <f t="shared" si="107"/>
        <v>591.96559606486551</v>
      </c>
      <c r="R103" s="59">
        <f t="shared" si="55"/>
        <v>885.29892939819888</v>
      </c>
      <c r="S103" s="59">
        <f ca="1">AVERAGE(OFFSET($R$3,0,0,'Données projet'!$E$9+1,1))-AVERAGE(OFFSET($H$3,0,0,'Données projet'!$E$9+1,1))</f>
        <v>346.35147716792028</v>
      </c>
      <c r="T103" s="59">
        <f t="shared" si="88"/>
        <v>231.36959598460686</v>
      </c>
      <c r="U103" s="15" t="str">
        <f>IF(ISNA(VLOOKUP(A103,'Données projet'!$A$35:$I$55,3,0)),0,VLOOKUP(A103,'Données projet'!$A$35:$I$55,3,0))</f>
        <v>CR</v>
      </c>
      <c r="V103" s="15">
        <f>IF(ISNA(VLOOKUP(A103,'Données projet'!$A$35:$I$55,4,0)),0,VLOOKUP(A103,'Données projet'!$A$35:$I$55,4,0))</f>
        <v>303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0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2.2276170523030327E-10</v>
      </c>
      <c r="AC103" s="22">
        <f t="shared" si="57"/>
        <v>2.2276170523030327E-10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303</v>
      </c>
      <c r="AG103" s="12">
        <f>VLOOKUP(A103,'Données projet'!$A$61:$I$81,9,0)</f>
        <v>4.9000000000000004</v>
      </c>
      <c r="AH103" s="12">
        <f t="array" ref="AH103">INDEX(AG:AG,MIN(IF(ISNUMBER(AG103:AG299),ROW(AG103:AG299),"")))</f>
        <v>4.9000000000000004</v>
      </c>
      <c r="AI103" s="13">
        <f>IF('Données projet'!$A$62&gt;35,AI102+AH103-AQ102,IF(A103&lt;'Données projet'!$A$62,$AF$205^A103,IF(A103='Données projet'!$A$62,'Données projet'!$B$62,AI102+AH103-AQ102)))</f>
        <v>303.00000000000028</v>
      </c>
      <c r="AJ103" s="13">
        <f>AI103*VLOOKUP('Données projet'!$B$10,Paramètres!$A$1:$I$89,3,0)*VLOOKUP('Données projet'!$B$10,Paramètres!$A$1:$I$89,5,0)</f>
        <v>274.15440000000024</v>
      </c>
      <c r="AK103" s="13">
        <f t="shared" si="89"/>
        <v>65.730152764515893</v>
      </c>
      <c r="AL103" s="20">
        <f t="shared" si="58"/>
        <v>591.96559606486551</v>
      </c>
      <c r="AM103" s="59">
        <f t="shared" si="59"/>
        <v>885.29892939819888</v>
      </c>
      <c r="AN103" s="59">
        <f ca="1">AVERAGE(OFFSET($AM$3,0,0,'Données projet'!$E$10+1,1))-AVERAGE(OFFSET($H$3,0,0,'Données projet'!$E$10+1,1))</f>
        <v>346.35147716792028</v>
      </c>
      <c r="AO103" s="59">
        <f t="shared" si="90"/>
        <v>231.36959598460686</v>
      </c>
      <c r="AP103" s="15" t="str">
        <f>IF(ISNA(VLOOKUP(A103,'Données projet'!$A$61:$I$81,3,0)),0,VLOOKUP(A103,'Données projet'!$A$61:$I$81,3,0))</f>
        <v>CR</v>
      </c>
      <c r="AQ103" s="15">
        <f>IF(ISNA(VLOOKUP(A103,'Données projet'!$A$61:$I$81,4,0)),0,VLOOKUP(A103,'Données projet'!$A$61:$I$81,4,0))</f>
        <v>303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2.2276170523030327E-10</v>
      </c>
      <c r="AX103" s="21">
        <f t="shared" si="60"/>
        <v>2.2276170523030327E-10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1.1368683772161603E-13</v>
      </c>
      <c r="BE103" s="13">
        <f>BD103*VLOOKUP('Données projet'!$B$11,Paramètres!$A$1:$I$89,3,0)*VLOOKUP('Données projet'!$B$11,Paramètres!$A$1:$I$89,5,0)</f>
        <v>6.7984728957526396E-14</v>
      </c>
      <c r="BF103" s="13">
        <f t="shared" si="91"/>
        <v>1.0682447123141398E-12</v>
      </c>
      <c r="BG103" s="20">
        <f t="shared" si="61"/>
        <v>1.978932943548152E-12</v>
      </c>
      <c r="BH103" s="59">
        <f t="shared" si="62"/>
        <v>293.3333333333353</v>
      </c>
      <c r="BI103" s="59">
        <f ca="1">AVERAGE(OFFSET($BH$3,0,0,'Données projet'!$E$11+1,1))-AVERAGE(OFFSET($H$3,0,0,'Données projet'!$E$11+1,1))</f>
        <v>257.80952690600492</v>
      </c>
      <c r="BJ103" s="59">
        <f t="shared" si="92"/>
        <v>269.95358755269427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#VALUE!</v>
      </c>
      <c r="BQ103" s="21" t="e">
        <f>EXP(-LN(2)/25)*BQ102+(1-EXP(-LN(2)/25))/(LN(2)/25)*Calculateur!BL103*Calculateur!BN103*VLOOKUP('Données projet'!$B$11,Paramètres!$A$1:$I$89,3,0)*0.475*44/12</f>
        <v>#VALUE!</v>
      </c>
      <c r="BR103" s="21" t="e">
        <f>EXP(-LN(2)/2)*BR102+(1-EXP(-LN(2)/2))/(LN(2)/2)*BL103*BO103*VLOOKUP('Données projet'!$B$11,Paramètres!$A$1:$I$89,3,0)*0.475*44/12</f>
        <v>#VALUE!</v>
      </c>
      <c r="BS103" s="22" t="e">
        <f t="shared" si="63"/>
        <v>#VALUE!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-275.00000000000028</v>
      </c>
      <c r="BZ103" s="13">
        <f>BY103*VLOOKUP('Données projet'!$B$12,Paramètres!$A$1:$I$89,3,0)*VLOOKUP('Données projet'!$B$12,Paramètres!$A$1:$I$89,5,0)</f>
        <v>-214.50000000000023</v>
      </c>
      <c r="CA103" s="13" t="e">
        <f t="shared" si="93"/>
        <v>#NUM!</v>
      </c>
      <c r="CB103" s="20" t="e">
        <f t="shared" si="64"/>
        <v>#NUM!</v>
      </c>
      <c r="CC103" s="59" t="e">
        <f t="shared" si="65"/>
        <v>#NUM!</v>
      </c>
      <c r="CD103" s="59">
        <f ca="1">AVERAGE(OFFSET($CC$3,0,0,'Données projet'!$E$12+1,1))-AVERAGE(OFFSET($H$3,0,0,'Données projet'!$E$12+1,1))</f>
        <v>286.5685205631126</v>
      </c>
      <c r="CE103" s="59">
        <f t="shared" si="94"/>
        <v>264.17357326498581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0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0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2.8421709430404007E-13</v>
      </c>
      <c r="O104" s="13">
        <f>N104*VLOOKUP('Données projet'!$B$9,Paramètres!$A$1:$I$89,3,0)*VLOOKUP('Données projet'!$B$9,Paramètres!$A$1:$I$89,5,0)</f>
        <v>2.5715962692629546E-13</v>
      </c>
      <c r="P104" s="13">
        <f t="shared" si="87"/>
        <v>3.4610450122128953E-12</v>
      </c>
      <c r="Q104" s="20">
        <f t="shared" si="107"/>
        <v>6.4758730798340893E-12</v>
      </c>
      <c r="R104" s="59">
        <f t="shared" si="55"/>
        <v>293.33333333333979</v>
      </c>
      <c r="S104" s="59">
        <f ca="1">AVERAGE(OFFSET($R$3,0,0,'Données projet'!$E$9+1,1))-AVERAGE(OFFSET($H$3,0,0,'Données projet'!$E$9+1,1))</f>
        <v>346.35147716792028</v>
      </c>
      <c r="T104" s="59">
        <f t="shared" si="88"/>
        <v>231.36959598460686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0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1.5751631235702625E-10</v>
      </c>
      <c r="AC104" s="22">
        <f t="shared" si="57"/>
        <v>1.5751631235702625E-10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2.8421709430404007E-13</v>
      </c>
      <c r="AJ104" s="13">
        <f>AI104*VLOOKUP('Données projet'!$B$10,Paramètres!$A$1:$I$89,3,0)*VLOOKUP('Données projet'!$B$10,Paramètres!$A$1:$I$89,5,0)</f>
        <v>2.5715962692629546E-13</v>
      </c>
      <c r="AK104" s="13">
        <f t="shared" si="89"/>
        <v>3.4610450122128953E-12</v>
      </c>
      <c r="AL104" s="20">
        <f t="shared" si="58"/>
        <v>6.4758730798340893E-12</v>
      </c>
      <c r="AM104" s="59">
        <f t="shared" si="59"/>
        <v>293.33333333333979</v>
      </c>
      <c r="AN104" s="59">
        <f ca="1">AVERAGE(OFFSET($AM$3,0,0,'Données projet'!$E$10+1,1))-AVERAGE(OFFSET($H$3,0,0,'Données projet'!$E$10+1,1))</f>
        <v>346.35147716792028</v>
      </c>
      <c r="AO104" s="59">
        <f t="shared" si="90"/>
        <v>231.36959598460686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1.5751631235702625E-10</v>
      </c>
      <c r="AX104" s="21">
        <f t="shared" si="60"/>
        <v>1.5751631235702625E-10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1.1368683772161603E-13</v>
      </c>
      <c r="BE104" s="13">
        <f>BD104*VLOOKUP('Données projet'!$B$11,Paramètres!$A$1:$I$89,3,0)*VLOOKUP('Données projet'!$B$11,Paramètres!$A$1:$I$89,5,0)</f>
        <v>6.7984728957526396E-14</v>
      </c>
      <c r="BF104" s="13">
        <f t="shared" si="91"/>
        <v>1.0682447123141398E-12</v>
      </c>
      <c r="BG104" s="20">
        <f t="shared" si="61"/>
        <v>1.978932943548152E-12</v>
      </c>
      <c r="BH104" s="59">
        <f t="shared" si="62"/>
        <v>293.3333333333353</v>
      </c>
      <c r="BI104" s="59">
        <f ca="1">AVERAGE(OFFSET($BH$3,0,0,'Données projet'!$E$11+1,1))-AVERAGE(OFFSET($H$3,0,0,'Données projet'!$E$11+1,1))</f>
        <v>257.80952690600492</v>
      </c>
      <c r="BJ104" s="59">
        <f t="shared" si="92"/>
        <v>269.95358755269427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#VALUE!</v>
      </c>
      <c r="BQ104" s="21" t="e">
        <f>EXP(-LN(2)/25)*BQ103+(1-EXP(-LN(2)/25))/(LN(2)/25)*Calculateur!BL104*Calculateur!BN104*VLOOKUP('Données projet'!$B$11,Paramètres!$A$1:$I$89,3,0)*0.475*44/12</f>
        <v>#VALUE!</v>
      </c>
      <c r="BR104" s="21" t="e">
        <f>EXP(-LN(2)/2)*BR103+(1-EXP(-LN(2)/2))/(LN(2)/2)*BL104*BO104*VLOOKUP('Données projet'!$B$11,Paramètres!$A$1:$I$89,3,0)*0.475*44/12</f>
        <v>#VALUE!</v>
      </c>
      <c r="BS104" s="22" t="e">
        <f t="shared" si="63"/>
        <v>#VALUE!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-275.00000000000028</v>
      </c>
      <c r="BZ104" s="13">
        <f>BY104*VLOOKUP('Données projet'!$B$12,Paramètres!$A$1:$I$89,3,0)*VLOOKUP('Données projet'!$B$12,Paramètres!$A$1:$I$89,5,0)</f>
        <v>-214.50000000000023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286.5685205631126</v>
      </c>
      <c r="CE104" s="59">
        <f t="shared" si="94"/>
        <v>264.17357326498581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0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0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2.8421709430404007E-13</v>
      </c>
      <c r="O105" s="13">
        <f>N105*VLOOKUP('Données projet'!$B$9,Paramètres!$A$1:$I$89,3,0)*VLOOKUP('Données projet'!$B$9,Paramètres!$A$1:$I$89,5,0)</f>
        <v>2.5715962692629546E-13</v>
      </c>
      <c r="P105" s="13">
        <f t="shared" si="87"/>
        <v>3.4610450122128953E-12</v>
      </c>
      <c r="Q105" s="20">
        <f t="shared" si="107"/>
        <v>6.4758730798340893E-12</v>
      </c>
      <c r="R105" s="59">
        <f t="shared" si="55"/>
        <v>293.33333333333979</v>
      </c>
      <c r="S105" s="59">
        <f ca="1">AVERAGE(OFFSET($R$3,0,0,'Données projet'!$E$9+1,1))-AVERAGE(OFFSET($H$3,0,0,'Données projet'!$E$9+1,1))</f>
        <v>346.35147716792028</v>
      </c>
      <c r="T105" s="59">
        <f t="shared" si="88"/>
        <v>231.36959598460686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0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1.1138085261515164E-10</v>
      </c>
      <c r="AC105" s="22">
        <f t="shared" si="57"/>
        <v>1.1138085261515164E-10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2.8421709430404007E-13</v>
      </c>
      <c r="AJ105" s="13">
        <f>AI105*VLOOKUP('Données projet'!$B$10,Paramètres!$A$1:$I$89,3,0)*VLOOKUP('Données projet'!$B$10,Paramètres!$A$1:$I$89,5,0)</f>
        <v>2.5715962692629546E-13</v>
      </c>
      <c r="AK105" s="13">
        <f t="shared" si="89"/>
        <v>3.4610450122128953E-12</v>
      </c>
      <c r="AL105" s="20">
        <f t="shared" si="58"/>
        <v>6.4758730798340893E-12</v>
      </c>
      <c r="AM105" s="59">
        <f t="shared" si="59"/>
        <v>293.33333333333979</v>
      </c>
      <c r="AN105" s="59">
        <f ca="1">AVERAGE(OFFSET($AM$3,0,0,'Données projet'!$E$10+1,1))-AVERAGE(OFFSET($H$3,0,0,'Données projet'!$E$10+1,1))</f>
        <v>346.35147716792028</v>
      </c>
      <c r="AO105" s="59">
        <f t="shared" si="90"/>
        <v>231.36959598460686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1.1138085261515164E-10</v>
      </c>
      <c r="AX105" s="21">
        <f t="shared" si="60"/>
        <v>1.1138085261515164E-10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1.1368683772161603E-13</v>
      </c>
      <c r="BE105" s="13">
        <f>BD105*VLOOKUP('Données projet'!$B$11,Paramètres!$A$1:$I$89,3,0)*VLOOKUP('Données projet'!$B$11,Paramètres!$A$1:$I$89,5,0)</f>
        <v>6.7984728957526396E-14</v>
      </c>
      <c r="BF105" s="13">
        <f t="shared" si="91"/>
        <v>1.0682447123141398E-12</v>
      </c>
      <c r="BG105" s="20">
        <f t="shared" si="61"/>
        <v>1.978932943548152E-12</v>
      </c>
      <c r="BH105" s="59">
        <f t="shared" si="62"/>
        <v>293.3333333333353</v>
      </c>
      <c r="BI105" s="59">
        <f ca="1">AVERAGE(OFFSET($BH$3,0,0,'Données projet'!$E$11+1,1))-AVERAGE(OFFSET($H$3,0,0,'Données projet'!$E$11+1,1))</f>
        <v>257.80952690600492</v>
      </c>
      <c r="BJ105" s="59">
        <f t="shared" si="92"/>
        <v>269.95358755269427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#VALUE!</v>
      </c>
      <c r="BQ105" s="21" t="e">
        <f>EXP(-LN(2)/25)*BQ104+(1-EXP(-LN(2)/25))/(LN(2)/25)*Calculateur!BL105*Calculateur!BN105*VLOOKUP('Données projet'!$B$11,Paramètres!$A$1:$I$89,3,0)*0.475*44/12</f>
        <v>#VALUE!</v>
      </c>
      <c r="BR105" s="21" t="e">
        <f>EXP(-LN(2)/2)*BR104+(1-EXP(-LN(2)/2))/(LN(2)/2)*BL105*BO105*VLOOKUP('Données projet'!$B$11,Paramètres!$A$1:$I$89,3,0)*0.475*44/12</f>
        <v>#VALUE!</v>
      </c>
      <c r="BS105" s="22" t="e">
        <f t="shared" si="63"/>
        <v>#VALUE!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-275.00000000000028</v>
      </c>
      <c r="BZ105" s="13">
        <f>BY105*VLOOKUP('Données projet'!$B$12,Paramètres!$A$1:$I$89,3,0)*VLOOKUP('Données projet'!$B$12,Paramètres!$A$1:$I$89,5,0)</f>
        <v>-214.50000000000023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286.5685205631126</v>
      </c>
      <c r="CE105" s="59">
        <f t="shared" si="94"/>
        <v>264.17357326498581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0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0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2.8421709430404007E-13</v>
      </c>
      <c r="O106" s="13">
        <f>N106*VLOOKUP('Données projet'!$B$9,Paramètres!$A$1:$I$89,3,0)*VLOOKUP('Données projet'!$B$9,Paramètres!$A$1:$I$89,5,0)</f>
        <v>2.5715962692629546E-13</v>
      </c>
      <c r="P106" s="13">
        <f t="shared" si="87"/>
        <v>3.4610450122128953E-12</v>
      </c>
      <c r="Q106" s="20">
        <f t="shared" si="107"/>
        <v>6.4758730798340893E-12</v>
      </c>
      <c r="R106" s="59">
        <f t="shared" si="55"/>
        <v>293.33333333333979</v>
      </c>
      <c r="S106" s="59">
        <f ca="1">AVERAGE(OFFSET($R$3,0,0,'Données projet'!$E$9+1,1))-AVERAGE(OFFSET($H$3,0,0,'Données projet'!$E$9+1,1))</f>
        <v>346.35147716792028</v>
      </c>
      <c r="T106" s="59">
        <f t="shared" si="88"/>
        <v>231.36959598460686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0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7.8758156178513127E-11</v>
      </c>
      <c r="AC106" s="22">
        <f t="shared" si="57"/>
        <v>7.8758156178513127E-11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2.8421709430404007E-13</v>
      </c>
      <c r="AJ106" s="13">
        <f>AI106*VLOOKUP('Données projet'!$B$10,Paramètres!$A$1:$I$89,3,0)*VLOOKUP('Données projet'!$B$10,Paramètres!$A$1:$I$89,5,0)</f>
        <v>2.5715962692629546E-13</v>
      </c>
      <c r="AK106" s="13">
        <f t="shared" si="89"/>
        <v>3.4610450122128953E-12</v>
      </c>
      <c r="AL106" s="20">
        <f t="shared" si="58"/>
        <v>6.4758730798340893E-12</v>
      </c>
      <c r="AM106" s="59">
        <f t="shared" si="59"/>
        <v>293.33333333333979</v>
      </c>
      <c r="AN106" s="59">
        <f ca="1">AVERAGE(OFFSET($AM$3,0,0,'Données projet'!$E$10+1,1))-AVERAGE(OFFSET($H$3,0,0,'Données projet'!$E$10+1,1))</f>
        <v>346.35147716792028</v>
      </c>
      <c r="AO106" s="59">
        <f t="shared" si="90"/>
        <v>231.36959598460686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7.8758156178513127E-11</v>
      </c>
      <c r="AX106" s="21">
        <f t="shared" si="60"/>
        <v>7.8758156178513127E-11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1.1368683772161603E-13</v>
      </c>
      <c r="BE106" s="13">
        <f>BD106*VLOOKUP('Données projet'!$B$11,Paramètres!$A$1:$I$89,3,0)*VLOOKUP('Données projet'!$B$11,Paramètres!$A$1:$I$89,5,0)</f>
        <v>6.7984728957526396E-14</v>
      </c>
      <c r="BF106" s="13">
        <f t="shared" si="91"/>
        <v>1.0682447123141398E-12</v>
      </c>
      <c r="BG106" s="20">
        <f t="shared" si="61"/>
        <v>1.978932943548152E-12</v>
      </c>
      <c r="BH106" s="59">
        <f t="shared" si="62"/>
        <v>293.3333333333353</v>
      </c>
      <c r="BI106" s="59">
        <f ca="1">AVERAGE(OFFSET($BH$3,0,0,'Données projet'!$E$11+1,1))-AVERAGE(OFFSET($H$3,0,0,'Données projet'!$E$11+1,1))</f>
        <v>257.80952690600492</v>
      </c>
      <c r="BJ106" s="59">
        <f t="shared" si="92"/>
        <v>269.95358755269427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#VALUE!</v>
      </c>
      <c r="BQ106" s="21" t="e">
        <f>EXP(-LN(2)/25)*BQ105+(1-EXP(-LN(2)/25))/(LN(2)/25)*Calculateur!BL106*Calculateur!BN106*VLOOKUP('Données projet'!$B$11,Paramètres!$A$1:$I$89,3,0)*0.475*44/12</f>
        <v>#VALUE!</v>
      </c>
      <c r="BR106" s="21" t="e">
        <f>EXP(-LN(2)/2)*BR105+(1-EXP(-LN(2)/2))/(LN(2)/2)*BL106*BO106*VLOOKUP('Données projet'!$B$11,Paramètres!$A$1:$I$89,3,0)*0.475*44/12</f>
        <v>#VALUE!</v>
      </c>
      <c r="BS106" s="22" t="e">
        <f t="shared" si="63"/>
        <v>#VALUE!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-275.00000000000028</v>
      </c>
      <c r="BZ106" s="13">
        <f>BY106*VLOOKUP('Données projet'!$B$12,Paramètres!$A$1:$I$89,3,0)*VLOOKUP('Données projet'!$B$12,Paramètres!$A$1:$I$89,5,0)</f>
        <v>-214.50000000000023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286.5685205631126</v>
      </c>
      <c r="CE106" s="59">
        <f t="shared" si="94"/>
        <v>264.17357326498581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0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0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2.8421709430404007E-13</v>
      </c>
      <c r="O107" s="13">
        <f>N107*VLOOKUP('Données projet'!$B$9,Paramètres!$A$1:$I$89,3,0)*VLOOKUP('Données projet'!$B$9,Paramètres!$A$1:$I$89,5,0)</f>
        <v>2.5715962692629546E-13</v>
      </c>
      <c r="P107" s="13">
        <f t="shared" si="87"/>
        <v>3.4610450122128953E-12</v>
      </c>
      <c r="Q107" s="20">
        <f t="shared" si="107"/>
        <v>6.4758730798340893E-12</v>
      </c>
      <c r="R107" s="59">
        <f t="shared" si="55"/>
        <v>293.33333333333979</v>
      </c>
      <c r="S107" s="59">
        <f ca="1">AVERAGE(OFFSET($R$3,0,0,'Données projet'!$E$9+1,1))-AVERAGE(OFFSET($H$3,0,0,'Données projet'!$E$9+1,1))</f>
        <v>346.35147716792028</v>
      </c>
      <c r="T107" s="59">
        <f t="shared" si="88"/>
        <v>231.36959598460686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0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5.5690426307575819E-11</v>
      </c>
      <c r="AC107" s="22">
        <f t="shared" si="57"/>
        <v>5.5690426307575819E-11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2.8421709430404007E-13</v>
      </c>
      <c r="AJ107" s="13">
        <f>AI107*VLOOKUP('Données projet'!$B$10,Paramètres!$A$1:$I$89,3,0)*VLOOKUP('Données projet'!$B$10,Paramètres!$A$1:$I$89,5,0)</f>
        <v>2.5715962692629546E-13</v>
      </c>
      <c r="AK107" s="13">
        <f t="shared" si="89"/>
        <v>3.4610450122128953E-12</v>
      </c>
      <c r="AL107" s="20">
        <f t="shared" si="58"/>
        <v>6.4758730798340893E-12</v>
      </c>
      <c r="AM107" s="59">
        <f t="shared" si="59"/>
        <v>293.33333333333979</v>
      </c>
      <c r="AN107" s="59">
        <f ca="1">AVERAGE(OFFSET($AM$3,0,0,'Données projet'!$E$10+1,1))-AVERAGE(OFFSET($H$3,0,0,'Données projet'!$E$10+1,1))</f>
        <v>346.35147716792028</v>
      </c>
      <c r="AO107" s="59">
        <f t="shared" si="90"/>
        <v>231.36959598460686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5.5690426307575819E-11</v>
      </c>
      <c r="AX107" s="21">
        <f t="shared" si="60"/>
        <v>5.5690426307575819E-11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1.1368683772161603E-13</v>
      </c>
      <c r="BE107" s="13">
        <f>BD107*VLOOKUP('Données projet'!$B$11,Paramètres!$A$1:$I$89,3,0)*VLOOKUP('Données projet'!$B$11,Paramètres!$A$1:$I$89,5,0)</f>
        <v>6.7984728957526396E-14</v>
      </c>
      <c r="BF107" s="13">
        <f t="shared" si="91"/>
        <v>1.0682447123141398E-12</v>
      </c>
      <c r="BG107" s="20">
        <f t="shared" si="61"/>
        <v>1.978932943548152E-12</v>
      </c>
      <c r="BH107" s="59">
        <f t="shared" si="62"/>
        <v>293.3333333333353</v>
      </c>
      <c r="BI107" s="59">
        <f ca="1">AVERAGE(OFFSET($BH$3,0,0,'Données projet'!$E$11+1,1))-AVERAGE(OFFSET($H$3,0,0,'Données projet'!$E$11+1,1))</f>
        <v>257.80952690600492</v>
      </c>
      <c r="BJ107" s="59">
        <f t="shared" si="92"/>
        <v>269.95358755269427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#VALUE!</v>
      </c>
      <c r="BQ107" s="21" t="e">
        <f>EXP(-LN(2)/25)*BQ106+(1-EXP(-LN(2)/25))/(LN(2)/25)*Calculateur!BL107*Calculateur!BN107*VLOOKUP('Données projet'!$B$11,Paramètres!$A$1:$I$89,3,0)*0.475*44/12</f>
        <v>#VALUE!</v>
      </c>
      <c r="BR107" s="21" t="e">
        <f>EXP(-LN(2)/2)*BR106+(1-EXP(-LN(2)/2))/(LN(2)/2)*BL107*BO107*VLOOKUP('Données projet'!$B$11,Paramètres!$A$1:$I$89,3,0)*0.475*44/12</f>
        <v>#VALUE!</v>
      </c>
      <c r="BS107" s="22" t="e">
        <f t="shared" si="63"/>
        <v>#VALUE!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-275.00000000000028</v>
      </c>
      <c r="BZ107" s="13">
        <f>BY107*VLOOKUP('Données projet'!$B$12,Paramètres!$A$1:$I$89,3,0)*VLOOKUP('Données projet'!$B$12,Paramètres!$A$1:$I$89,5,0)</f>
        <v>-214.50000000000023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286.5685205631126</v>
      </c>
      <c r="CE107" s="59">
        <f t="shared" si="94"/>
        <v>264.17357326498581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0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0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2.8421709430404007E-13</v>
      </c>
      <c r="O108" s="13">
        <f>N108*VLOOKUP('Données projet'!$B$9,Paramètres!$A$1:$I$89,3,0)*VLOOKUP('Données projet'!$B$9,Paramètres!$A$1:$I$89,5,0)</f>
        <v>2.5715962692629546E-13</v>
      </c>
      <c r="P108" s="13">
        <f t="shared" si="87"/>
        <v>3.4610450122128953E-12</v>
      </c>
      <c r="Q108" s="20">
        <f t="shared" si="107"/>
        <v>6.4758730798340893E-12</v>
      </c>
      <c r="R108" s="59">
        <f t="shared" si="55"/>
        <v>293.33333333333979</v>
      </c>
      <c r="S108" s="59">
        <f ca="1">AVERAGE(OFFSET($R$3,0,0,'Données projet'!$E$9+1,1))-AVERAGE(OFFSET($H$3,0,0,'Données projet'!$E$9+1,1))</f>
        <v>346.35147716792028</v>
      </c>
      <c r="T108" s="59">
        <f t="shared" si="88"/>
        <v>231.36959598460686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0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3.9379078089256564E-11</v>
      </c>
      <c r="AC108" s="22">
        <f t="shared" si="57"/>
        <v>3.9379078089256564E-11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2.8421709430404007E-13</v>
      </c>
      <c r="AJ108" s="13">
        <f>AI108*VLOOKUP('Données projet'!$B$10,Paramètres!$A$1:$I$89,3,0)*VLOOKUP('Données projet'!$B$10,Paramètres!$A$1:$I$89,5,0)</f>
        <v>2.5715962692629546E-13</v>
      </c>
      <c r="AK108" s="13">
        <f t="shared" si="89"/>
        <v>3.4610450122128953E-12</v>
      </c>
      <c r="AL108" s="20">
        <f t="shared" si="58"/>
        <v>6.4758730798340893E-12</v>
      </c>
      <c r="AM108" s="59">
        <f t="shared" si="59"/>
        <v>293.33333333333979</v>
      </c>
      <c r="AN108" s="59">
        <f ca="1">AVERAGE(OFFSET($AM$3,0,0,'Données projet'!$E$10+1,1))-AVERAGE(OFFSET($H$3,0,0,'Données projet'!$E$10+1,1))</f>
        <v>346.35147716792028</v>
      </c>
      <c r="AO108" s="59">
        <f t="shared" si="90"/>
        <v>231.36959598460686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3.9379078089256564E-11</v>
      </c>
      <c r="AX108" s="21">
        <f t="shared" si="60"/>
        <v>3.9379078089256564E-11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1.1368683772161603E-13</v>
      </c>
      <c r="BE108" s="13">
        <f>BD108*VLOOKUP('Données projet'!$B$11,Paramètres!$A$1:$I$89,3,0)*VLOOKUP('Données projet'!$B$11,Paramètres!$A$1:$I$89,5,0)</f>
        <v>6.7984728957526396E-14</v>
      </c>
      <c r="BF108" s="13">
        <f t="shared" si="91"/>
        <v>1.0682447123141398E-12</v>
      </c>
      <c r="BG108" s="20">
        <f t="shared" si="61"/>
        <v>1.978932943548152E-12</v>
      </c>
      <c r="BH108" s="59">
        <f t="shared" si="62"/>
        <v>293.3333333333353</v>
      </c>
      <c r="BI108" s="59">
        <f ca="1">AVERAGE(OFFSET($BH$3,0,0,'Données projet'!$E$11+1,1))-AVERAGE(OFFSET($H$3,0,0,'Données projet'!$E$11+1,1))</f>
        <v>257.80952690600492</v>
      </c>
      <c r="BJ108" s="59">
        <f t="shared" si="92"/>
        <v>269.95358755269427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#VALUE!</v>
      </c>
      <c r="BQ108" s="21" t="e">
        <f>EXP(-LN(2)/25)*BQ107+(1-EXP(-LN(2)/25))/(LN(2)/25)*Calculateur!BL108*Calculateur!BN108*VLOOKUP('Données projet'!$B$11,Paramètres!$A$1:$I$89,3,0)*0.475*44/12</f>
        <v>#VALUE!</v>
      </c>
      <c r="BR108" s="21" t="e">
        <f>EXP(-LN(2)/2)*BR107+(1-EXP(-LN(2)/2))/(LN(2)/2)*BL108*BO108*VLOOKUP('Données projet'!$B$11,Paramètres!$A$1:$I$89,3,0)*0.475*44/12</f>
        <v>#VALUE!</v>
      </c>
      <c r="BS108" s="22" t="e">
        <f t="shared" si="63"/>
        <v>#VALUE!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-275.00000000000028</v>
      </c>
      <c r="BZ108" s="13">
        <f>BY108*VLOOKUP('Données projet'!$B$12,Paramètres!$A$1:$I$89,3,0)*VLOOKUP('Données projet'!$B$12,Paramètres!$A$1:$I$89,5,0)</f>
        <v>-214.50000000000023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286.5685205631126</v>
      </c>
      <c r="CE108" s="59">
        <f t="shared" si="94"/>
        <v>264.17357326498581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0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0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2.8421709430404007E-13</v>
      </c>
      <c r="O109" s="13">
        <f>N109*VLOOKUP('Données projet'!$B$9,Paramètres!$A$1:$I$89,3,0)*VLOOKUP('Données projet'!$B$9,Paramètres!$A$1:$I$89,5,0)</f>
        <v>2.5715962692629546E-13</v>
      </c>
      <c r="P109" s="13">
        <f t="shared" si="87"/>
        <v>3.4610450122128953E-12</v>
      </c>
      <c r="Q109" s="20">
        <f t="shared" si="107"/>
        <v>6.4758730798340893E-12</v>
      </c>
      <c r="R109" s="59">
        <f t="shared" si="55"/>
        <v>293.33333333333979</v>
      </c>
      <c r="S109" s="59">
        <f ca="1">AVERAGE(OFFSET($R$3,0,0,'Données projet'!$E$9+1,1))-AVERAGE(OFFSET($H$3,0,0,'Données projet'!$E$9+1,1))</f>
        <v>346.35147716792028</v>
      </c>
      <c r="T109" s="59">
        <f t="shared" si="88"/>
        <v>231.36959598460686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0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2.7845213153787909E-11</v>
      </c>
      <c r="AC109" s="22">
        <f t="shared" si="57"/>
        <v>2.7845213153787909E-11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2.8421709430404007E-13</v>
      </c>
      <c r="AJ109" s="13">
        <f>AI109*VLOOKUP('Données projet'!$B$10,Paramètres!$A$1:$I$89,3,0)*VLOOKUP('Données projet'!$B$10,Paramètres!$A$1:$I$89,5,0)</f>
        <v>2.5715962692629546E-13</v>
      </c>
      <c r="AK109" s="13">
        <f t="shared" si="89"/>
        <v>3.4610450122128953E-12</v>
      </c>
      <c r="AL109" s="20">
        <f t="shared" si="58"/>
        <v>6.4758730798340893E-12</v>
      </c>
      <c r="AM109" s="59">
        <f t="shared" si="59"/>
        <v>293.33333333333979</v>
      </c>
      <c r="AN109" s="59">
        <f ca="1">AVERAGE(OFFSET($AM$3,0,0,'Données projet'!$E$10+1,1))-AVERAGE(OFFSET($H$3,0,0,'Données projet'!$E$10+1,1))</f>
        <v>346.35147716792028</v>
      </c>
      <c r="AO109" s="59">
        <f t="shared" si="90"/>
        <v>231.36959598460686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2.7845213153787909E-11</v>
      </c>
      <c r="AX109" s="21">
        <f t="shared" si="60"/>
        <v>2.7845213153787909E-11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1.1368683772161603E-13</v>
      </c>
      <c r="BE109" s="13">
        <f>BD109*VLOOKUP('Données projet'!$B$11,Paramètres!$A$1:$I$89,3,0)*VLOOKUP('Données projet'!$B$11,Paramètres!$A$1:$I$89,5,0)</f>
        <v>6.7984728957526396E-14</v>
      </c>
      <c r="BF109" s="13">
        <f t="shared" si="91"/>
        <v>1.0682447123141398E-12</v>
      </c>
      <c r="BG109" s="20">
        <f t="shared" si="61"/>
        <v>1.978932943548152E-12</v>
      </c>
      <c r="BH109" s="59">
        <f t="shared" si="62"/>
        <v>293.3333333333353</v>
      </c>
      <c r="BI109" s="59">
        <f ca="1">AVERAGE(OFFSET($BH$3,0,0,'Données projet'!$E$11+1,1))-AVERAGE(OFFSET($H$3,0,0,'Données projet'!$E$11+1,1))</f>
        <v>257.80952690600492</v>
      </c>
      <c r="BJ109" s="59">
        <f t="shared" si="92"/>
        <v>269.95358755269427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#VALUE!</v>
      </c>
      <c r="BQ109" s="21" t="e">
        <f>EXP(-LN(2)/25)*BQ108+(1-EXP(-LN(2)/25))/(LN(2)/25)*Calculateur!BL109*Calculateur!BN109*VLOOKUP('Données projet'!$B$11,Paramètres!$A$1:$I$89,3,0)*0.475*44/12</f>
        <v>#VALUE!</v>
      </c>
      <c r="BR109" s="21" t="e">
        <f>EXP(-LN(2)/2)*BR108+(1-EXP(-LN(2)/2))/(LN(2)/2)*BL109*BO109*VLOOKUP('Données projet'!$B$11,Paramètres!$A$1:$I$89,3,0)*0.475*44/12</f>
        <v>#VALUE!</v>
      </c>
      <c r="BS109" s="22" t="e">
        <f t="shared" si="63"/>
        <v>#VALUE!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-275.00000000000028</v>
      </c>
      <c r="BZ109" s="13">
        <f>BY109*VLOOKUP('Données projet'!$B$12,Paramètres!$A$1:$I$89,3,0)*VLOOKUP('Données projet'!$B$12,Paramètres!$A$1:$I$89,5,0)</f>
        <v>-214.50000000000023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286.5685205631126</v>
      </c>
      <c r="CE109" s="59">
        <f t="shared" si="94"/>
        <v>264.17357326498581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0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0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2.8421709430404007E-13</v>
      </c>
      <c r="O110" s="13">
        <f>N110*VLOOKUP('Données projet'!$B$9,Paramètres!$A$1:$I$89,3,0)*VLOOKUP('Données projet'!$B$9,Paramètres!$A$1:$I$89,5,0)</f>
        <v>2.5715962692629546E-13</v>
      </c>
      <c r="P110" s="13">
        <f t="shared" si="87"/>
        <v>3.4610450122128953E-12</v>
      </c>
      <c r="Q110" s="20">
        <f t="shared" si="107"/>
        <v>6.4758730798340893E-12</v>
      </c>
      <c r="R110" s="59">
        <f t="shared" si="55"/>
        <v>293.33333333333979</v>
      </c>
      <c r="S110" s="59">
        <f ca="1">AVERAGE(OFFSET($R$3,0,0,'Données projet'!$E$9+1,1))-AVERAGE(OFFSET($H$3,0,0,'Données projet'!$E$9+1,1))</f>
        <v>346.35147716792028</v>
      </c>
      <c r="T110" s="59">
        <f t="shared" si="88"/>
        <v>231.36959598460686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0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1.9689539044628282E-11</v>
      </c>
      <c r="AC110" s="22">
        <f t="shared" si="57"/>
        <v>1.9689539044628282E-11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2.8421709430404007E-13</v>
      </c>
      <c r="AJ110" s="13">
        <f>AI110*VLOOKUP('Données projet'!$B$10,Paramètres!$A$1:$I$89,3,0)*VLOOKUP('Données projet'!$B$10,Paramètres!$A$1:$I$89,5,0)</f>
        <v>2.5715962692629546E-13</v>
      </c>
      <c r="AK110" s="13">
        <f t="shared" si="89"/>
        <v>3.4610450122128953E-12</v>
      </c>
      <c r="AL110" s="20">
        <f t="shared" si="58"/>
        <v>6.4758730798340893E-12</v>
      </c>
      <c r="AM110" s="59">
        <f t="shared" si="59"/>
        <v>293.33333333333979</v>
      </c>
      <c r="AN110" s="59">
        <f ca="1">AVERAGE(OFFSET($AM$3,0,0,'Données projet'!$E$10+1,1))-AVERAGE(OFFSET($H$3,0,0,'Données projet'!$E$10+1,1))</f>
        <v>346.35147716792028</v>
      </c>
      <c r="AO110" s="59">
        <f t="shared" si="90"/>
        <v>231.36959598460686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1.9689539044628282E-11</v>
      </c>
      <c r="AX110" s="21">
        <f t="shared" si="60"/>
        <v>1.9689539044628282E-11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1.1368683772161603E-13</v>
      </c>
      <c r="BE110" s="13">
        <f>BD110*VLOOKUP('Données projet'!$B$11,Paramètres!$A$1:$I$89,3,0)*VLOOKUP('Données projet'!$B$11,Paramètres!$A$1:$I$89,5,0)</f>
        <v>6.7984728957526396E-14</v>
      </c>
      <c r="BF110" s="13">
        <f t="shared" si="91"/>
        <v>1.0682447123141398E-12</v>
      </c>
      <c r="BG110" s="20">
        <f t="shared" si="61"/>
        <v>1.978932943548152E-12</v>
      </c>
      <c r="BH110" s="59">
        <f t="shared" si="62"/>
        <v>293.3333333333353</v>
      </c>
      <c r="BI110" s="59">
        <f ca="1">AVERAGE(OFFSET($BH$3,0,0,'Données projet'!$E$11+1,1))-AVERAGE(OFFSET($H$3,0,0,'Données projet'!$E$11+1,1))</f>
        <v>257.80952690600492</v>
      </c>
      <c r="BJ110" s="59">
        <f t="shared" si="92"/>
        <v>269.95358755269427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#VALUE!</v>
      </c>
      <c r="BQ110" s="21" t="e">
        <f>EXP(-LN(2)/25)*BQ109+(1-EXP(-LN(2)/25))/(LN(2)/25)*Calculateur!BL110*Calculateur!BN110*VLOOKUP('Données projet'!$B$11,Paramètres!$A$1:$I$89,3,0)*0.475*44/12</f>
        <v>#VALUE!</v>
      </c>
      <c r="BR110" s="21" t="e">
        <f>EXP(-LN(2)/2)*BR109+(1-EXP(-LN(2)/2))/(LN(2)/2)*BL110*BO110*VLOOKUP('Données projet'!$B$11,Paramètres!$A$1:$I$89,3,0)*0.475*44/12</f>
        <v>#VALUE!</v>
      </c>
      <c r="BS110" s="22" t="e">
        <f t="shared" si="63"/>
        <v>#VALUE!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-275.00000000000028</v>
      </c>
      <c r="BZ110" s="13">
        <f>BY110*VLOOKUP('Données projet'!$B$12,Paramètres!$A$1:$I$89,3,0)*VLOOKUP('Données projet'!$B$12,Paramètres!$A$1:$I$89,5,0)</f>
        <v>-214.50000000000023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286.5685205631126</v>
      </c>
      <c r="CE110" s="59">
        <f t="shared" si="94"/>
        <v>264.17357326498581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0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0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2.8421709430404007E-13</v>
      </c>
      <c r="O111" s="13">
        <f>N111*VLOOKUP('Données projet'!$B$9,Paramètres!$A$1:$I$89,3,0)*VLOOKUP('Données projet'!$B$9,Paramètres!$A$1:$I$89,5,0)</f>
        <v>2.5715962692629546E-13</v>
      </c>
      <c r="P111" s="13">
        <f t="shared" si="87"/>
        <v>3.4610450122128953E-12</v>
      </c>
      <c r="Q111" s="20">
        <f t="shared" si="107"/>
        <v>6.4758730798340893E-12</v>
      </c>
      <c r="R111" s="59">
        <f t="shared" si="55"/>
        <v>293.33333333333979</v>
      </c>
      <c r="S111" s="59">
        <f ca="1">AVERAGE(OFFSET($R$3,0,0,'Données projet'!$E$9+1,1))-AVERAGE(OFFSET($H$3,0,0,'Données projet'!$E$9+1,1))</f>
        <v>346.35147716792028</v>
      </c>
      <c r="T111" s="59">
        <f t="shared" si="88"/>
        <v>231.36959598460686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0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1.3922606576893955E-11</v>
      </c>
      <c r="AC111" s="22">
        <f t="shared" si="57"/>
        <v>1.3922606576893955E-11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2.8421709430404007E-13</v>
      </c>
      <c r="AJ111" s="13">
        <f>AI111*VLOOKUP('Données projet'!$B$10,Paramètres!$A$1:$I$89,3,0)*VLOOKUP('Données projet'!$B$10,Paramètres!$A$1:$I$89,5,0)</f>
        <v>2.5715962692629546E-13</v>
      </c>
      <c r="AK111" s="13">
        <f t="shared" si="89"/>
        <v>3.4610450122128953E-12</v>
      </c>
      <c r="AL111" s="20">
        <f t="shared" si="58"/>
        <v>6.4758730798340893E-12</v>
      </c>
      <c r="AM111" s="59">
        <f t="shared" si="59"/>
        <v>293.33333333333979</v>
      </c>
      <c r="AN111" s="59">
        <f ca="1">AVERAGE(OFFSET($AM$3,0,0,'Données projet'!$E$10+1,1))-AVERAGE(OFFSET($H$3,0,0,'Données projet'!$E$10+1,1))</f>
        <v>346.35147716792028</v>
      </c>
      <c r="AO111" s="59">
        <f t="shared" si="90"/>
        <v>231.36959598460686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1.3922606576893955E-11</v>
      </c>
      <c r="AX111" s="21">
        <f t="shared" si="60"/>
        <v>1.3922606576893955E-11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1.1368683772161603E-13</v>
      </c>
      <c r="BE111" s="13">
        <f>BD111*VLOOKUP('Données projet'!$B$11,Paramètres!$A$1:$I$89,3,0)*VLOOKUP('Données projet'!$B$11,Paramètres!$A$1:$I$89,5,0)</f>
        <v>6.7984728957526396E-14</v>
      </c>
      <c r="BF111" s="13">
        <f t="shared" si="91"/>
        <v>1.0682447123141398E-12</v>
      </c>
      <c r="BG111" s="20">
        <f t="shared" si="61"/>
        <v>1.978932943548152E-12</v>
      </c>
      <c r="BH111" s="59">
        <f t="shared" si="62"/>
        <v>293.3333333333353</v>
      </c>
      <c r="BI111" s="59">
        <f ca="1">AVERAGE(OFFSET($BH$3,0,0,'Données projet'!$E$11+1,1))-AVERAGE(OFFSET($H$3,0,0,'Données projet'!$E$11+1,1))</f>
        <v>257.80952690600492</v>
      </c>
      <c r="BJ111" s="59">
        <f t="shared" si="92"/>
        <v>269.95358755269427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#VALUE!</v>
      </c>
      <c r="BQ111" s="21" t="e">
        <f>EXP(-LN(2)/25)*BQ110+(1-EXP(-LN(2)/25))/(LN(2)/25)*Calculateur!BL111*Calculateur!BN111*VLOOKUP('Données projet'!$B$11,Paramètres!$A$1:$I$89,3,0)*0.475*44/12</f>
        <v>#VALUE!</v>
      </c>
      <c r="BR111" s="21" t="e">
        <f>EXP(-LN(2)/2)*BR110+(1-EXP(-LN(2)/2))/(LN(2)/2)*BL111*BO111*VLOOKUP('Données projet'!$B$11,Paramètres!$A$1:$I$89,3,0)*0.475*44/12</f>
        <v>#VALUE!</v>
      </c>
      <c r="BS111" s="22" t="e">
        <f t="shared" si="63"/>
        <v>#VALUE!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-275.00000000000028</v>
      </c>
      <c r="BZ111" s="13">
        <f>BY111*VLOOKUP('Données projet'!$B$12,Paramètres!$A$1:$I$89,3,0)*VLOOKUP('Données projet'!$B$12,Paramètres!$A$1:$I$89,5,0)</f>
        <v>-214.50000000000023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286.5685205631126</v>
      </c>
      <c r="CE111" s="59">
        <f t="shared" si="94"/>
        <v>264.17357326498581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0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0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2.8421709430404007E-13</v>
      </c>
      <c r="O112" s="13">
        <f>N112*VLOOKUP('Données projet'!$B$9,Paramètres!$A$1:$I$89,3,0)*VLOOKUP('Données projet'!$B$9,Paramètres!$A$1:$I$89,5,0)</f>
        <v>2.5715962692629546E-13</v>
      </c>
      <c r="P112" s="13">
        <f t="shared" si="87"/>
        <v>3.4610450122128953E-12</v>
      </c>
      <c r="Q112" s="20">
        <f t="shared" si="107"/>
        <v>6.4758730798340893E-12</v>
      </c>
      <c r="R112" s="59">
        <f t="shared" si="55"/>
        <v>293.33333333333979</v>
      </c>
      <c r="S112" s="59">
        <f ca="1">AVERAGE(OFFSET($R$3,0,0,'Données projet'!$E$9+1,1))-AVERAGE(OFFSET($H$3,0,0,'Données projet'!$E$9+1,1))</f>
        <v>346.35147716792028</v>
      </c>
      <c r="T112" s="59">
        <f t="shared" si="88"/>
        <v>231.36959598460686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0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9.8447695223141409E-12</v>
      </c>
      <c r="AC112" s="22">
        <f t="shared" si="57"/>
        <v>9.8447695223141409E-12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2.8421709430404007E-13</v>
      </c>
      <c r="AJ112" s="13">
        <f>AI112*VLOOKUP('Données projet'!$B$10,Paramètres!$A$1:$I$89,3,0)*VLOOKUP('Données projet'!$B$10,Paramètres!$A$1:$I$89,5,0)</f>
        <v>2.5715962692629546E-13</v>
      </c>
      <c r="AK112" s="13">
        <f t="shared" si="89"/>
        <v>3.4610450122128953E-12</v>
      </c>
      <c r="AL112" s="20">
        <f t="shared" si="58"/>
        <v>6.4758730798340893E-12</v>
      </c>
      <c r="AM112" s="59">
        <f t="shared" si="59"/>
        <v>293.33333333333979</v>
      </c>
      <c r="AN112" s="59">
        <f ca="1">AVERAGE(OFFSET($AM$3,0,0,'Données projet'!$E$10+1,1))-AVERAGE(OFFSET($H$3,0,0,'Données projet'!$E$10+1,1))</f>
        <v>346.35147716792028</v>
      </c>
      <c r="AO112" s="59">
        <f t="shared" si="90"/>
        <v>231.36959598460686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9.8447695223141409E-12</v>
      </c>
      <c r="AX112" s="21">
        <f t="shared" si="60"/>
        <v>9.8447695223141409E-12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1.1368683772161603E-13</v>
      </c>
      <c r="BE112" s="13">
        <f>BD112*VLOOKUP('Données projet'!$B$11,Paramètres!$A$1:$I$89,3,0)*VLOOKUP('Données projet'!$B$11,Paramètres!$A$1:$I$89,5,0)</f>
        <v>6.7984728957526396E-14</v>
      </c>
      <c r="BF112" s="13">
        <f t="shared" si="91"/>
        <v>1.0682447123141398E-12</v>
      </c>
      <c r="BG112" s="20">
        <f t="shared" si="61"/>
        <v>1.978932943548152E-12</v>
      </c>
      <c r="BH112" s="59">
        <f t="shared" si="62"/>
        <v>293.3333333333353</v>
      </c>
      <c r="BI112" s="59">
        <f ca="1">AVERAGE(OFFSET($BH$3,0,0,'Données projet'!$E$11+1,1))-AVERAGE(OFFSET($H$3,0,0,'Données projet'!$E$11+1,1))</f>
        <v>257.80952690600492</v>
      </c>
      <c r="BJ112" s="59">
        <f t="shared" si="92"/>
        <v>269.95358755269427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#VALUE!</v>
      </c>
      <c r="BQ112" s="21" t="e">
        <f>EXP(-LN(2)/25)*BQ111+(1-EXP(-LN(2)/25))/(LN(2)/25)*Calculateur!BL112*Calculateur!BN112*VLOOKUP('Données projet'!$B$11,Paramètres!$A$1:$I$89,3,0)*0.475*44/12</f>
        <v>#VALUE!</v>
      </c>
      <c r="BR112" s="21" t="e">
        <f>EXP(-LN(2)/2)*BR111+(1-EXP(-LN(2)/2))/(LN(2)/2)*BL112*BO112*VLOOKUP('Données projet'!$B$11,Paramètres!$A$1:$I$89,3,0)*0.475*44/12</f>
        <v>#VALUE!</v>
      </c>
      <c r="BS112" s="22" t="e">
        <f t="shared" si="63"/>
        <v>#VALUE!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-275.00000000000028</v>
      </c>
      <c r="BZ112" s="13">
        <f>BY112*VLOOKUP('Données projet'!$B$12,Paramètres!$A$1:$I$89,3,0)*VLOOKUP('Données projet'!$B$12,Paramètres!$A$1:$I$89,5,0)</f>
        <v>-214.50000000000023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286.5685205631126</v>
      </c>
      <c r="CE112" s="59">
        <f t="shared" si="94"/>
        <v>264.17357326498581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0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0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2.8421709430404007E-13</v>
      </c>
      <c r="O113" s="13">
        <f>N113*VLOOKUP('Données projet'!$B$9,Paramètres!$A$1:$I$89,3,0)*VLOOKUP('Données projet'!$B$9,Paramètres!$A$1:$I$89,5,0)</f>
        <v>2.5715962692629546E-13</v>
      </c>
      <c r="P113" s="13">
        <f t="shared" si="87"/>
        <v>3.4610450122128953E-12</v>
      </c>
      <c r="Q113" s="20">
        <f t="shared" si="107"/>
        <v>6.4758730798340893E-12</v>
      </c>
      <c r="R113" s="59">
        <f t="shared" si="55"/>
        <v>293.33333333333979</v>
      </c>
      <c r="S113" s="59">
        <f ca="1">AVERAGE(OFFSET($R$3,0,0,'Données projet'!$E$9+1,1))-AVERAGE(OFFSET($H$3,0,0,'Données projet'!$E$9+1,1))</f>
        <v>346.35147716792028</v>
      </c>
      <c r="T113" s="59">
        <f t="shared" si="88"/>
        <v>231.36959598460686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0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6.9613032884469773E-12</v>
      </c>
      <c r="AC113" s="22">
        <f t="shared" si="57"/>
        <v>6.9613032884469773E-12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2.8421709430404007E-13</v>
      </c>
      <c r="AJ113" s="13">
        <f>AI113*VLOOKUP('Données projet'!$B$10,Paramètres!$A$1:$I$89,3,0)*VLOOKUP('Données projet'!$B$10,Paramètres!$A$1:$I$89,5,0)</f>
        <v>2.5715962692629546E-13</v>
      </c>
      <c r="AK113" s="13">
        <f t="shared" si="89"/>
        <v>3.4610450122128953E-12</v>
      </c>
      <c r="AL113" s="20">
        <f t="shared" si="58"/>
        <v>6.4758730798340893E-12</v>
      </c>
      <c r="AM113" s="59">
        <f t="shared" si="59"/>
        <v>293.33333333333979</v>
      </c>
      <c r="AN113" s="59">
        <f ca="1">AVERAGE(OFFSET($AM$3,0,0,'Données projet'!$E$10+1,1))-AVERAGE(OFFSET($H$3,0,0,'Données projet'!$E$10+1,1))</f>
        <v>346.35147716792028</v>
      </c>
      <c r="AO113" s="59">
        <f t="shared" si="90"/>
        <v>231.36959598460686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6.9613032884469773E-12</v>
      </c>
      <c r="AX113" s="21">
        <f t="shared" si="60"/>
        <v>6.9613032884469773E-12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1.1368683772161603E-13</v>
      </c>
      <c r="BE113" s="13">
        <f>BD113*VLOOKUP('Données projet'!$B$11,Paramètres!$A$1:$I$89,3,0)*VLOOKUP('Données projet'!$B$11,Paramètres!$A$1:$I$89,5,0)</f>
        <v>6.7984728957526396E-14</v>
      </c>
      <c r="BF113" s="13">
        <f t="shared" si="91"/>
        <v>1.0682447123141398E-12</v>
      </c>
      <c r="BG113" s="20">
        <f t="shared" si="61"/>
        <v>1.978932943548152E-12</v>
      </c>
      <c r="BH113" s="59">
        <f t="shared" si="62"/>
        <v>293.3333333333353</v>
      </c>
      <c r="BI113" s="59">
        <f ca="1">AVERAGE(OFFSET($BH$3,0,0,'Données projet'!$E$11+1,1))-AVERAGE(OFFSET($H$3,0,0,'Données projet'!$E$11+1,1))</f>
        <v>257.80952690600492</v>
      </c>
      <c r="BJ113" s="59">
        <f t="shared" si="92"/>
        <v>269.95358755269427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#VALUE!</v>
      </c>
      <c r="BQ113" s="21" t="e">
        <f>EXP(-LN(2)/25)*BQ112+(1-EXP(-LN(2)/25))/(LN(2)/25)*Calculateur!BL113*Calculateur!BN113*VLOOKUP('Données projet'!$B$11,Paramètres!$A$1:$I$89,3,0)*0.475*44/12</f>
        <v>#VALUE!</v>
      </c>
      <c r="BR113" s="21" t="e">
        <f>EXP(-LN(2)/2)*BR112+(1-EXP(-LN(2)/2))/(LN(2)/2)*BL113*BO113*VLOOKUP('Données projet'!$B$11,Paramètres!$A$1:$I$89,3,0)*0.475*44/12</f>
        <v>#VALUE!</v>
      </c>
      <c r="BS113" s="22" t="e">
        <f t="shared" si="63"/>
        <v>#VALUE!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-275.00000000000028</v>
      </c>
      <c r="BZ113" s="13">
        <f>BY113*VLOOKUP('Données projet'!$B$12,Paramètres!$A$1:$I$89,3,0)*VLOOKUP('Données projet'!$B$12,Paramètres!$A$1:$I$89,5,0)</f>
        <v>-214.50000000000023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286.5685205631126</v>
      </c>
      <c r="CE113" s="59">
        <f t="shared" si="94"/>
        <v>264.17357326498581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0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0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2.8421709430404007E-13</v>
      </c>
      <c r="O114" s="13">
        <f>N114*VLOOKUP('Données projet'!$B$9,Paramètres!$A$1:$I$89,3,0)*VLOOKUP('Données projet'!$B$9,Paramètres!$A$1:$I$89,5,0)</f>
        <v>2.5715962692629546E-13</v>
      </c>
      <c r="P114" s="13">
        <f t="shared" si="87"/>
        <v>3.4610450122128953E-12</v>
      </c>
      <c r="Q114" s="20">
        <f t="shared" si="107"/>
        <v>6.4758730798340893E-12</v>
      </c>
      <c r="R114" s="59">
        <f t="shared" si="55"/>
        <v>293.33333333333979</v>
      </c>
      <c r="S114" s="59">
        <f ca="1">AVERAGE(OFFSET($R$3,0,0,'Données projet'!$E$9+1,1))-AVERAGE(OFFSET($H$3,0,0,'Données projet'!$E$9+1,1))</f>
        <v>346.35147716792028</v>
      </c>
      <c r="T114" s="59">
        <f t="shared" si="88"/>
        <v>231.36959598460686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0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4.9223847611570705E-12</v>
      </c>
      <c r="AC114" s="22">
        <f t="shared" si="57"/>
        <v>4.9223847611570705E-12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2.8421709430404007E-13</v>
      </c>
      <c r="AJ114" s="13">
        <f>AI114*VLOOKUP('Données projet'!$B$10,Paramètres!$A$1:$I$89,3,0)*VLOOKUP('Données projet'!$B$10,Paramètres!$A$1:$I$89,5,0)</f>
        <v>2.5715962692629546E-13</v>
      </c>
      <c r="AK114" s="13">
        <f t="shared" si="89"/>
        <v>3.4610450122128953E-12</v>
      </c>
      <c r="AL114" s="20">
        <f t="shared" si="58"/>
        <v>6.4758730798340893E-12</v>
      </c>
      <c r="AM114" s="59">
        <f t="shared" si="59"/>
        <v>293.33333333333979</v>
      </c>
      <c r="AN114" s="59">
        <f ca="1">AVERAGE(OFFSET($AM$3,0,0,'Données projet'!$E$10+1,1))-AVERAGE(OFFSET($H$3,0,0,'Données projet'!$E$10+1,1))</f>
        <v>346.35147716792028</v>
      </c>
      <c r="AO114" s="59">
        <f t="shared" si="90"/>
        <v>231.36959598460686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4.9223847611570705E-12</v>
      </c>
      <c r="AX114" s="21">
        <f t="shared" si="60"/>
        <v>4.9223847611570705E-12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1.1368683772161603E-13</v>
      </c>
      <c r="BE114" s="13">
        <f>BD114*VLOOKUP('Données projet'!$B$11,Paramètres!$A$1:$I$89,3,0)*VLOOKUP('Données projet'!$B$11,Paramètres!$A$1:$I$89,5,0)</f>
        <v>6.7984728957526396E-14</v>
      </c>
      <c r="BF114" s="13">
        <f t="shared" si="91"/>
        <v>1.0682447123141398E-12</v>
      </c>
      <c r="BG114" s="20">
        <f t="shared" si="61"/>
        <v>1.978932943548152E-12</v>
      </c>
      <c r="BH114" s="59">
        <f t="shared" si="62"/>
        <v>293.3333333333353</v>
      </c>
      <c r="BI114" s="59">
        <f ca="1">AVERAGE(OFFSET($BH$3,0,0,'Données projet'!$E$11+1,1))-AVERAGE(OFFSET($H$3,0,0,'Données projet'!$E$11+1,1))</f>
        <v>257.80952690600492</v>
      </c>
      <c r="BJ114" s="59">
        <f t="shared" si="92"/>
        <v>269.95358755269427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#VALUE!</v>
      </c>
      <c r="BQ114" s="21" t="e">
        <f>EXP(-LN(2)/25)*BQ113+(1-EXP(-LN(2)/25))/(LN(2)/25)*Calculateur!BL114*Calculateur!BN114*VLOOKUP('Données projet'!$B$11,Paramètres!$A$1:$I$89,3,0)*0.475*44/12</f>
        <v>#VALUE!</v>
      </c>
      <c r="BR114" s="21" t="e">
        <f>EXP(-LN(2)/2)*BR113+(1-EXP(-LN(2)/2))/(LN(2)/2)*BL114*BO114*VLOOKUP('Données projet'!$B$11,Paramètres!$A$1:$I$89,3,0)*0.475*44/12</f>
        <v>#VALUE!</v>
      </c>
      <c r="BS114" s="22" t="e">
        <f t="shared" si="63"/>
        <v>#VALUE!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-275.00000000000028</v>
      </c>
      <c r="BZ114" s="13">
        <f>BY114*VLOOKUP('Données projet'!$B$12,Paramètres!$A$1:$I$89,3,0)*VLOOKUP('Données projet'!$B$12,Paramètres!$A$1:$I$89,5,0)</f>
        <v>-214.50000000000023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286.5685205631126</v>
      </c>
      <c r="CE114" s="59">
        <f t="shared" si="94"/>
        <v>264.17357326498581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0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0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2.8421709430404007E-13</v>
      </c>
      <c r="O115" s="13">
        <f>N115*VLOOKUP('Données projet'!$B$9,Paramètres!$A$1:$I$89,3,0)*VLOOKUP('Données projet'!$B$9,Paramètres!$A$1:$I$89,5,0)</f>
        <v>2.5715962692629546E-13</v>
      </c>
      <c r="P115" s="13">
        <f t="shared" si="87"/>
        <v>3.4610450122128953E-12</v>
      </c>
      <c r="Q115" s="20">
        <f t="shared" si="107"/>
        <v>6.4758730798340893E-12</v>
      </c>
      <c r="R115" s="59">
        <f t="shared" si="55"/>
        <v>293.33333333333979</v>
      </c>
      <c r="S115" s="59">
        <f ca="1">AVERAGE(OFFSET($R$3,0,0,'Données projet'!$E$9+1,1))-AVERAGE(OFFSET($H$3,0,0,'Données projet'!$E$9+1,1))</f>
        <v>346.35147716792028</v>
      </c>
      <c r="T115" s="59">
        <f t="shared" si="88"/>
        <v>231.36959598460686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0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3.4806516442234887E-12</v>
      </c>
      <c r="AC115" s="22">
        <f t="shared" si="57"/>
        <v>3.4806516442234887E-12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2.8421709430404007E-13</v>
      </c>
      <c r="AJ115" s="13">
        <f>AI115*VLOOKUP('Données projet'!$B$10,Paramètres!$A$1:$I$89,3,0)*VLOOKUP('Données projet'!$B$10,Paramètres!$A$1:$I$89,5,0)</f>
        <v>2.5715962692629546E-13</v>
      </c>
      <c r="AK115" s="13">
        <f t="shared" si="89"/>
        <v>3.4610450122128953E-12</v>
      </c>
      <c r="AL115" s="20">
        <f t="shared" si="58"/>
        <v>6.4758730798340893E-12</v>
      </c>
      <c r="AM115" s="59">
        <f t="shared" si="59"/>
        <v>293.33333333333979</v>
      </c>
      <c r="AN115" s="59">
        <f ca="1">AVERAGE(OFFSET($AM$3,0,0,'Données projet'!$E$10+1,1))-AVERAGE(OFFSET($H$3,0,0,'Données projet'!$E$10+1,1))</f>
        <v>346.35147716792028</v>
      </c>
      <c r="AO115" s="59">
        <f t="shared" si="90"/>
        <v>231.36959598460686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3.4806516442234887E-12</v>
      </c>
      <c r="AX115" s="21">
        <f t="shared" si="60"/>
        <v>3.4806516442234887E-12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1.1368683772161603E-13</v>
      </c>
      <c r="BE115" s="13">
        <f>BD115*VLOOKUP('Données projet'!$B$11,Paramètres!$A$1:$I$89,3,0)*VLOOKUP('Données projet'!$B$11,Paramètres!$A$1:$I$89,5,0)</f>
        <v>6.7984728957526396E-14</v>
      </c>
      <c r="BF115" s="13">
        <f t="shared" si="91"/>
        <v>1.0682447123141398E-12</v>
      </c>
      <c r="BG115" s="20">
        <f t="shared" si="61"/>
        <v>1.978932943548152E-12</v>
      </c>
      <c r="BH115" s="59">
        <f t="shared" si="62"/>
        <v>293.3333333333353</v>
      </c>
      <c r="BI115" s="59">
        <f ca="1">AVERAGE(OFFSET($BH$3,0,0,'Données projet'!$E$11+1,1))-AVERAGE(OFFSET($H$3,0,0,'Données projet'!$E$11+1,1))</f>
        <v>257.80952690600492</v>
      </c>
      <c r="BJ115" s="59">
        <f t="shared" si="92"/>
        <v>269.95358755269427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#VALUE!</v>
      </c>
      <c r="BQ115" s="21" t="e">
        <f>EXP(-LN(2)/25)*BQ114+(1-EXP(-LN(2)/25))/(LN(2)/25)*Calculateur!BL115*Calculateur!BN115*VLOOKUP('Données projet'!$B$11,Paramètres!$A$1:$I$89,3,0)*0.475*44/12</f>
        <v>#VALUE!</v>
      </c>
      <c r="BR115" s="21" t="e">
        <f>EXP(-LN(2)/2)*BR114+(1-EXP(-LN(2)/2))/(LN(2)/2)*BL115*BO115*VLOOKUP('Données projet'!$B$11,Paramètres!$A$1:$I$89,3,0)*0.475*44/12</f>
        <v>#VALUE!</v>
      </c>
      <c r="BS115" s="22" t="e">
        <f t="shared" si="63"/>
        <v>#VALUE!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-275.00000000000028</v>
      </c>
      <c r="BZ115" s="13">
        <f>BY115*VLOOKUP('Données projet'!$B$12,Paramètres!$A$1:$I$89,3,0)*VLOOKUP('Données projet'!$B$12,Paramètres!$A$1:$I$89,5,0)</f>
        <v>-214.50000000000023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286.5685205631126</v>
      </c>
      <c r="CE115" s="59">
        <f t="shared" si="94"/>
        <v>264.17357326498581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0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0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2.8421709430404007E-13</v>
      </c>
      <c r="O116" s="13">
        <f>N116*VLOOKUP('Données projet'!$B$9,Paramètres!$A$1:$I$89,3,0)*VLOOKUP('Données projet'!$B$9,Paramètres!$A$1:$I$89,5,0)</f>
        <v>2.5715962692629546E-13</v>
      </c>
      <c r="P116" s="13">
        <f t="shared" si="87"/>
        <v>3.4610450122128953E-12</v>
      </c>
      <c r="Q116" s="20">
        <f t="shared" si="107"/>
        <v>6.4758730798340893E-12</v>
      </c>
      <c r="R116" s="59">
        <f t="shared" si="55"/>
        <v>293.33333333333979</v>
      </c>
      <c r="S116" s="59">
        <f ca="1">AVERAGE(OFFSET($R$3,0,0,'Données projet'!$E$9+1,1))-AVERAGE(OFFSET($H$3,0,0,'Données projet'!$E$9+1,1))</f>
        <v>346.35147716792028</v>
      </c>
      <c r="T116" s="59">
        <f t="shared" si="88"/>
        <v>231.36959598460686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0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2.4611923805785352E-12</v>
      </c>
      <c r="AC116" s="22">
        <f t="shared" si="57"/>
        <v>2.4611923805785352E-12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2.8421709430404007E-13</v>
      </c>
      <c r="AJ116" s="13">
        <f>AI116*VLOOKUP('Données projet'!$B$10,Paramètres!$A$1:$I$89,3,0)*VLOOKUP('Données projet'!$B$10,Paramètres!$A$1:$I$89,5,0)</f>
        <v>2.5715962692629546E-13</v>
      </c>
      <c r="AK116" s="13">
        <f t="shared" si="89"/>
        <v>3.4610450122128953E-12</v>
      </c>
      <c r="AL116" s="20">
        <f t="shared" si="58"/>
        <v>6.4758730798340893E-12</v>
      </c>
      <c r="AM116" s="59">
        <f t="shared" si="59"/>
        <v>293.33333333333979</v>
      </c>
      <c r="AN116" s="59">
        <f ca="1">AVERAGE(OFFSET($AM$3,0,0,'Données projet'!$E$10+1,1))-AVERAGE(OFFSET($H$3,0,0,'Données projet'!$E$10+1,1))</f>
        <v>346.35147716792028</v>
      </c>
      <c r="AO116" s="59">
        <f t="shared" si="90"/>
        <v>231.36959598460686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2.4611923805785352E-12</v>
      </c>
      <c r="AX116" s="21">
        <f t="shared" si="60"/>
        <v>2.4611923805785352E-12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1.1368683772161603E-13</v>
      </c>
      <c r="BE116" s="13">
        <f>BD116*VLOOKUP('Données projet'!$B$11,Paramètres!$A$1:$I$89,3,0)*VLOOKUP('Données projet'!$B$11,Paramètres!$A$1:$I$89,5,0)</f>
        <v>6.7984728957526396E-14</v>
      </c>
      <c r="BF116" s="13">
        <f t="shared" si="91"/>
        <v>1.0682447123141398E-12</v>
      </c>
      <c r="BG116" s="20">
        <f t="shared" si="61"/>
        <v>1.978932943548152E-12</v>
      </c>
      <c r="BH116" s="59">
        <f t="shared" si="62"/>
        <v>293.3333333333353</v>
      </c>
      <c r="BI116" s="59">
        <f ca="1">AVERAGE(OFFSET($BH$3,0,0,'Données projet'!$E$11+1,1))-AVERAGE(OFFSET($H$3,0,0,'Données projet'!$E$11+1,1))</f>
        <v>257.80952690600492</v>
      </c>
      <c r="BJ116" s="59">
        <f t="shared" si="92"/>
        <v>269.95358755269427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#VALUE!</v>
      </c>
      <c r="BQ116" s="21" t="e">
        <f>EXP(-LN(2)/25)*BQ115+(1-EXP(-LN(2)/25))/(LN(2)/25)*Calculateur!BL116*Calculateur!BN116*VLOOKUP('Données projet'!$B$11,Paramètres!$A$1:$I$89,3,0)*0.475*44/12</f>
        <v>#VALUE!</v>
      </c>
      <c r="BR116" s="21" t="e">
        <f>EXP(-LN(2)/2)*BR115+(1-EXP(-LN(2)/2))/(LN(2)/2)*BL116*BO116*VLOOKUP('Données projet'!$B$11,Paramètres!$A$1:$I$89,3,0)*0.475*44/12</f>
        <v>#VALUE!</v>
      </c>
      <c r="BS116" s="22" t="e">
        <f t="shared" si="63"/>
        <v>#VALUE!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-275.00000000000028</v>
      </c>
      <c r="BZ116" s="13">
        <f>BY116*VLOOKUP('Données projet'!$B$12,Paramètres!$A$1:$I$89,3,0)*VLOOKUP('Données projet'!$B$12,Paramètres!$A$1:$I$89,5,0)</f>
        <v>-214.50000000000023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286.5685205631126</v>
      </c>
      <c r="CE116" s="59">
        <f t="shared" si="94"/>
        <v>264.17357326498581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0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0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2.8421709430404007E-13</v>
      </c>
      <c r="O117" s="13">
        <f>N117*VLOOKUP('Données projet'!$B$9,Paramètres!$A$1:$I$89,3,0)*VLOOKUP('Données projet'!$B$9,Paramètres!$A$1:$I$89,5,0)</f>
        <v>2.5715962692629546E-13</v>
      </c>
      <c r="P117" s="13">
        <f t="shared" si="87"/>
        <v>3.4610450122128953E-12</v>
      </c>
      <c r="Q117" s="20">
        <f t="shared" si="107"/>
        <v>6.4758730798340893E-12</v>
      </c>
      <c r="R117" s="59">
        <f t="shared" si="55"/>
        <v>293.33333333333979</v>
      </c>
      <c r="S117" s="59">
        <f ca="1">AVERAGE(OFFSET($R$3,0,0,'Données projet'!$E$9+1,1))-AVERAGE(OFFSET($H$3,0,0,'Données projet'!$E$9+1,1))</f>
        <v>346.35147716792028</v>
      </c>
      <c r="T117" s="59">
        <f t="shared" si="88"/>
        <v>231.36959598460686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0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1.7403258221117443E-12</v>
      </c>
      <c r="AC117" s="22">
        <f t="shared" si="57"/>
        <v>1.7403258221117443E-12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2.8421709430404007E-13</v>
      </c>
      <c r="AJ117" s="13">
        <f>AI117*VLOOKUP('Données projet'!$B$10,Paramètres!$A$1:$I$89,3,0)*VLOOKUP('Données projet'!$B$10,Paramètres!$A$1:$I$89,5,0)</f>
        <v>2.5715962692629546E-13</v>
      </c>
      <c r="AK117" s="13">
        <f t="shared" si="89"/>
        <v>3.4610450122128953E-12</v>
      </c>
      <c r="AL117" s="20">
        <f t="shared" si="58"/>
        <v>6.4758730798340893E-12</v>
      </c>
      <c r="AM117" s="59">
        <f t="shared" si="59"/>
        <v>293.33333333333979</v>
      </c>
      <c r="AN117" s="59">
        <f ca="1">AVERAGE(OFFSET($AM$3,0,0,'Données projet'!$E$10+1,1))-AVERAGE(OFFSET($H$3,0,0,'Données projet'!$E$10+1,1))</f>
        <v>346.35147716792028</v>
      </c>
      <c r="AO117" s="59">
        <f t="shared" si="90"/>
        <v>231.36959598460686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1.7403258221117443E-12</v>
      </c>
      <c r="AX117" s="21">
        <f t="shared" si="60"/>
        <v>1.7403258221117443E-12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1.1368683772161603E-13</v>
      </c>
      <c r="BE117" s="13">
        <f>BD117*VLOOKUP('Données projet'!$B$11,Paramètres!$A$1:$I$89,3,0)*VLOOKUP('Données projet'!$B$11,Paramètres!$A$1:$I$89,5,0)</f>
        <v>6.7984728957526396E-14</v>
      </c>
      <c r="BF117" s="13">
        <f t="shared" si="91"/>
        <v>1.0682447123141398E-12</v>
      </c>
      <c r="BG117" s="20">
        <f t="shared" si="61"/>
        <v>1.978932943548152E-12</v>
      </c>
      <c r="BH117" s="59">
        <f t="shared" si="62"/>
        <v>293.3333333333353</v>
      </c>
      <c r="BI117" s="59">
        <f ca="1">AVERAGE(OFFSET($BH$3,0,0,'Données projet'!$E$11+1,1))-AVERAGE(OFFSET($H$3,0,0,'Données projet'!$E$11+1,1))</f>
        <v>257.80952690600492</v>
      </c>
      <c r="BJ117" s="59">
        <f t="shared" si="92"/>
        <v>269.95358755269427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#VALUE!</v>
      </c>
      <c r="BQ117" s="21" t="e">
        <f>EXP(-LN(2)/25)*BQ116+(1-EXP(-LN(2)/25))/(LN(2)/25)*Calculateur!BL117*Calculateur!BN117*VLOOKUP('Données projet'!$B$11,Paramètres!$A$1:$I$89,3,0)*0.475*44/12</f>
        <v>#VALUE!</v>
      </c>
      <c r="BR117" s="21" t="e">
        <f>EXP(-LN(2)/2)*BR116+(1-EXP(-LN(2)/2))/(LN(2)/2)*BL117*BO117*VLOOKUP('Données projet'!$B$11,Paramètres!$A$1:$I$89,3,0)*0.475*44/12</f>
        <v>#VALUE!</v>
      </c>
      <c r="BS117" s="22" t="e">
        <f t="shared" si="63"/>
        <v>#VALUE!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-275.00000000000028</v>
      </c>
      <c r="BZ117" s="13">
        <f>BY117*VLOOKUP('Données projet'!$B$12,Paramètres!$A$1:$I$89,3,0)*VLOOKUP('Données projet'!$B$12,Paramètres!$A$1:$I$89,5,0)</f>
        <v>-214.50000000000023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286.5685205631126</v>
      </c>
      <c r="CE117" s="59">
        <f t="shared" si="94"/>
        <v>264.17357326498581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0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0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2.8421709430404007E-13</v>
      </c>
      <c r="O118" s="13">
        <f>N118*VLOOKUP('Données projet'!$B$9,Paramètres!$A$1:$I$89,3,0)*VLOOKUP('Données projet'!$B$9,Paramètres!$A$1:$I$89,5,0)</f>
        <v>2.5715962692629546E-13</v>
      </c>
      <c r="P118" s="13">
        <f t="shared" si="87"/>
        <v>3.4610450122128953E-12</v>
      </c>
      <c r="Q118" s="20">
        <f t="shared" si="107"/>
        <v>6.4758730798340893E-12</v>
      </c>
      <c r="R118" s="59">
        <f t="shared" si="55"/>
        <v>293.33333333333979</v>
      </c>
      <c r="S118" s="59">
        <f ca="1">AVERAGE(OFFSET($R$3,0,0,'Données projet'!$E$9+1,1))-AVERAGE(OFFSET($H$3,0,0,'Données projet'!$E$9+1,1))</f>
        <v>346.35147716792028</v>
      </c>
      <c r="T118" s="59">
        <f t="shared" si="88"/>
        <v>231.36959598460686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0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1.2305961902892676E-12</v>
      </c>
      <c r="AC118" s="22">
        <f t="shared" si="57"/>
        <v>1.2305961902892676E-12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2.8421709430404007E-13</v>
      </c>
      <c r="AJ118" s="13">
        <f>AI118*VLOOKUP('Données projet'!$B$10,Paramètres!$A$1:$I$89,3,0)*VLOOKUP('Données projet'!$B$10,Paramètres!$A$1:$I$89,5,0)</f>
        <v>2.5715962692629546E-13</v>
      </c>
      <c r="AK118" s="13">
        <f t="shared" si="89"/>
        <v>3.4610450122128953E-12</v>
      </c>
      <c r="AL118" s="20">
        <f t="shared" si="58"/>
        <v>6.4758730798340893E-12</v>
      </c>
      <c r="AM118" s="59">
        <f t="shared" si="59"/>
        <v>293.33333333333979</v>
      </c>
      <c r="AN118" s="59">
        <f ca="1">AVERAGE(OFFSET($AM$3,0,0,'Données projet'!$E$10+1,1))-AVERAGE(OFFSET($H$3,0,0,'Données projet'!$E$10+1,1))</f>
        <v>346.35147716792028</v>
      </c>
      <c r="AO118" s="59">
        <f t="shared" si="90"/>
        <v>231.36959598460686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1.2305961902892676E-12</v>
      </c>
      <c r="AX118" s="21">
        <f t="shared" si="60"/>
        <v>1.2305961902892676E-12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1.1368683772161603E-13</v>
      </c>
      <c r="BE118" s="13">
        <f>BD118*VLOOKUP('Données projet'!$B$11,Paramètres!$A$1:$I$89,3,0)*VLOOKUP('Données projet'!$B$11,Paramètres!$A$1:$I$89,5,0)</f>
        <v>6.7984728957526396E-14</v>
      </c>
      <c r="BF118" s="13">
        <f t="shared" si="91"/>
        <v>1.0682447123141398E-12</v>
      </c>
      <c r="BG118" s="20">
        <f t="shared" si="61"/>
        <v>1.978932943548152E-12</v>
      </c>
      <c r="BH118" s="59">
        <f t="shared" si="62"/>
        <v>293.3333333333353</v>
      </c>
      <c r="BI118" s="59">
        <f ca="1">AVERAGE(OFFSET($BH$3,0,0,'Données projet'!$E$11+1,1))-AVERAGE(OFFSET($H$3,0,0,'Données projet'!$E$11+1,1))</f>
        <v>257.80952690600492</v>
      </c>
      <c r="BJ118" s="59">
        <f t="shared" si="92"/>
        <v>269.95358755269427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#VALUE!</v>
      </c>
      <c r="BQ118" s="21" t="e">
        <f>EXP(-LN(2)/25)*BQ117+(1-EXP(-LN(2)/25))/(LN(2)/25)*Calculateur!BL118*Calculateur!BN118*VLOOKUP('Données projet'!$B$11,Paramètres!$A$1:$I$89,3,0)*0.475*44/12</f>
        <v>#VALUE!</v>
      </c>
      <c r="BR118" s="21" t="e">
        <f>EXP(-LN(2)/2)*BR117+(1-EXP(-LN(2)/2))/(LN(2)/2)*BL118*BO118*VLOOKUP('Données projet'!$B$11,Paramètres!$A$1:$I$89,3,0)*0.475*44/12</f>
        <v>#VALUE!</v>
      </c>
      <c r="BS118" s="22" t="e">
        <f t="shared" si="63"/>
        <v>#VALUE!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-275.00000000000028</v>
      </c>
      <c r="BZ118" s="13">
        <f>BY118*VLOOKUP('Données projet'!$B$12,Paramètres!$A$1:$I$89,3,0)*VLOOKUP('Données projet'!$B$12,Paramètres!$A$1:$I$89,5,0)</f>
        <v>-214.50000000000023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286.5685205631126</v>
      </c>
      <c r="CE118" s="59">
        <f t="shared" si="94"/>
        <v>264.17357326498581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0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0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2.8421709430404007E-13</v>
      </c>
      <c r="O119" s="13">
        <f>N119*VLOOKUP('Données projet'!$B$9,Paramètres!$A$1:$I$89,3,0)*VLOOKUP('Données projet'!$B$9,Paramètres!$A$1:$I$89,5,0)</f>
        <v>2.5715962692629546E-13</v>
      </c>
      <c r="P119" s="13">
        <f t="shared" si="87"/>
        <v>3.4610450122128953E-12</v>
      </c>
      <c r="Q119" s="20">
        <f t="shared" si="107"/>
        <v>6.4758730798340893E-12</v>
      </c>
      <c r="R119" s="59">
        <f t="shared" si="55"/>
        <v>293.33333333333979</v>
      </c>
      <c r="S119" s="59">
        <f ca="1">AVERAGE(OFFSET($R$3,0,0,'Données projet'!$E$9+1,1))-AVERAGE(OFFSET($H$3,0,0,'Données projet'!$E$9+1,1))</f>
        <v>346.35147716792028</v>
      </c>
      <c r="T119" s="59">
        <f t="shared" si="88"/>
        <v>231.36959598460686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0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8.7016291105587217E-13</v>
      </c>
      <c r="AC119" s="22">
        <f t="shared" si="57"/>
        <v>8.7016291105587217E-13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2.8421709430404007E-13</v>
      </c>
      <c r="AJ119" s="13">
        <f>AI119*VLOOKUP('Données projet'!$B$10,Paramètres!$A$1:$I$89,3,0)*VLOOKUP('Données projet'!$B$10,Paramètres!$A$1:$I$89,5,0)</f>
        <v>2.5715962692629546E-13</v>
      </c>
      <c r="AK119" s="13">
        <f t="shared" si="89"/>
        <v>3.4610450122128953E-12</v>
      </c>
      <c r="AL119" s="20">
        <f t="shared" si="58"/>
        <v>6.4758730798340893E-12</v>
      </c>
      <c r="AM119" s="59">
        <f t="shared" si="59"/>
        <v>293.33333333333979</v>
      </c>
      <c r="AN119" s="59">
        <f ca="1">AVERAGE(OFFSET($AM$3,0,0,'Données projet'!$E$10+1,1))-AVERAGE(OFFSET($H$3,0,0,'Données projet'!$E$10+1,1))</f>
        <v>346.35147716792028</v>
      </c>
      <c r="AO119" s="59">
        <f t="shared" si="90"/>
        <v>231.36959598460686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8.7016291105587217E-13</v>
      </c>
      <c r="AX119" s="21">
        <f t="shared" si="60"/>
        <v>8.7016291105587217E-13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1.1368683772161603E-13</v>
      </c>
      <c r="BE119" s="13">
        <f>BD119*VLOOKUP('Données projet'!$B$11,Paramètres!$A$1:$I$89,3,0)*VLOOKUP('Données projet'!$B$11,Paramètres!$A$1:$I$89,5,0)</f>
        <v>6.7984728957526396E-14</v>
      </c>
      <c r="BF119" s="13">
        <f t="shared" si="91"/>
        <v>1.0682447123141398E-12</v>
      </c>
      <c r="BG119" s="20">
        <f t="shared" si="61"/>
        <v>1.978932943548152E-12</v>
      </c>
      <c r="BH119" s="59">
        <f t="shared" si="62"/>
        <v>293.3333333333353</v>
      </c>
      <c r="BI119" s="59">
        <f ca="1">AVERAGE(OFFSET($BH$3,0,0,'Données projet'!$E$11+1,1))-AVERAGE(OFFSET($H$3,0,0,'Données projet'!$E$11+1,1))</f>
        <v>257.80952690600492</v>
      </c>
      <c r="BJ119" s="59">
        <f t="shared" si="92"/>
        <v>269.95358755269427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#VALUE!</v>
      </c>
      <c r="BQ119" s="21" t="e">
        <f>EXP(-LN(2)/25)*BQ118+(1-EXP(-LN(2)/25))/(LN(2)/25)*Calculateur!BL119*Calculateur!BN119*VLOOKUP('Données projet'!$B$11,Paramètres!$A$1:$I$89,3,0)*0.475*44/12</f>
        <v>#VALUE!</v>
      </c>
      <c r="BR119" s="21" t="e">
        <f>EXP(-LN(2)/2)*BR118+(1-EXP(-LN(2)/2))/(LN(2)/2)*BL119*BO119*VLOOKUP('Données projet'!$B$11,Paramètres!$A$1:$I$89,3,0)*0.475*44/12</f>
        <v>#VALUE!</v>
      </c>
      <c r="BS119" s="22" t="e">
        <f t="shared" si="63"/>
        <v>#VALUE!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-275.00000000000028</v>
      </c>
      <c r="BZ119" s="13">
        <f>BY119*VLOOKUP('Données projet'!$B$12,Paramètres!$A$1:$I$89,3,0)*VLOOKUP('Données projet'!$B$12,Paramètres!$A$1:$I$89,5,0)</f>
        <v>-214.50000000000023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286.5685205631126</v>
      </c>
      <c r="CE119" s="59">
        <f t="shared" si="94"/>
        <v>264.17357326498581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0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0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2.8421709430404007E-13</v>
      </c>
      <c r="O120" s="13">
        <f>N120*VLOOKUP('Données projet'!$B$9,Paramètres!$A$1:$I$89,3,0)*VLOOKUP('Données projet'!$B$9,Paramètres!$A$1:$I$89,5,0)</f>
        <v>2.5715962692629546E-13</v>
      </c>
      <c r="P120" s="13">
        <f t="shared" si="87"/>
        <v>3.4610450122128953E-12</v>
      </c>
      <c r="Q120" s="20">
        <f t="shared" si="107"/>
        <v>6.4758730798340893E-12</v>
      </c>
      <c r="R120" s="59">
        <f t="shared" si="55"/>
        <v>293.33333333333979</v>
      </c>
      <c r="S120" s="59">
        <f ca="1">AVERAGE(OFFSET($R$3,0,0,'Données projet'!$E$9+1,1))-AVERAGE(OFFSET($H$3,0,0,'Données projet'!$E$9+1,1))</f>
        <v>346.35147716792028</v>
      </c>
      <c r="T120" s="59">
        <f t="shared" si="88"/>
        <v>231.36959598460686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0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6.1529809514463381E-13</v>
      </c>
      <c r="AC120" s="22">
        <f t="shared" si="57"/>
        <v>6.1529809514463381E-13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2.8421709430404007E-13</v>
      </c>
      <c r="AJ120" s="13">
        <f>AI120*VLOOKUP('Données projet'!$B$10,Paramètres!$A$1:$I$89,3,0)*VLOOKUP('Données projet'!$B$10,Paramètres!$A$1:$I$89,5,0)</f>
        <v>2.5715962692629546E-13</v>
      </c>
      <c r="AK120" s="13">
        <f t="shared" si="89"/>
        <v>3.4610450122128953E-12</v>
      </c>
      <c r="AL120" s="20">
        <f t="shared" si="58"/>
        <v>6.4758730798340893E-12</v>
      </c>
      <c r="AM120" s="59">
        <f t="shared" si="59"/>
        <v>293.33333333333979</v>
      </c>
      <c r="AN120" s="59">
        <f ca="1">AVERAGE(OFFSET($AM$3,0,0,'Données projet'!$E$10+1,1))-AVERAGE(OFFSET($H$3,0,0,'Données projet'!$E$10+1,1))</f>
        <v>346.35147716792028</v>
      </c>
      <c r="AO120" s="59">
        <f t="shared" si="90"/>
        <v>231.36959598460686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6.1529809514463381E-13</v>
      </c>
      <c r="AX120" s="21">
        <f t="shared" si="60"/>
        <v>6.1529809514463381E-13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1.1368683772161603E-13</v>
      </c>
      <c r="BE120" s="13">
        <f>BD120*VLOOKUP('Données projet'!$B$11,Paramètres!$A$1:$I$89,3,0)*VLOOKUP('Données projet'!$B$11,Paramètres!$A$1:$I$89,5,0)</f>
        <v>6.7984728957526396E-14</v>
      </c>
      <c r="BF120" s="13">
        <f t="shared" si="91"/>
        <v>1.0682447123141398E-12</v>
      </c>
      <c r="BG120" s="20">
        <f t="shared" si="61"/>
        <v>1.978932943548152E-12</v>
      </c>
      <c r="BH120" s="59">
        <f t="shared" si="62"/>
        <v>293.3333333333353</v>
      </c>
      <c r="BI120" s="59">
        <f ca="1">AVERAGE(OFFSET($BH$3,0,0,'Données projet'!$E$11+1,1))-AVERAGE(OFFSET($H$3,0,0,'Données projet'!$E$11+1,1))</f>
        <v>257.80952690600492</v>
      </c>
      <c r="BJ120" s="59">
        <f t="shared" si="92"/>
        <v>269.95358755269427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#VALUE!</v>
      </c>
      <c r="BQ120" s="21" t="e">
        <f>EXP(-LN(2)/25)*BQ119+(1-EXP(-LN(2)/25))/(LN(2)/25)*Calculateur!BL120*Calculateur!BN120*VLOOKUP('Données projet'!$B$11,Paramètres!$A$1:$I$89,3,0)*0.475*44/12</f>
        <v>#VALUE!</v>
      </c>
      <c r="BR120" s="21" t="e">
        <f>EXP(-LN(2)/2)*BR119+(1-EXP(-LN(2)/2))/(LN(2)/2)*BL120*BO120*VLOOKUP('Données projet'!$B$11,Paramètres!$A$1:$I$89,3,0)*0.475*44/12</f>
        <v>#VALUE!</v>
      </c>
      <c r="BS120" s="22" t="e">
        <f t="shared" si="63"/>
        <v>#VALUE!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-275.00000000000028</v>
      </c>
      <c r="BZ120" s="13">
        <f>BY120*VLOOKUP('Données projet'!$B$12,Paramètres!$A$1:$I$89,3,0)*VLOOKUP('Données projet'!$B$12,Paramètres!$A$1:$I$89,5,0)</f>
        <v>-214.50000000000023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286.5685205631126</v>
      </c>
      <c r="CE120" s="59">
        <f t="shared" si="94"/>
        <v>264.17357326498581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0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0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2.8421709430404007E-13</v>
      </c>
      <c r="O121" s="13">
        <f>N121*VLOOKUP('Données projet'!$B$9,Paramètres!$A$1:$I$89,3,0)*VLOOKUP('Données projet'!$B$9,Paramètres!$A$1:$I$89,5,0)</f>
        <v>2.5715962692629546E-13</v>
      </c>
      <c r="P121" s="13">
        <f t="shared" si="87"/>
        <v>3.4610450122128953E-12</v>
      </c>
      <c r="Q121" s="20">
        <f t="shared" si="107"/>
        <v>6.4758730798340893E-12</v>
      </c>
      <c r="R121" s="59">
        <f t="shared" si="55"/>
        <v>293.33333333333979</v>
      </c>
      <c r="S121" s="59">
        <f ca="1">AVERAGE(OFFSET($R$3,0,0,'Données projet'!$E$9+1,1))-AVERAGE(OFFSET($H$3,0,0,'Données projet'!$E$9+1,1))</f>
        <v>346.35147716792028</v>
      </c>
      <c r="T121" s="59">
        <f t="shared" si="88"/>
        <v>231.36959598460686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0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4.3508145552793608E-13</v>
      </c>
      <c r="AC121" s="22">
        <f t="shared" si="57"/>
        <v>4.3508145552793608E-13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2.8421709430404007E-13</v>
      </c>
      <c r="AJ121" s="13">
        <f>AI121*VLOOKUP('Données projet'!$B$10,Paramètres!$A$1:$I$89,3,0)*VLOOKUP('Données projet'!$B$10,Paramètres!$A$1:$I$89,5,0)</f>
        <v>2.5715962692629546E-13</v>
      </c>
      <c r="AK121" s="13">
        <f t="shared" si="89"/>
        <v>3.4610450122128953E-12</v>
      </c>
      <c r="AL121" s="20">
        <f t="shared" si="58"/>
        <v>6.4758730798340893E-12</v>
      </c>
      <c r="AM121" s="59">
        <f t="shared" si="59"/>
        <v>293.33333333333979</v>
      </c>
      <c r="AN121" s="59">
        <f ca="1">AVERAGE(OFFSET($AM$3,0,0,'Données projet'!$E$10+1,1))-AVERAGE(OFFSET($H$3,0,0,'Données projet'!$E$10+1,1))</f>
        <v>346.35147716792028</v>
      </c>
      <c r="AO121" s="59">
        <f t="shared" si="90"/>
        <v>231.36959598460686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4.3508145552793608E-13</v>
      </c>
      <c r="AX121" s="21">
        <f t="shared" si="60"/>
        <v>4.3508145552793608E-13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1.1368683772161603E-13</v>
      </c>
      <c r="BE121" s="13">
        <f>BD121*VLOOKUP('Données projet'!$B$11,Paramètres!$A$1:$I$89,3,0)*VLOOKUP('Données projet'!$B$11,Paramètres!$A$1:$I$89,5,0)</f>
        <v>6.7984728957526396E-14</v>
      </c>
      <c r="BF121" s="13">
        <f t="shared" si="91"/>
        <v>1.0682447123141398E-12</v>
      </c>
      <c r="BG121" s="20">
        <f t="shared" si="61"/>
        <v>1.978932943548152E-12</v>
      </c>
      <c r="BH121" s="59">
        <f t="shared" si="62"/>
        <v>293.3333333333353</v>
      </c>
      <c r="BI121" s="59">
        <f ca="1">AVERAGE(OFFSET($BH$3,0,0,'Données projet'!$E$11+1,1))-AVERAGE(OFFSET($H$3,0,0,'Données projet'!$E$11+1,1))</f>
        <v>257.80952690600492</v>
      </c>
      <c r="BJ121" s="59">
        <f t="shared" si="92"/>
        <v>269.95358755269427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#VALUE!</v>
      </c>
      <c r="BQ121" s="21" t="e">
        <f>EXP(-LN(2)/25)*BQ120+(1-EXP(-LN(2)/25))/(LN(2)/25)*Calculateur!BL121*Calculateur!BN121*VLOOKUP('Données projet'!$B$11,Paramètres!$A$1:$I$89,3,0)*0.475*44/12</f>
        <v>#VALUE!</v>
      </c>
      <c r="BR121" s="21" t="e">
        <f>EXP(-LN(2)/2)*BR120+(1-EXP(-LN(2)/2))/(LN(2)/2)*BL121*BO121*VLOOKUP('Données projet'!$B$11,Paramètres!$A$1:$I$89,3,0)*0.475*44/12</f>
        <v>#VALUE!</v>
      </c>
      <c r="BS121" s="22" t="e">
        <f t="shared" si="63"/>
        <v>#VALUE!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-275.00000000000028</v>
      </c>
      <c r="BZ121" s="13">
        <f>BY121*VLOOKUP('Données projet'!$B$12,Paramètres!$A$1:$I$89,3,0)*VLOOKUP('Données projet'!$B$12,Paramètres!$A$1:$I$89,5,0)</f>
        <v>-214.50000000000023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286.5685205631126</v>
      </c>
      <c r="CE121" s="59">
        <f t="shared" si="94"/>
        <v>264.17357326498581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0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0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2.8421709430404007E-13</v>
      </c>
      <c r="O122" s="13">
        <f>N122*VLOOKUP('Données projet'!$B$9,Paramètres!$A$1:$I$89,3,0)*VLOOKUP('Données projet'!$B$9,Paramètres!$A$1:$I$89,5,0)</f>
        <v>2.5715962692629546E-13</v>
      </c>
      <c r="P122" s="13">
        <f t="shared" si="87"/>
        <v>3.4610450122128953E-12</v>
      </c>
      <c r="Q122" s="20">
        <f t="shared" si="107"/>
        <v>6.4758730798340893E-12</v>
      </c>
      <c r="R122" s="59">
        <f t="shared" si="55"/>
        <v>293.33333333333979</v>
      </c>
      <c r="S122" s="59">
        <f ca="1">AVERAGE(OFFSET($R$3,0,0,'Données projet'!$E$9+1,1))-AVERAGE(OFFSET($H$3,0,0,'Données projet'!$E$9+1,1))</f>
        <v>346.35147716792028</v>
      </c>
      <c r="T122" s="59">
        <f t="shared" si="88"/>
        <v>231.36959598460686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0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3.076490475723169E-13</v>
      </c>
      <c r="AC122" s="22">
        <f t="shared" si="57"/>
        <v>3.076490475723169E-13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2.8421709430404007E-13</v>
      </c>
      <c r="AJ122" s="13">
        <f>AI122*VLOOKUP('Données projet'!$B$10,Paramètres!$A$1:$I$89,3,0)*VLOOKUP('Données projet'!$B$10,Paramètres!$A$1:$I$89,5,0)</f>
        <v>2.5715962692629546E-13</v>
      </c>
      <c r="AK122" s="13">
        <f t="shared" si="89"/>
        <v>3.4610450122128953E-12</v>
      </c>
      <c r="AL122" s="20">
        <f t="shared" si="58"/>
        <v>6.4758730798340893E-12</v>
      </c>
      <c r="AM122" s="59">
        <f t="shared" si="59"/>
        <v>293.33333333333979</v>
      </c>
      <c r="AN122" s="59">
        <f ca="1">AVERAGE(OFFSET($AM$3,0,0,'Données projet'!$E$10+1,1))-AVERAGE(OFFSET($H$3,0,0,'Données projet'!$E$10+1,1))</f>
        <v>346.35147716792028</v>
      </c>
      <c r="AO122" s="59">
        <f t="shared" si="90"/>
        <v>231.36959598460686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3.076490475723169E-13</v>
      </c>
      <c r="AX122" s="21">
        <f t="shared" si="60"/>
        <v>3.076490475723169E-13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1.1368683772161603E-13</v>
      </c>
      <c r="BE122" s="13">
        <f>BD122*VLOOKUP('Données projet'!$B$11,Paramètres!$A$1:$I$89,3,0)*VLOOKUP('Données projet'!$B$11,Paramètres!$A$1:$I$89,5,0)</f>
        <v>6.7984728957526396E-14</v>
      </c>
      <c r="BF122" s="13">
        <f t="shared" si="91"/>
        <v>1.0682447123141398E-12</v>
      </c>
      <c r="BG122" s="20">
        <f t="shared" si="61"/>
        <v>1.978932943548152E-12</v>
      </c>
      <c r="BH122" s="59">
        <f t="shared" si="62"/>
        <v>293.3333333333353</v>
      </c>
      <c r="BI122" s="59">
        <f ca="1">AVERAGE(OFFSET($BH$3,0,0,'Données projet'!$E$11+1,1))-AVERAGE(OFFSET($H$3,0,0,'Données projet'!$E$11+1,1))</f>
        <v>257.80952690600492</v>
      </c>
      <c r="BJ122" s="59">
        <f t="shared" si="92"/>
        <v>269.95358755269427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#VALUE!</v>
      </c>
      <c r="BQ122" s="21" t="e">
        <f>EXP(-LN(2)/25)*BQ121+(1-EXP(-LN(2)/25))/(LN(2)/25)*Calculateur!BL122*Calculateur!BN122*VLOOKUP('Données projet'!$B$11,Paramètres!$A$1:$I$89,3,0)*0.475*44/12</f>
        <v>#VALUE!</v>
      </c>
      <c r="BR122" s="21" t="e">
        <f>EXP(-LN(2)/2)*BR121+(1-EXP(-LN(2)/2))/(LN(2)/2)*BL122*BO122*VLOOKUP('Données projet'!$B$11,Paramètres!$A$1:$I$89,3,0)*0.475*44/12</f>
        <v>#VALUE!</v>
      </c>
      <c r="BS122" s="22" t="e">
        <f t="shared" si="63"/>
        <v>#VALUE!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-275.00000000000028</v>
      </c>
      <c r="BZ122" s="13">
        <f>BY122*VLOOKUP('Données projet'!$B$12,Paramètres!$A$1:$I$89,3,0)*VLOOKUP('Données projet'!$B$12,Paramètres!$A$1:$I$89,5,0)</f>
        <v>-214.50000000000023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286.5685205631126</v>
      </c>
      <c r="CE122" s="59">
        <f t="shared" si="94"/>
        <v>264.17357326498581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0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0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2.8421709430404007E-13</v>
      </c>
      <c r="O123" s="13">
        <f>N123*VLOOKUP('Données projet'!$B$9,Paramètres!$A$1:$I$89,3,0)*VLOOKUP('Données projet'!$B$9,Paramètres!$A$1:$I$89,5,0)</f>
        <v>2.5715962692629546E-13</v>
      </c>
      <c r="P123" s="13">
        <f t="shared" si="87"/>
        <v>3.4610450122128953E-12</v>
      </c>
      <c r="Q123" s="20">
        <f t="shared" si="107"/>
        <v>6.4758730798340893E-12</v>
      </c>
      <c r="R123" s="59">
        <f t="shared" si="55"/>
        <v>293.33333333333979</v>
      </c>
      <c r="S123" s="59">
        <f ca="1">AVERAGE(OFFSET($R$3,0,0,'Données projet'!$E$9+1,1))-AVERAGE(OFFSET($H$3,0,0,'Données projet'!$E$9+1,1))</f>
        <v>346.35147716792028</v>
      </c>
      <c r="T123" s="59">
        <f t="shared" si="88"/>
        <v>231.36959598460686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0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2.1754072776396804E-13</v>
      </c>
      <c r="AC123" s="22">
        <f t="shared" si="57"/>
        <v>2.1754072776396804E-13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2.8421709430404007E-13</v>
      </c>
      <c r="AJ123" s="13">
        <f>AI123*VLOOKUP('Données projet'!$B$10,Paramètres!$A$1:$I$89,3,0)*VLOOKUP('Données projet'!$B$10,Paramètres!$A$1:$I$89,5,0)</f>
        <v>2.5715962692629546E-13</v>
      </c>
      <c r="AK123" s="13">
        <f t="shared" si="89"/>
        <v>3.4610450122128953E-12</v>
      </c>
      <c r="AL123" s="20">
        <f t="shared" si="58"/>
        <v>6.4758730798340893E-12</v>
      </c>
      <c r="AM123" s="59">
        <f t="shared" si="59"/>
        <v>293.33333333333979</v>
      </c>
      <c r="AN123" s="59">
        <f ca="1">AVERAGE(OFFSET($AM$3,0,0,'Données projet'!$E$10+1,1))-AVERAGE(OFFSET($H$3,0,0,'Données projet'!$E$10+1,1))</f>
        <v>346.35147716792028</v>
      </c>
      <c r="AO123" s="59">
        <f t="shared" si="90"/>
        <v>231.36959598460686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2.1754072776396804E-13</v>
      </c>
      <c r="AX123" s="21">
        <f t="shared" si="60"/>
        <v>2.1754072776396804E-13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1.1368683772161603E-13</v>
      </c>
      <c r="BE123" s="13">
        <f>BD123*VLOOKUP('Données projet'!$B$11,Paramètres!$A$1:$I$89,3,0)*VLOOKUP('Données projet'!$B$11,Paramètres!$A$1:$I$89,5,0)</f>
        <v>6.7984728957526396E-14</v>
      </c>
      <c r="BF123" s="13">
        <f t="shared" si="91"/>
        <v>1.0682447123141398E-12</v>
      </c>
      <c r="BG123" s="20">
        <f t="shared" si="61"/>
        <v>1.978932943548152E-12</v>
      </c>
      <c r="BH123" s="59">
        <f t="shared" si="62"/>
        <v>293.3333333333353</v>
      </c>
      <c r="BI123" s="59">
        <f ca="1">AVERAGE(OFFSET($BH$3,0,0,'Données projet'!$E$11+1,1))-AVERAGE(OFFSET($H$3,0,0,'Données projet'!$E$11+1,1))</f>
        <v>257.80952690600492</v>
      </c>
      <c r="BJ123" s="59">
        <f t="shared" si="92"/>
        <v>269.95358755269427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#VALUE!</v>
      </c>
      <c r="BQ123" s="21" t="e">
        <f>EXP(-LN(2)/25)*BQ122+(1-EXP(-LN(2)/25))/(LN(2)/25)*Calculateur!BL123*Calculateur!BN123*VLOOKUP('Données projet'!$B$11,Paramètres!$A$1:$I$89,3,0)*0.475*44/12</f>
        <v>#VALUE!</v>
      </c>
      <c r="BR123" s="21" t="e">
        <f>EXP(-LN(2)/2)*BR122+(1-EXP(-LN(2)/2))/(LN(2)/2)*BL123*BO123*VLOOKUP('Données projet'!$B$11,Paramètres!$A$1:$I$89,3,0)*0.475*44/12</f>
        <v>#VALUE!</v>
      </c>
      <c r="BS123" s="22" t="e">
        <f t="shared" si="63"/>
        <v>#VALUE!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-275.00000000000028</v>
      </c>
      <c r="BZ123" s="13">
        <f>BY123*VLOOKUP('Données projet'!$B$12,Paramètres!$A$1:$I$89,3,0)*VLOOKUP('Données projet'!$B$12,Paramètres!$A$1:$I$89,5,0)</f>
        <v>-214.50000000000023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286.5685205631126</v>
      </c>
      <c r="CE123" s="59">
        <f t="shared" si="94"/>
        <v>264.17357326498581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0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0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2.8421709430404007E-13</v>
      </c>
      <c r="O124" s="13">
        <f>N124*VLOOKUP('Données projet'!$B$9,Paramètres!$A$1:$I$89,3,0)*VLOOKUP('Données projet'!$B$9,Paramètres!$A$1:$I$89,5,0)</f>
        <v>2.5715962692629546E-13</v>
      </c>
      <c r="P124" s="13">
        <f t="shared" si="87"/>
        <v>3.4610450122128953E-12</v>
      </c>
      <c r="Q124" s="20">
        <f t="shared" si="107"/>
        <v>6.4758730798340893E-12</v>
      </c>
      <c r="R124" s="59">
        <f t="shared" si="55"/>
        <v>293.33333333333979</v>
      </c>
      <c r="S124" s="59">
        <f ca="1">AVERAGE(OFFSET($R$3,0,0,'Données projet'!$E$9+1,1))-AVERAGE(OFFSET($H$3,0,0,'Données projet'!$E$9+1,1))</f>
        <v>346.35147716792028</v>
      </c>
      <c r="T124" s="59">
        <f t="shared" si="88"/>
        <v>231.36959598460686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0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1.5382452378615845E-13</v>
      </c>
      <c r="AC124" s="22">
        <f t="shared" si="57"/>
        <v>1.5382452378615845E-13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2.8421709430404007E-13</v>
      </c>
      <c r="AJ124" s="13">
        <f>AI124*VLOOKUP('Données projet'!$B$10,Paramètres!$A$1:$I$89,3,0)*VLOOKUP('Données projet'!$B$10,Paramètres!$A$1:$I$89,5,0)</f>
        <v>2.5715962692629546E-13</v>
      </c>
      <c r="AK124" s="13">
        <f t="shared" si="89"/>
        <v>3.4610450122128953E-12</v>
      </c>
      <c r="AL124" s="20">
        <f t="shared" si="58"/>
        <v>6.4758730798340893E-12</v>
      </c>
      <c r="AM124" s="59">
        <f t="shared" si="59"/>
        <v>293.33333333333979</v>
      </c>
      <c r="AN124" s="59">
        <f ca="1">AVERAGE(OFFSET($AM$3,0,0,'Données projet'!$E$10+1,1))-AVERAGE(OFFSET($H$3,0,0,'Données projet'!$E$10+1,1))</f>
        <v>346.35147716792028</v>
      </c>
      <c r="AO124" s="59">
        <f t="shared" si="90"/>
        <v>231.36959598460686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1.5382452378615845E-13</v>
      </c>
      <c r="AX124" s="21">
        <f t="shared" si="60"/>
        <v>1.5382452378615845E-13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1.1368683772161603E-13</v>
      </c>
      <c r="BE124" s="13">
        <f>BD124*VLOOKUP('Données projet'!$B$11,Paramètres!$A$1:$I$89,3,0)*VLOOKUP('Données projet'!$B$11,Paramètres!$A$1:$I$89,5,0)</f>
        <v>6.7984728957526396E-14</v>
      </c>
      <c r="BF124" s="13">
        <f t="shared" si="91"/>
        <v>1.0682447123141398E-12</v>
      </c>
      <c r="BG124" s="20">
        <f t="shared" si="61"/>
        <v>1.978932943548152E-12</v>
      </c>
      <c r="BH124" s="59">
        <f t="shared" si="62"/>
        <v>293.3333333333353</v>
      </c>
      <c r="BI124" s="59">
        <f ca="1">AVERAGE(OFFSET($BH$3,0,0,'Données projet'!$E$11+1,1))-AVERAGE(OFFSET($H$3,0,0,'Données projet'!$E$11+1,1))</f>
        <v>257.80952690600492</v>
      </c>
      <c r="BJ124" s="59">
        <f t="shared" si="92"/>
        <v>269.95358755269427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#VALUE!</v>
      </c>
      <c r="BQ124" s="21" t="e">
        <f>EXP(-LN(2)/25)*BQ123+(1-EXP(-LN(2)/25))/(LN(2)/25)*Calculateur!BL124*Calculateur!BN124*VLOOKUP('Données projet'!$B$11,Paramètres!$A$1:$I$89,3,0)*0.475*44/12</f>
        <v>#VALUE!</v>
      </c>
      <c r="BR124" s="21" t="e">
        <f>EXP(-LN(2)/2)*BR123+(1-EXP(-LN(2)/2))/(LN(2)/2)*BL124*BO124*VLOOKUP('Données projet'!$B$11,Paramètres!$A$1:$I$89,3,0)*0.475*44/12</f>
        <v>#VALUE!</v>
      </c>
      <c r="BS124" s="22" t="e">
        <f t="shared" si="63"/>
        <v>#VALUE!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-275.00000000000028</v>
      </c>
      <c r="BZ124" s="13">
        <f>BY124*VLOOKUP('Données projet'!$B$12,Paramètres!$A$1:$I$89,3,0)*VLOOKUP('Données projet'!$B$12,Paramètres!$A$1:$I$89,5,0)</f>
        <v>-214.50000000000023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286.5685205631126</v>
      </c>
      <c r="CE124" s="59">
        <f t="shared" si="94"/>
        <v>264.17357326498581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0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0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2.8421709430404007E-13</v>
      </c>
      <c r="O125" s="13">
        <f>N125*VLOOKUP('Données projet'!$B$9,Paramètres!$A$1:$I$89,3,0)*VLOOKUP('Données projet'!$B$9,Paramètres!$A$1:$I$89,5,0)</f>
        <v>2.5715962692629546E-13</v>
      </c>
      <c r="P125" s="13">
        <f t="shared" si="87"/>
        <v>3.4610450122128953E-12</v>
      </c>
      <c r="Q125" s="20">
        <f t="shared" si="107"/>
        <v>6.4758730798340893E-12</v>
      </c>
      <c r="R125" s="59">
        <f t="shared" si="55"/>
        <v>293.33333333333979</v>
      </c>
      <c r="S125" s="59">
        <f ca="1">AVERAGE(OFFSET($R$3,0,0,'Données projet'!$E$9+1,1))-AVERAGE(OFFSET($H$3,0,0,'Données projet'!$E$9+1,1))</f>
        <v>346.35147716792028</v>
      </c>
      <c r="T125" s="59">
        <f t="shared" si="88"/>
        <v>231.36959598460686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0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1.0877036388198402E-13</v>
      </c>
      <c r="AC125" s="22">
        <f t="shared" si="57"/>
        <v>1.0877036388198402E-13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2.8421709430404007E-13</v>
      </c>
      <c r="AJ125" s="13">
        <f>AI125*VLOOKUP('Données projet'!$B$10,Paramètres!$A$1:$I$89,3,0)*VLOOKUP('Données projet'!$B$10,Paramètres!$A$1:$I$89,5,0)</f>
        <v>2.5715962692629546E-13</v>
      </c>
      <c r="AK125" s="13">
        <f t="shared" si="89"/>
        <v>3.4610450122128953E-12</v>
      </c>
      <c r="AL125" s="20">
        <f t="shared" si="58"/>
        <v>6.4758730798340893E-12</v>
      </c>
      <c r="AM125" s="59">
        <f t="shared" si="59"/>
        <v>293.33333333333979</v>
      </c>
      <c r="AN125" s="59">
        <f ca="1">AVERAGE(OFFSET($AM$3,0,0,'Données projet'!$E$10+1,1))-AVERAGE(OFFSET($H$3,0,0,'Données projet'!$E$10+1,1))</f>
        <v>346.35147716792028</v>
      </c>
      <c r="AO125" s="59">
        <f t="shared" si="90"/>
        <v>231.36959598460686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1.0877036388198402E-13</v>
      </c>
      <c r="AX125" s="21">
        <f t="shared" si="60"/>
        <v>1.0877036388198402E-13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1.1368683772161603E-13</v>
      </c>
      <c r="BE125" s="13">
        <f>BD125*VLOOKUP('Données projet'!$B$11,Paramètres!$A$1:$I$89,3,0)*VLOOKUP('Données projet'!$B$11,Paramètres!$A$1:$I$89,5,0)</f>
        <v>6.7984728957526396E-14</v>
      </c>
      <c r="BF125" s="13">
        <f t="shared" si="91"/>
        <v>1.0682447123141398E-12</v>
      </c>
      <c r="BG125" s="20">
        <f t="shared" si="61"/>
        <v>1.978932943548152E-12</v>
      </c>
      <c r="BH125" s="59">
        <f t="shared" si="62"/>
        <v>293.3333333333353</v>
      </c>
      <c r="BI125" s="59">
        <f ca="1">AVERAGE(OFFSET($BH$3,0,0,'Données projet'!$E$11+1,1))-AVERAGE(OFFSET($H$3,0,0,'Données projet'!$E$11+1,1))</f>
        <v>257.80952690600492</v>
      </c>
      <c r="BJ125" s="59">
        <f t="shared" si="92"/>
        <v>269.95358755269427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#VALUE!</v>
      </c>
      <c r="BQ125" s="21" t="e">
        <f>EXP(-LN(2)/25)*BQ124+(1-EXP(-LN(2)/25))/(LN(2)/25)*Calculateur!BL125*Calculateur!BN125*VLOOKUP('Données projet'!$B$11,Paramètres!$A$1:$I$89,3,0)*0.475*44/12</f>
        <v>#VALUE!</v>
      </c>
      <c r="BR125" s="21" t="e">
        <f>EXP(-LN(2)/2)*BR124+(1-EXP(-LN(2)/2))/(LN(2)/2)*BL125*BO125*VLOOKUP('Données projet'!$B$11,Paramètres!$A$1:$I$89,3,0)*0.475*44/12</f>
        <v>#VALUE!</v>
      </c>
      <c r="BS125" s="22" t="e">
        <f t="shared" si="63"/>
        <v>#VALUE!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-275.00000000000028</v>
      </c>
      <c r="BZ125" s="13">
        <f>BY125*VLOOKUP('Données projet'!$B$12,Paramètres!$A$1:$I$89,3,0)*VLOOKUP('Données projet'!$B$12,Paramètres!$A$1:$I$89,5,0)</f>
        <v>-214.50000000000023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286.5685205631126</v>
      </c>
      <c r="CE125" s="59">
        <f t="shared" si="94"/>
        <v>264.17357326498581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0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0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2.8421709430404007E-13</v>
      </c>
      <c r="O126" s="13">
        <f>N126*VLOOKUP('Données projet'!$B$9,Paramètres!$A$1:$I$89,3,0)*VLOOKUP('Données projet'!$B$9,Paramètres!$A$1:$I$89,5,0)</f>
        <v>2.5715962692629546E-13</v>
      </c>
      <c r="P126" s="13">
        <f t="shared" si="87"/>
        <v>3.4610450122128953E-12</v>
      </c>
      <c r="Q126" s="20">
        <f t="shared" si="107"/>
        <v>6.4758730798340893E-12</v>
      </c>
      <c r="R126" s="59">
        <f t="shared" si="55"/>
        <v>293.33333333333979</v>
      </c>
      <c r="S126" s="59">
        <f ca="1">AVERAGE(OFFSET($R$3,0,0,'Données projet'!$E$9+1,1))-AVERAGE(OFFSET($H$3,0,0,'Données projet'!$E$9+1,1))</f>
        <v>346.35147716792028</v>
      </c>
      <c r="T126" s="59">
        <f t="shared" si="88"/>
        <v>231.36959598460686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0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7.6912261893079226E-14</v>
      </c>
      <c r="AC126" s="22">
        <f t="shared" si="57"/>
        <v>7.6912261893079226E-14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2.8421709430404007E-13</v>
      </c>
      <c r="AJ126" s="13">
        <f>AI126*VLOOKUP('Données projet'!$B$10,Paramètres!$A$1:$I$89,3,0)*VLOOKUP('Données projet'!$B$10,Paramètres!$A$1:$I$89,5,0)</f>
        <v>2.5715962692629546E-13</v>
      </c>
      <c r="AK126" s="13">
        <f t="shared" si="89"/>
        <v>3.4610450122128953E-12</v>
      </c>
      <c r="AL126" s="20">
        <f t="shared" si="58"/>
        <v>6.4758730798340893E-12</v>
      </c>
      <c r="AM126" s="59">
        <f t="shared" si="59"/>
        <v>293.33333333333979</v>
      </c>
      <c r="AN126" s="59">
        <f ca="1">AVERAGE(OFFSET($AM$3,0,0,'Données projet'!$E$10+1,1))-AVERAGE(OFFSET($H$3,0,0,'Données projet'!$E$10+1,1))</f>
        <v>346.35147716792028</v>
      </c>
      <c r="AO126" s="59">
        <f t="shared" si="90"/>
        <v>231.36959598460686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7.6912261893079226E-14</v>
      </c>
      <c r="AX126" s="21">
        <f t="shared" si="60"/>
        <v>7.6912261893079226E-14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1.1368683772161603E-13</v>
      </c>
      <c r="BE126" s="13">
        <f>BD126*VLOOKUP('Données projet'!$B$11,Paramètres!$A$1:$I$89,3,0)*VLOOKUP('Données projet'!$B$11,Paramètres!$A$1:$I$89,5,0)</f>
        <v>6.7984728957526396E-14</v>
      </c>
      <c r="BF126" s="13">
        <f t="shared" si="91"/>
        <v>1.0682447123141398E-12</v>
      </c>
      <c r="BG126" s="20">
        <f t="shared" si="61"/>
        <v>1.978932943548152E-12</v>
      </c>
      <c r="BH126" s="59">
        <f t="shared" si="62"/>
        <v>293.3333333333353</v>
      </c>
      <c r="BI126" s="59">
        <f ca="1">AVERAGE(OFFSET($BH$3,0,0,'Données projet'!$E$11+1,1))-AVERAGE(OFFSET($H$3,0,0,'Données projet'!$E$11+1,1))</f>
        <v>257.80952690600492</v>
      </c>
      <c r="BJ126" s="59">
        <f t="shared" si="92"/>
        <v>269.95358755269427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#VALUE!</v>
      </c>
      <c r="BQ126" s="21" t="e">
        <f>EXP(-LN(2)/25)*BQ125+(1-EXP(-LN(2)/25))/(LN(2)/25)*Calculateur!BL126*Calculateur!BN126*VLOOKUP('Données projet'!$B$11,Paramètres!$A$1:$I$89,3,0)*0.475*44/12</f>
        <v>#VALUE!</v>
      </c>
      <c r="BR126" s="21" t="e">
        <f>EXP(-LN(2)/2)*BR125+(1-EXP(-LN(2)/2))/(LN(2)/2)*BL126*BO126*VLOOKUP('Données projet'!$B$11,Paramètres!$A$1:$I$89,3,0)*0.475*44/12</f>
        <v>#VALUE!</v>
      </c>
      <c r="BS126" s="22" t="e">
        <f t="shared" si="63"/>
        <v>#VALUE!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-275.00000000000028</v>
      </c>
      <c r="BZ126" s="13">
        <f>BY126*VLOOKUP('Données projet'!$B$12,Paramètres!$A$1:$I$89,3,0)*VLOOKUP('Données projet'!$B$12,Paramètres!$A$1:$I$89,5,0)</f>
        <v>-214.50000000000023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286.5685205631126</v>
      </c>
      <c r="CE126" s="59">
        <f t="shared" si="94"/>
        <v>264.17357326498581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0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0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2.8421709430404007E-13</v>
      </c>
      <c r="O127" s="13">
        <f>N127*VLOOKUP('Données projet'!$B$9,Paramètres!$A$1:$I$89,3,0)*VLOOKUP('Données projet'!$B$9,Paramètres!$A$1:$I$89,5,0)</f>
        <v>2.5715962692629546E-13</v>
      </c>
      <c r="P127" s="13">
        <f t="shared" si="87"/>
        <v>3.4610450122128953E-12</v>
      </c>
      <c r="Q127" s="20">
        <f t="shared" si="107"/>
        <v>6.4758730798340893E-12</v>
      </c>
      <c r="R127" s="59">
        <f t="shared" si="55"/>
        <v>293.33333333333979</v>
      </c>
      <c r="S127" s="59">
        <f ca="1">AVERAGE(OFFSET($R$3,0,0,'Données projet'!$E$9+1,1))-AVERAGE(OFFSET($H$3,0,0,'Données projet'!$E$9+1,1))</f>
        <v>346.35147716792028</v>
      </c>
      <c r="T127" s="59">
        <f t="shared" si="88"/>
        <v>231.36959598460686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0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5.438518194099201E-14</v>
      </c>
      <c r="AC127" s="22">
        <f t="shared" si="57"/>
        <v>5.438518194099201E-14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2.8421709430404007E-13</v>
      </c>
      <c r="AJ127" s="13">
        <f>AI127*VLOOKUP('Données projet'!$B$10,Paramètres!$A$1:$I$89,3,0)*VLOOKUP('Données projet'!$B$10,Paramètres!$A$1:$I$89,5,0)</f>
        <v>2.5715962692629546E-13</v>
      </c>
      <c r="AK127" s="13">
        <f t="shared" si="89"/>
        <v>3.4610450122128953E-12</v>
      </c>
      <c r="AL127" s="20">
        <f t="shared" si="58"/>
        <v>6.4758730798340893E-12</v>
      </c>
      <c r="AM127" s="59">
        <f t="shared" si="59"/>
        <v>293.33333333333979</v>
      </c>
      <c r="AN127" s="59">
        <f ca="1">AVERAGE(OFFSET($AM$3,0,0,'Données projet'!$E$10+1,1))-AVERAGE(OFFSET($H$3,0,0,'Données projet'!$E$10+1,1))</f>
        <v>346.35147716792028</v>
      </c>
      <c r="AO127" s="59">
        <f t="shared" si="90"/>
        <v>231.36959598460686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5.438518194099201E-14</v>
      </c>
      <c r="AX127" s="21">
        <f t="shared" si="60"/>
        <v>5.438518194099201E-14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1.1368683772161603E-13</v>
      </c>
      <c r="BE127" s="13">
        <f>BD127*VLOOKUP('Données projet'!$B$11,Paramètres!$A$1:$I$89,3,0)*VLOOKUP('Données projet'!$B$11,Paramètres!$A$1:$I$89,5,0)</f>
        <v>6.7984728957526396E-14</v>
      </c>
      <c r="BF127" s="13">
        <f t="shared" si="91"/>
        <v>1.0682447123141398E-12</v>
      </c>
      <c r="BG127" s="20">
        <f t="shared" si="61"/>
        <v>1.978932943548152E-12</v>
      </c>
      <c r="BH127" s="59">
        <f t="shared" si="62"/>
        <v>293.3333333333353</v>
      </c>
      <c r="BI127" s="59">
        <f ca="1">AVERAGE(OFFSET($BH$3,0,0,'Données projet'!$E$11+1,1))-AVERAGE(OFFSET($H$3,0,0,'Données projet'!$E$11+1,1))</f>
        <v>257.80952690600492</v>
      </c>
      <c r="BJ127" s="59">
        <f t="shared" si="92"/>
        <v>269.95358755269427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#VALUE!</v>
      </c>
      <c r="BQ127" s="21" t="e">
        <f>EXP(-LN(2)/25)*BQ126+(1-EXP(-LN(2)/25))/(LN(2)/25)*Calculateur!BL127*Calculateur!BN127*VLOOKUP('Données projet'!$B$11,Paramètres!$A$1:$I$89,3,0)*0.475*44/12</f>
        <v>#VALUE!</v>
      </c>
      <c r="BR127" s="21" t="e">
        <f>EXP(-LN(2)/2)*BR126+(1-EXP(-LN(2)/2))/(LN(2)/2)*BL127*BO127*VLOOKUP('Données projet'!$B$11,Paramètres!$A$1:$I$89,3,0)*0.475*44/12</f>
        <v>#VALUE!</v>
      </c>
      <c r="BS127" s="22" t="e">
        <f t="shared" si="63"/>
        <v>#VALUE!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-275.00000000000028</v>
      </c>
      <c r="BZ127" s="13">
        <f>BY127*VLOOKUP('Données projet'!$B$12,Paramètres!$A$1:$I$89,3,0)*VLOOKUP('Données projet'!$B$12,Paramètres!$A$1:$I$89,5,0)</f>
        <v>-214.50000000000023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286.5685205631126</v>
      </c>
      <c r="CE127" s="59">
        <f t="shared" si="94"/>
        <v>264.17357326498581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0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0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2.8421709430404007E-13</v>
      </c>
      <c r="O128" s="13">
        <f>N128*VLOOKUP('Données projet'!$B$9,Paramètres!$A$1:$I$89,3,0)*VLOOKUP('Données projet'!$B$9,Paramètres!$A$1:$I$89,5,0)</f>
        <v>2.5715962692629546E-13</v>
      </c>
      <c r="P128" s="13">
        <f t="shared" si="87"/>
        <v>3.4610450122128953E-12</v>
      </c>
      <c r="Q128" s="20">
        <f t="shared" si="107"/>
        <v>6.4758730798340893E-12</v>
      </c>
      <c r="R128" s="59">
        <f t="shared" si="55"/>
        <v>293.33333333333979</v>
      </c>
      <c r="S128" s="59">
        <f ca="1">AVERAGE(OFFSET($R$3,0,0,'Données projet'!$E$9+1,1))-AVERAGE(OFFSET($H$3,0,0,'Données projet'!$E$9+1,1))</f>
        <v>346.35147716792028</v>
      </c>
      <c r="T128" s="59">
        <f t="shared" si="88"/>
        <v>231.36959598460686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0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3.8456130946539613E-14</v>
      </c>
      <c r="AC128" s="22">
        <f t="shared" si="57"/>
        <v>3.8456130946539613E-14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2.8421709430404007E-13</v>
      </c>
      <c r="AJ128" s="13">
        <f>AI128*VLOOKUP('Données projet'!$B$10,Paramètres!$A$1:$I$89,3,0)*VLOOKUP('Données projet'!$B$10,Paramètres!$A$1:$I$89,5,0)</f>
        <v>2.5715962692629546E-13</v>
      </c>
      <c r="AK128" s="13">
        <f t="shared" si="89"/>
        <v>3.4610450122128953E-12</v>
      </c>
      <c r="AL128" s="20">
        <f t="shared" si="58"/>
        <v>6.4758730798340893E-12</v>
      </c>
      <c r="AM128" s="59">
        <f t="shared" si="59"/>
        <v>293.33333333333979</v>
      </c>
      <c r="AN128" s="59">
        <f ca="1">AVERAGE(OFFSET($AM$3,0,0,'Données projet'!$E$10+1,1))-AVERAGE(OFFSET($H$3,0,0,'Données projet'!$E$10+1,1))</f>
        <v>346.35147716792028</v>
      </c>
      <c r="AO128" s="59">
        <f t="shared" si="90"/>
        <v>231.36959598460686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3.8456130946539613E-14</v>
      </c>
      <c r="AX128" s="21">
        <f t="shared" si="60"/>
        <v>3.8456130946539613E-14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1.1368683772161603E-13</v>
      </c>
      <c r="BE128" s="13">
        <f>BD128*VLOOKUP('Données projet'!$B$11,Paramètres!$A$1:$I$89,3,0)*VLOOKUP('Données projet'!$B$11,Paramètres!$A$1:$I$89,5,0)</f>
        <v>6.7984728957526396E-14</v>
      </c>
      <c r="BF128" s="13">
        <f t="shared" si="91"/>
        <v>1.0682447123141398E-12</v>
      </c>
      <c r="BG128" s="20">
        <f t="shared" si="61"/>
        <v>1.978932943548152E-12</v>
      </c>
      <c r="BH128" s="59">
        <f t="shared" si="62"/>
        <v>293.3333333333353</v>
      </c>
      <c r="BI128" s="59">
        <f ca="1">AVERAGE(OFFSET($BH$3,0,0,'Données projet'!$E$11+1,1))-AVERAGE(OFFSET($H$3,0,0,'Données projet'!$E$11+1,1))</f>
        <v>257.80952690600492</v>
      </c>
      <c r="BJ128" s="59">
        <f t="shared" si="92"/>
        <v>269.95358755269427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#VALUE!</v>
      </c>
      <c r="BQ128" s="21" t="e">
        <f>EXP(-LN(2)/25)*BQ127+(1-EXP(-LN(2)/25))/(LN(2)/25)*Calculateur!BL128*Calculateur!BN128*VLOOKUP('Données projet'!$B$11,Paramètres!$A$1:$I$89,3,0)*0.475*44/12</f>
        <v>#VALUE!</v>
      </c>
      <c r="BR128" s="21" t="e">
        <f>EXP(-LN(2)/2)*BR127+(1-EXP(-LN(2)/2))/(LN(2)/2)*BL128*BO128*VLOOKUP('Données projet'!$B$11,Paramètres!$A$1:$I$89,3,0)*0.475*44/12</f>
        <v>#VALUE!</v>
      </c>
      <c r="BS128" s="22" t="e">
        <f t="shared" si="63"/>
        <v>#VALUE!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-275.00000000000028</v>
      </c>
      <c r="BZ128" s="13">
        <f>BY128*VLOOKUP('Données projet'!$B$12,Paramètres!$A$1:$I$89,3,0)*VLOOKUP('Données projet'!$B$12,Paramètres!$A$1:$I$89,5,0)</f>
        <v>-214.50000000000023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286.5685205631126</v>
      </c>
      <c r="CE128" s="59">
        <f t="shared" si="94"/>
        <v>264.17357326498581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0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0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2.8421709430404007E-13</v>
      </c>
      <c r="O129" s="13">
        <f>N129*VLOOKUP('Données projet'!$B$9,Paramètres!$A$1:$I$89,3,0)*VLOOKUP('Données projet'!$B$9,Paramètres!$A$1:$I$89,5,0)</f>
        <v>2.5715962692629546E-13</v>
      </c>
      <c r="P129" s="13">
        <f t="shared" si="87"/>
        <v>3.4610450122128953E-12</v>
      </c>
      <c r="Q129" s="20">
        <f t="shared" si="107"/>
        <v>6.4758730798340893E-12</v>
      </c>
      <c r="R129" s="59">
        <f t="shared" si="55"/>
        <v>293.33333333333979</v>
      </c>
      <c r="S129" s="59">
        <f ca="1">AVERAGE(OFFSET($R$3,0,0,'Données projet'!$E$9+1,1))-AVERAGE(OFFSET($H$3,0,0,'Données projet'!$E$9+1,1))</f>
        <v>346.35147716792028</v>
      </c>
      <c r="T129" s="59">
        <f t="shared" si="88"/>
        <v>231.36959598460686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0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2.7192590970496005E-14</v>
      </c>
      <c r="AC129" s="22">
        <f t="shared" si="57"/>
        <v>2.7192590970496005E-14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2.8421709430404007E-13</v>
      </c>
      <c r="AJ129" s="13">
        <f>AI129*VLOOKUP('Données projet'!$B$10,Paramètres!$A$1:$I$89,3,0)*VLOOKUP('Données projet'!$B$10,Paramètres!$A$1:$I$89,5,0)</f>
        <v>2.5715962692629546E-13</v>
      </c>
      <c r="AK129" s="13">
        <f t="shared" si="89"/>
        <v>3.4610450122128953E-12</v>
      </c>
      <c r="AL129" s="20">
        <f t="shared" si="58"/>
        <v>6.4758730798340893E-12</v>
      </c>
      <c r="AM129" s="59">
        <f t="shared" si="59"/>
        <v>293.33333333333979</v>
      </c>
      <c r="AN129" s="59">
        <f ca="1">AVERAGE(OFFSET($AM$3,0,0,'Données projet'!$E$10+1,1))-AVERAGE(OFFSET($H$3,0,0,'Données projet'!$E$10+1,1))</f>
        <v>346.35147716792028</v>
      </c>
      <c r="AO129" s="59">
        <f t="shared" si="90"/>
        <v>231.36959598460686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2.7192590970496005E-14</v>
      </c>
      <c r="AX129" s="21">
        <f t="shared" si="60"/>
        <v>2.7192590970496005E-14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1.1368683772161603E-13</v>
      </c>
      <c r="BE129" s="13">
        <f>BD129*VLOOKUP('Données projet'!$B$11,Paramètres!$A$1:$I$89,3,0)*VLOOKUP('Données projet'!$B$11,Paramètres!$A$1:$I$89,5,0)</f>
        <v>6.7984728957526396E-14</v>
      </c>
      <c r="BF129" s="13">
        <f t="shared" si="91"/>
        <v>1.0682447123141398E-12</v>
      </c>
      <c r="BG129" s="20">
        <f t="shared" si="61"/>
        <v>1.978932943548152E-12</v>
      </c>
      <c r="BH129" s="59">
        <f t="shared" si="62"/>
        <v>293.3333333333353</v>
      </c>
      <c r="BI129" s="59">
        <f ca="1">AVERAGE(OFFSET($BH$3,0,0,'Données projet'!$E$11+1,1))-AVERAGE(OFFSET($H$3,0,0,'Données projet'!$E$11+1,1))</f>
        <v>257.80952690600492</v>
      </c>
      <c r="BJ129" s="59">
        <f t="shared" si="92"/>
        <v>269.95358755269427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#VALUE!</v>
      </c>
      <c r="BQ129" s="21" t="e">
        <f>EXP(-LN(2)/25)*BQ128+(1-EXP(-LN(2)/25))/(LN(2)/25)*Calculateur!BL129*Calculateur!BN129*VLOOKUP('Données projet'!$B$11,Paramètres!$A$1:$I$89,3,0)*0.475*44/12</f>
        <v>#VALUE!</v>
      </c>
      <c r="BR129" s="21" t="e">
        <f>EXP(-LN(2)/2)*BR128+(1-EXP(-LN(2)/2))/(LN(2)/2)*BL129*BO129*VLOOKUP('Données projet'!$B$11,Paramètres!$A$1:$I$89,3,0)*0.475*44/12</f>
        <v>#VALUE!</v>
      </c>
      <c r="BS129" s="22" t="e">
        <f t="shared" si="63"/>
        <v>#VALUE!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-275.00000000000028</v>
      </c>
      <c r="BZ129" s="13">
        <f>BY129*VLOOKUP('Données projet'!$B$12,Paramètres!$A$1:$I$89,3,0)*VLOOKUP('Données projet'!$B$12,Paramètres!$A$1:$I$89,5,0)</f>
        <v>-214.50000000000023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286.5685205631126</v>
      </c>
      <c r="CE129" s="59">
        <f t="shared" si="94"/>
        <v>264.17357326498581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0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0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2.8421709430404007E-13</v>
      </c>
      <c r="O130" s="13">
        <f>N130*VLOOKUP('Données projet'!$B$9,Paramètres!$A$1:$I$89,3,0)*VLOOKUP('Données projet'!$B$9,Paramètres!$A$1:$I$89,5,0)</f>
        <v>2.5715962692629546E-13</v>
      </c>
      <c r="P130" s="13">
        <f t="shared" si="87"/>
        <v>3.4610450122128953E-12</v>
      </c>
      <c r="Q130" s="20">
        <f t="shared" si="107"/>
        <v>6.4758730798340893E-12</v>
      </c>
      <c r="R130" s="59">
        <f t="shared" si="55"/>
        <v>293.33333333333979</v>
      </c>
      <c r="S130" s="59">
        <f ca="1">AVERAGE(OFFSET($R$3,0,0,'Données projet'!$E$9+1,1))-AVERAGE(OFFSET($H$3,0,0,'Données projet'!$E$9+1,1))</f>
        <v>346.35147716792028</v>
      </c>
      <c r="T130" s="59">
        <f t="shared" si="88"/>
        <v>231.36959598460686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0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1.9228065473269806E-14</v>
      </c>
      <c r="AC130" s="22">
        <f t="shared" si="57"/>
        <v>1.9228065473269806E-14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2.8421709430404007E-13</v>
      </c>
      <c r="AJ130" s="13">
        <f>AI130*VLOOKUP('Données projet'!$B$10,Paramètres!$A$1:$I$89,3,0)*VLOOKUP('Données projet'!$B$10,Paramètres!$A$1:$I$89,5,0)</f>
        <v>2.5715962692629546E-13</v>
      </c>
      <c r="AK130" s="13">
        <f t="shared" si="89"/>
        <v>3.4610450122128953E-12</v>
      </c>
      <c r="AL130" s="20">
        <f t="shared" si="58"/>
        <v>6.4758730798340893E-12</v>
      </c>
      <c r="AM130" s="59">
        <f t="shared" si="59"/>
        <v>293.33333333333979</v>
      </c>
      <c r="AN130" s="59">
        <f ca="1">AVERAGE(OFFSET($AM$3,0,0,'Données projet'!$E$10+1,1))-AVERAGE(OFFSET($H$3,0,0,'Données projet'!$E$10+1,1))</f>
        <v>346.35147716792028</v>
      </c>
      <c r="AO130" s="59">
        <f t="shared" si="90"/>
        <v>231.36959598460686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1.9228065473269806E-14</v>
      </c>
      <c r="AX130" s="21">
        <f t="shared" si="60"/>
        <v>1.9228065473269806E-14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1.1368683772161603E-13</v>
      </c>
      <c r="BE130" s="13">
        <f>BD130*VLOOKUP('Données projet'!$B$11,Paramètres!$A$1:$I$89,3,0)*VLOOKUP('Données projet'!$B$11,Paramètres!$A$1:$I$89,5,0)</f>
        <v>6.7984728957526396E-14</v>
      </c>
      <c r="BF130" s="13">
        <f t="shared" si="91"/>
        <v>1.0682447123141398E-12</v>
      </c>
      <c r="BG130" s="20">
        <f t="shared" si="61"/>
        <v>1.978932943548152E-12</v>
      </c>
      <c r="BH130" s="59">
        <f t="shared" si="62"/>
        <v>293.3333333333353</v>
      </c>
      <c r="BI130" s="59">
        <f ca="1">AVERAGE(OFFSET($BH$3,0,0,'Données projet'!$E$11+1,1))-AVERAGE(OFFSET($H$3,0,0,'Données projet'!$E$11+1,1))</f>
        <v>257.80952690600492</v>
      </c>
      <c r="BJ130" s="59">
        <f t="shared" si="92"/>
        <v>269.95358755269427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#VALUE!</v>
      </c>
      <c r="BQ130" s="21" t="e">
        <f>EXP(-LN(2)/25)*BQ129+(1-EXP(-LN(2)/25))/(LN(2)/25)*Calculateur!BL130*Calculateur!BN130*VLOOKUP('Données projet'!$B$11,Paramètres!$A$1:$I$89,3,0)*0.475*44/12</f>
        <v>#VALUE!</v>
      </c>
      <c r="BR130" s="21" t="e">
        <f>EXP(-LN(2)/2)*BR129+(1-EXP(-LN(2)/2))/(LN(2)/2)*BL130*BO130*VLOOKUP('Données projet'!$B$11,Paramètres!$A$1:$I$89,3,0)*0.475*44/12</f>
        <v>#VALUE!</v>
      </c>
      <c r="BS130" s="22" t="e">
        <f t="shared" si="63"/>
        <v>#VALUE!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-275.00000000000028</v>
      </c>
      <c r="BZ130" s="13">
        <f>BY130*VLOOKUP('Données projet'!$B$12,Paramètres!$A$1:$I$89,3,0)*VLOOKUP('Données projet'!$B$12,Paramètres!$A$1:$I$89,5,0)</f>
        <v>-214.50000000000023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286.5685205631126</v>
      </c>
      <c r="CE130" s="59">
        <f t="shared" si="94"/>
        <v>264.17357326498581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0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0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2.8421709430404007E-13</v>
      </c>
      <c r="O131" s="13">
        <f>N131*VLOOKUP('Données projet'!$B$9,Paramètres!$A$1:$I$89,3,0)*VLOOKUP('Données projet'!$B$9,Paramètres!$A$1:$I$89,5,0)</f>
        <v>2.5715962692629546E-13</v>
      </c>
      <c r="P131" s="13">
        <f t="shared" si="87"/>
        <v>3.4610450122128953E-12</v>
      </c>
      <c r="Q131" s="20">
        <f t="shared" ref="Q131:Q153" si="108">(O131+P131)*0.475*44/12</f>
        <v>6.4758730798340893E-12</v>
      </c>
      <c r="R131" s="59">
        <f t="shared" ref="R131:R194" si="109">Q131+(I131+J131)*44/12</f>
        <v>293.33333333333979</v>
      </c>
      <c r="S131" s="59">
        <f ca="1">AVERAGE(OFFSET($R$3,0,0,'Données projet'!$E$9+1,1))-AVERAGE(OFFSET($H$3,0,0,'Données projet'!$E$9+1,1))</f>
        <v>346.35147716792028</v>
      </c>
      <c r="T131" s="59">
        <f t="shared" si="88"/>
        <v>231.36959598460686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0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1.3596295485248003E-14</v>
      </c>
      <c r="AC131" s="22">
        <f t="shared" si="57"/>
        <v>1.3596295485248003E-14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2.8421709430404007E-13</v>
      </c>
      <c r="AJ131" s="13">
        <f>AI131*VLOOKUP('Données projet'!$B$10,Paramètres!$A$1:$I$89,3,0)*VLOOKUP('Données projet'!$B$10,Paramètres!$A$1:$I$89,5,0)</f>
        <v>2.5715962692629546E-13</v>
      </c>
      <c r="AK131" s="13">
        <f t="shared" si="89"/>
        <v>3.4610450122128953E-12</v>
      </c>
      <c r="AL131" s="20">
        <f t="shared" si="58"/>
        <v>6.4758730798340893E-12</v>
      </c>
      <c r="AM131" s="59">
        <f t="shared" si="59"/>
        <v>293.33333333333979</v>
      </c>
      <c r="AN131" s="59">
        <f ca="1">AVERAGE(OFFSET($AM$3,0,0,'Données projet'!$E$10+1,1))-AVERAGE(OFFSET($H$3,0,0,'Données projet'!$E$10+1,1))</f>
        <v>346.35147716792028</v>
      </c>
      <c r="AO131" s="59">
        <f t="shared" si="90"/>
        <v>231.36959598460686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1.3596295485248003E-14</v>
      </c>
      <c r="AX131" s="21">
        <f t="shared" si="60"/>
        <v>1.3596295485248003E-14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1.1368683772161603E-13</v>
      </c>
      <c r="BE131" s="13">
        <f>BD131*VLOOKUP('Données projet'!$B$11,Paramètres!$A$1:$I$89,3,0)*VLOOKUP('Données projet'!$B$11,Paramètres!$A$1:$I$89,5,0)</f>
        <v>6.7984728957526396E-14</v>
      </c>
      <c r="BF131" s="13">
        <f t="shared" si="91"/>
        <v>1.0682447123141398E-12</v>
      </c>
      <c r="BG131" s="20">
        <f t="shared" si="61"/>
        <v>1.978932943548152E-12</v>
      </c>
      <c r="BH131" s="59">
        <f t="shared" si="62"/>
        <v>293.3333333333353</v>
      </c>
      <c r="BI131" s="59">
        <f ca="1">AVERAGE(OFFSET($BH$3,0,0,'Données projet'!$E$11+1,1))-AVERAGE(OFFSET($H$3,0,0,'Données projet'!$E$11+1,1))</f>
        <v>257.80952690600492</v>
      </c>
      <c r="BJ131" s="59">
        <f t="shared" si="92"/>
        <v>269.95358755269427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#VALUE!</v>
      </c>
      <c r="BQ131" s="21" t="e">
        <f>EXP(-LN(2)/25)*BQ130+(1-EXP(-LN(2)/25))/(LN(2)/25)*Calculateur!BL131*Calculateur!BN131*VLOOKUP('Données projet'!$B$11,Paramètres!$A$1:$I$89,3,0)*0.475*44/12</f>
        <v>#VALUE!</v>
      </c>
      <c r="BR131" s="21" t="e">
        <f>EXP(-LN(2)/2)*BR130+(1-EXP(-LN(2)/2))/(LN(2)/2)*BL131*BO131*VLOOKUP('Données projet'!$B$11,Paramètres!$A$1:$I$89,3,0)*0.475*44/12</f>
        <v>#VALUE!</v>
      </c>
      <c r="BS131" s="22" t="e">
        <f t="shared" si="63"/>
        <v>#VALUE!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-275.00000000000028</v>
      </c>
      <c r="BZ131" s="13">
        <f>BY131*VLOOKUP('Données projet'!$B$12,Paramètres!$A$1:$I$89,3,0)*VLOOKUP('Données projet'!$B$12,Paramètres!$A$1:$I$89,5,0)</f>
        <v>-214.50000000000023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286.5685205631126</v>
      </c>
      <c r="CE131" s="59">
        <f t="shared" si="94"/>
        <v>264.17357326498581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0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0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2.8421709430404007E-13</v>
      </c>
      <c r="O132" s="13">
        <f>N132*VLOOKUP('Données projet'!$B$9,Paramètres!$A$1:$I$89,3,0)*VLOOKUP('Données projet'!$B$9,Paramètres!$A$1:$I$89,5,0)</f>
        <v>2.5715962692629546E-13</v>
      </c>
      <c r="P132" s="13">
        <f t="shared" si="87"/>
        <v>3.4610450122128953E-12</v>
      </c>
      <c r="Q132" s="20">
        <f t="shared" si="108"/>
        <v>6.4758730798340893E-12</v>
      </c>
      <c r="R132" s="59">
        <f t="shared" si="109"/>
        <v>293.33333333333979</v>
      </c>
      <c r="S132" s="59">
        <f ca="1">AVERAGE(OFFSET($R$3,0,0,'Données projet'!$E$9+1,1))-AVERAGE(OFFSET($H$3,0,0,'Données projet'!$E$9+1,1))</f>
        <v>346.35147716792028</v>
      </c>
      <c r="T132" s="59">
        <f t="shared" si="88"/>
        <v>231.36959598460686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0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9.6140327366349032E-15</v>
      </c>
      <c r="AC132" s="22">
        <f t="shared" ref="AC132:AC153" si="111">SUM(Z132:AB132)</f>
        <v>9.6140327366349032E-15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2.8421709430404007E-13</v>
      </c>
      <c r="AJ132" s="13">
        <f>AI132*VLOOKUP('Données projet'!$B$10,Paramètres!$A$1:$I$89,3,0)*VLOOKUP('Données projet'!$B$10,Paramètres!$A$1:$I$89,5,0)</f>
        <v>2.5715962692629546E-13</v>
      </c>
      <c r="AK132" s="13">
        <f t="shared" si="89"/>
        <v>3.4610450122128953E-12</v>
      </c>
      <c r="AL132" s="20">
        <f t="shared" ref="AL132:AL153" si="112">(AJ132+AK132)*0.475*44/12</f>
        <v>6.4758730798340893E-12</v>
      </c>
      <c r="AM132" s="59">
        <f t="shared" ref="AM132:AM195" si="113">AL132+(AD132+AE132)*44/12</f>
        <v>293.33333333333979</v>
      </c>
      <c r="AN132" s="59">
        <f ca="1">AVERAGE(OFFSET($AM$3,0,0,'Données projet'!$E$10+1,1))-AVERAGE(OFFSET($H$3,0,0,'Données projet'!$E$10+1,1))</f>
        <v>346.35147716792028</v>
      </c>
      <c r="AO132" s="59">
        <f t="shared" si="90"/>
        <v>231.36959598460686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9.6140327366349032E-15</v>
      </c>
      <c r="AX132" s="21">
        <f t="shared" ref="AX132:AX153" si="114">SUM(AU132:AW132)</f>
        <v>9.6140327366349032E-15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1.1368683772161603E-13</v>
      </c>
      <c r="BE132" s="13">
        <f>BD132*VLOOKUP('Données projet'!$B$11,Paramètres!$A$1:$I$89,3,0)*VLOOKUP('Données projet'!$B$11,Paramètres!$A$1:$I$89,5,0)</f>
        <v>6.7984728957526396E-14</v>
      </c>
      <c r="BF132" s="13">
        <f t="shared" si="91"/>
        <v>1.0682447123141398E-12</v>
      </c>
      <c r="BG132" s="20">
        <f t="shared" ref="BG132:BG153" si="115">(BE132+BF132)*0.475*44/12</f>
        <v>1.978932943548152E-12</v>
      </c>
      <c r="BH132" s="59">
        <f t="shared" ref="BH132:BH195" si="116">BG132+(AY132+AZ132)*44/12</f>
        <v>293.3333333333353</v>
      </c>
      <c r="BI132" s="59">
        <f ca="1">AVERAGE(OFFSET($BH$3,0,0,'Données projet'!$E$11+1,1))-AVERAGE(OFFSET($H$3,0,0,'Données projet'!$E$11+1,1))</f>
        <v>257.80952690600492</v>
      </c>
      <c r="BJ132" s="59">
        <f t="shared" si="92"/>
        <v>269.95358755269427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#VALUE!</v>
      </c>
      <c r="BQ132" s="21" t="e">
        <f>EXP(-LN(2)/25)*BQ131+(1-EXP(-LN(2)/25))/(LN(2)/25)*Calculateur!BL132*Calculateur!BN132*VLOOKUP('Données projet'!$B$11,Paramètres!$A$1:$I$89,3,0)*0.475*44/12</f>
        <v>#VALUE!</v>
      </c>
      <c r="BR132" s="21" t="e">
        <f>EXP(-LN(2)/2)*BR131+(1-EXP(-LN(2)/2))/(LN(2)/2)*BL132*BO132*VLOOKUP('Données projet'!$B$11,Paramètres!$A$1:$I$89,3,0)*0.475*44/12</f>
        <v>#VALUE!</v>
      </c>
      <c r="BS132" s="22" t="e">
        <f t="shared" ref="BS132:BS153" si="117">SUM(BP132:BR132)</f>
        <v>#VALUE!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-275.00000000000028</v>
      </c>
      <c r="BZ132" s="13">
        <f>BY132*VLOOKUP('Données projet'!$B$12,Paramètres!$A$1:$I$89,3,0)*VLOOKUP('Données projet'!$B$12,Paramètres!$A$1:$I$89,5,0)</f>
        <v>-214.50000000000023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286.5685205631126</v>
      </c>
      <c r="CE132" s="59">
        <f t="shared" si="94"/>
        <v>264.17357326498581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0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0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2.8421709430404007E-13</v>
      </c>
      <c r="O133" s="13">
        <f>N133*VLOOKUP('Données projet'!$B$9,Paramètres!$A$1:$I$89,3,0)*VLOOKUP('Données projet'!$B$9,Paramètres!$A$1:$I$89,5,0)</f>
        <v>2.5715962692629546E-13</v>
      </c>
      <c r="P133" s="13">
        <f t="shared" ref="P133:P196" si="141">EXP(-1.0587+0.8836*LN(O133)+0.284)</f>
        <v>3.4610450122128953E-12</v>
      </c>
      <c r="Q133" s="20">
        <f t="shared" si="108"/>
        <v>6.4758730798340893E-12</v>
      </c>
      <c r="R133" s="59">
        <f t="shared" si="109"/>
        <v>293.33333333333979</v>
      </c>
      <c r="S133" s="59">
        <f ca="1">AVERAGE(OFFSET($R$3,0,0,'Données projet'!$E$9+1,1))-AVERAGE(OFFSET($H$3,0,0,'Données projet'!$E$9+1,1))</f>
        <v>346.35147716792028</v>
      </c>
      <c r="T133" s="59">
        <f t="shared" ref="T133:T196" si="142">$T$3</f>
        <v>231.36959598460686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0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6.7981477426240013E-15</v>
      </c>
      <c r="AC133" s="22">
        <f t="shared" si="111"/>
        <v>6.7981477426240013E-15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2.8421709430404007E-13</v>
      </c>
      <c r="AJ133" s="13">
        <f>AI133*VLOOKUP('Données projet'!$B$10,Paramètres!$A$1:$I$89,3,0)*VLOOKUP('Données projet'!$B$10,Paramètres!$A$1:$I$89,5,0)</f>
        <v>2.5715962692629546E-13</v>
      </c>
      <c r="AK133" s="13">
        <f t="shared" ref="AK133:AK153" si="143">EXP(-1.0587+0.8836*LN(AJ133)+0.284)</f>
        <v>3.4610450122128953E-12</v>
      </c>
      <c r="AL133" s="20">
        <f t="shared" si="112"/>
        <v>6.4758730798340893E-12</v>
      </c>
      <c r="AM133" s="59">
        <f t="shared" si="113"/>
        <v>293.33333333333979</v>
      </c>
      <c r="AN133" s="59">
        <f ca="1">AVERAGE(OFFSET($AM$3,0,0,'Données projet'!$E$10+1,1))-AVERAGE(OFFSET($H$3,0,0,'Données projet'!$E$10+1,1))</f>
        <v>346.35147716792028</v>
      </c>
      <c r="AO133" s="59">
        <f t="shared" ref="AO133:AO196" si="144">$AO$3</f>
        <v>231.36959598460686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6.7981477426240013E-15</v>
      </c>
      <c r="AX133" s="21">
        <f t="shared" si="114"/>
        <v>6.7981477426240013E-15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1.1368683772161603E-13</v>
      </c>
      <c r="BE133" s="13">
        <f>BD133*VLOOKUP('Données projet'!$B$11,Paramètres!$A$1:$I$89,3,0)*VLOOKUP('Données projet'!$B$11,Paramètres!$A$1:$I$89,5,0)</f>
        <v>6.7984728957526396E-14</v>
      </c>
      <c r="BF133" s="13">
        <f t="shared" ref="BF133:BF153" si="145">EXP(-1.0587+0.8836*LN(BE133)+0.284)</f>
        <v>1.0682447123141398E-12</v>
      </c>
      <c r="BG133" s="20">
        <f t="shared" si="115"/>
        <v>1.978932943548152E-12</v>
      </c>
      <c r="BH133" s="59">
        <f t="shared" si="116"/>
        <v>293.3333333333353</v>
      </c>
      <c r="BI133" s="59">
        <f ca="1">AVERAGE(OFFSET($BH$3,0,0,'Données projet'!$E$11+1,1))-AVERAGE(OFFSET($H$3,0,0,'Données projet'!$E$11+1,1))</f>
        <v>257.80952690600492</v>
      </c>
      <c r="BJ133" s="59">
        <f t="shared" ref="BJ133:BJ196" si="146">$BJ$3</f>
        <v>269.95358755269427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#VALUE!</v>
      </c>
      <c r="BQ133" s="21" t="e">
        <f>EXP(-LN(2)/25)*BQ132+(1-EXP(-LN(2)/25))/(LN(2)/25)*Calculateur!BL133*Calculateur!BN133*VLOOKUP('Données projet'!$B$11,Paramètres!$A$1:$I$89,3,0)*0.475*44/12</f>
        <v>#VALUE!</v>
      </c>
      <c r="BR133" s="21" t="e">
        <f>EXP(-LN(2)/2)*BR132+(1-EXP(-LN(2)/2))/(LN(2)/2)*BL133*BO133*VLOOKUP('Données projet'!$B$11,Paramètres!$A$1:$I$89,3,0)*0.475*44/12</f>
        <v>#VALUE!</v>
      </c>
      <c r="BS133" s="22" t="e">
        <f t="shared" si="117"/>
        <v>#VALUE!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-275.00000000000028</v>
      </c>
      <c r="BZ133" s="13">
        <f>BY133*VLOOKUP('Données projet'!$B$12,Paramètres!$A$1:$I$89,3,0)*VLOOKUP('Données projet'!$B$12,Paramètres!$A$1:$I$89,5,0)</f>
        <v>-214.50000000000023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286.5685205631126</v>
      </c>
      <c r="CE133" s="59">
        <f t="shared" ref="CE133:CE196" si="148">$CE$3</f>
        <v>264.17357326498581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0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0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2.8421709430404007E-13</v>
      </c>
      <c r="O134" s="13">
        <f>N134*VLOOKUP('Données projet'!$B$9,Paramètres!$A$1:$I$89,3,0)*VLOOKUP('Données projet'!$B$9,Paramètres!$A$1:$I$89,5,0)</f>
        <v>2.5715962692629546E-13</v>
      </c>
      <c r="P134" s="13">
        <f t="shared" si="141"/>
        <v>3.4610450122128953E-12</v>
      </c>
      <c r="Q134" s="20">
        <f t="shared" si="108"/>
        <v>6.4758730798340893E-12</v>
      </c>
      <c r="R134" s="59">
        <f t="shared" si="109"/>
        <v>293.33333333333979</v>
      </c>
      <c r="S134" s="59">
        <f ca="1">AVERAGE(OFFSET($R$3,0,0,'Données projet'!$E$9+1,1))-AVERAGE(OFFSET($H$3,0,0,'Données projet'!$E$9+1,1))</f>
        <v>346.35147716792028</v>
      </c>
      <c r="T134" s="59">
        <f t="shared" si="142"/>
        <v>231.36959598460686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4.8070163683174516E-15</v>
      </c>
      <c r="AC134" s="22">
        <f t="shared" si="111"/>
        <v>4.8070163683174516E-15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2.8421709430404007E-13</v>
      </c>
      <c r="AJ134" s="13">
        <f>AI134*VLOOKUP('Données projet'!$B$10,Paramètres!$A$1:$I$89,3,0)*VLOOKUP('Données projet'!$B$10,Paramètres!$A$1:$I$89,5,0)</f>
        <v>2.5715962692629546E-13</v>
      </c>
      <c r="AK134" s="13">
        <f t="shared" si="143"/>
        <v>3.4610450122128953E-12</v>
      </c>
      <c r="AL134" s="20">
        <f t="shared" si="112"/>
        <v>6.4758730798340893E-12</v>
      </c>
      <c r="AM134" s="59">
        <f t="shared" si="113"/>
        <v>293.33333333333979</v>
      </c>
      <c r="AN134" s="59">
        <f ca="1">AVERAGE(OFFSET($AM$3,0,0,'Données projet'!$E$10+1,1))-AVERAGE(OFFSET($H$3,0,0,'Données projet'!$E$10+1,1))</f>
        <v>346.35147716792028</v>
      </c>
      <c r="AO134" s="59">
        <f t="shared" si="144"/>
        <v>231.36959598460686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4.8070163683174516E-15</v>
      </c>
      <c r="AX134" s="21">
        <f t="shared" si="114"/>
        <v>4.8070163683174516E-15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1.1368683772161603E-13</v>
      </c>
      <c r="BE134" s="13">
        <f>BD134*VLOOKUP('Données projet'!$B$11,Paramètres!$A$1:$I$89,3,0)*VLOOKUP('Données projet'!$B$11,Paramètres!$A$1:$I$89,5,0)</f>
        <v>6.7984728957526396E-14</v>
      </c>
      <c r="BF134" s="13">
        <f t="shared" si="145"/>
        <v>1.0682447123141398E-12</v>
      </c>
      <c r="BG134" s="20">
        <f t="shared" si="115"/>
        <v>1.978932943548152E-12</v>
      </c>
      <c r="BH134" s="59">
        <f t="shared" si="116"/>
        <v>293.3333333333353</v>
      </c>
      <c r="BI134" s="59">
        <f ca="1">AVERAGE(OFFSET($BH$3,0,0,'Données projet'!$E$11+1,1))-AVERAGE(OFFSET($H$3,0,0,'Données projet'!$E$11+1,1))</f>
        <v>257.80952690600492</v>
      </c>
      <c r="BJ134" s="59">
        <f t="shared" si="146"/>
        <v>269.95358755269427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#VALUE!</v>
      </c>
      <c r="BQ134" s="21" t="e">
        <f>EXP(-LN(2)/25)*BQ133+(1-EXP(-LN(2)/25))/(LN(2)/25)*Calculateur!BL134*Calculateur!BN134*VLOOKUP('Données projet'!$B$11,Paramètres!$A$1:$I$89,3,0)*0.475*44/12</f>
        <v>#VALUE!</v>
      </c>
      <c r="BR134" s="21" t="e">
        <f>EXP(-LN(2)/2)*BR133+(1-EXP(-LN(2)/2))/(LN(2)/2)*BL134*BO134*VLOOKUP('Données projet'!$B$11,Paramètres!$A$1:$I$89,3,0)*0.475*44/12</f>
        <v>#VALUE!</v>
      </c>
      <c r="BS134" s="22" t="e">
        <f t="shared" si="117"/>
        <v>#VALUE!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-275.00000000000028</v>
      </c>
      <c r="BZ134" s="13">
        <f>BY134*VLOOKUP('Données projet'!$B$12,Paramètres!$A$1:$I$89,3,0)*VLOOKUP('Données projet'!$B$12,Paramètres!$A$1:$I$89,5,0)</f>
        <v>-214.50000000000023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286.5685205631126</v>
      </c>
      <c r="CE134" s="59">
        <f t="shared" si="148"/>
        <v>264.17357326498581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0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0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2.8421709430404007E-13</v>
      </c>
      <c r="O135" s="13">
        <f>N135*VLOOKUP('Données projet'!$B$9,Paramètres!$A$1:$I$89,3,0)*VLOOKUP('Données projet'!$B$9,Paramètres!$A$1:$I$89,5,0)</f>
        <v>2.5715962692629546E-13</v>
      </c>
      <c r="P135" s="13">
        <f t="shared" si="141"/>
        <v>3.4610450122128953E-12</v>
      </c>
      <c r="Q135" s="20">
        <f t="shared" si="108"/>
        <v>6.4758730798340893E-12</v>
      </c>
      <c r="R135" s="59">
        <f t="shared" si="109"/>
        <v>293.33333333333979</v>
      </c>
      <c r="S135" s="59">
        <f ca="1">AVERAGE(OFFSET($R$3,0,0,'Données projet'!$E$9+1,1))-AVERAGE(OFFSET($H$3,0,0,'Données projet'!$E$9+1,1))</f>
        <v>346.35147716792028</v>
      </c>
      <c r="T135" s="59">
        <f t="shared" si="142"/>
        <v>231.36959598460686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3.3990738713120006E-15</v>
      </c>
      <c r="AC135" s="22">
        <f t="shared" si="111"/>
        <v>3.3990738713120006E-15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2.8421709430404007E-13</v>
      </c>
      <c r="AJ135" s="13">
        <f>AI135*VLOOKUP('Données projet'!$B$10,Paramètres!$A$1:$I$89,3,0)*VLOOKUP('Données projet'!$B$10,Paramètres!$A$1:$I$89,5,0)</f>
        <v>2.5715962692629546E-13</v>
      </c>
      <c r="AK135" s="13">
        <f t="shared" si="143"/>
        <v>3.4610450122128953E-12</v>
      </c>
      <c r="AL135" s="20">
        <f t="shared" si="112"/>
        <v>6.4758730798340893E-12</v>
      </c>
      <c r="AM135" s="59">
        <f t="shared" si="113"/>
        <v>293.33333333333979</v>
      </c>
      <c r="AN135" s="59">
        <f ca="1">AVERAGE(OFFSET($AM$3,0,0,'Données projet'!$E$10+1,1))-AVERAGE(OFFSET($H$3,0,0,'Données projet'!$E$10+1,1))</f>
        <v>346.35147716792028</v>
      </c>
      <c r="AO135" s="59">
        <f t="shared" si="144"/>
        <v>231.36959598460686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3.3990738713120006E-15</v>
      </c>
      <c r="AX135" s="21">
        <f t="shared" si="114"/>
        <v>3.3990738713120006E-15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1.1368683772161603E-13</v>
      </c>
      <c r="BE135" s="13">
        <f>BD135*VLOOKUP('Données projet'!$B$11,Paramètres!$A$1:$I$89,3,0)*VLOOKUP('Données projet'!$B$11,Paramètres!$A$1:$I$89,5,0)</f>
        <v>6.7984728957526396E-14</v>
      </c>
      <c r="BF135" s="13">
        <f t="shared" si="145"/>
        <v>1.0682447123141398E-12</v>
      </c>
      <c r="BG135" s="20">
        <f t="shared" si="115"/>
        <v>1.978932943548152E-12</v>
      </c>
      <c r="BH135" s="59">
        <f t="shared" si="116"/>
        <v>293.3333333333353</v>
      </c>
      <c r="BI135" s="59">
        <f ca="1">AVERAGE(OFFSET($BH$3,0,0,'Données projet'!$E$11+1,1))-AVERAGE(OFFSET($H$3,0,0,'Données projet'!$E$11+1,1))</f>
        <v>257.80952690600492</v>
      </c>
      <c r="BJ135" s="59">
        <f t="shared" si="146"/>
        <v>269.95358755269427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#VALUE!</v>
      </c>
      <c r="BQ135" s="21" t="e">
        <f>EXP(-LN(2)/25)*BQ134+(1-EXP(-LN(2)/25))/(LN(2)/25)*Calculateur!BL135*Calculateur!BN135*VLOOKUP('Données projet'!$B$11,Paramètres!$A$1:$I$89,3,0)*0.475*44/12</f>
        <v>#VALUE!</v>
      </c>
      <c r="BR135" s="21" t="e">
        <f>EXP(-LN(2)/2)*BR134+(1-EXP(-LN(2)/2))/(LN(2)/2)*BL135*BO135*VLOOKUP('Données projet'!$B$11,Paramètres!$A$1:$I$89,3,0)*0.475*44/12</f>
        <v>#VALUE!</v>
      </c>
      <c r="BS135" s="22" t="e">
        <f t="shared" si="117"/>
        <v>#VALUE!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-275.00000000000028</v>
      </c>
      <c r="BZ135" s="13">
        <f>BY135*VLOOKUP('Données projet'!$B$12,Paramètres!$A$1:$I$89,3,0)*VLOOKUP('Données projet'!$B$12,Paramètres!$A$1:$I$89,5,0)</f>
        <v>-214.50000000000023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286.5685205631126</v>
      </c>
      <c r="CE135" s="59">
        <f t="shared" si="148"/>
        <v>264.17357326498581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0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0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2.8421709430404007E-13</v>
      </c>
      <c r="O136" s="13">
        <f>N136*VLOOKUP('Données projet'!$B$9,Paramètres!$A$1:$I$89,3,0)*VLOOKUP('Données projet'!$B$9,Paramètres!$A$1:$I$89,5,0)</f>
        <v>2.5715962692629546E-13</v>
      </c>
      <c r="P136" s="13">
        <f t="shared" si="141"/>
        <v>3.4610450122128953E-12</v>
      </c>
      <c r="Q136" s="20">
        <f t="shared" si="108"/>
        <v>6.4758730798340893E-12</v>
      </c>
      <c r="R136" s="59">
        <f t="shared" si="109"/>
        <v>293.33333333333979</v>
      </c>
      <c r="S136" s="59">
        <f ca="1">AVERAGE(OFFSET($R$3,0,0,'Données projet'!$E$9+1,1))-AVERAGE(OFFSET($H$3,0,0,'Données projet'!$E$9+1,1))</f>
        <v>346.35147716792028</v>
      </c>
      <c r="T136" s="59">
        <f t="shared" si="142"/>
        <v>231.36959598460686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2.4035081841587258E-15</v>
      </c>
      <c r="AC136" s="22">
        <f t="shared" si="111"/>
        <v>2.4035081841587258E-15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2.8421709430404007E-13</v>
      </c>
      <c r="AJ136" s="13">
        <f>AI136*VLOOKUP('Données projet'!$B$10,Paramètres!$A$1:$I$89,3,0)*VLOOKUP('Données projet'!$B$10,Paramètres!$A$1:$I$89,5,0)</f>
        <v>2.5715962692629546E-13</v>
      </c>
      <c r="AK136" s="13">
        <f t="shared" si="143"/>
        <v>3.4610450122128953E-12</v>
      </c>
      <c r="AL136" s="20">
        <f t="shared" si="112"/>
        <v>6.4758730798340893E-12</v>
      </c>
      <c r="AM136" s="59">
        <f t="shared" si="113"/>
        <v>293.33333333333979</v>
      </c>
      <c r="AN136" s="59">
        <f ca="1">AVERAGE(OFFSET($AM$3,0,0,'Données projet'!$E$10+1,1))-AVERAGE(OFFSET($H$3,0,0,'Données projet'!$E$10+1,1))</f>
        <v>346.35147716792028</v>
      </c>
      <c r="AO136" s="59">
        <f t="shared" si="144"/>
        <v>231.36959598460686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2.4035081841587258E-15</v>
      </c>
      <c r="AX136" s="21">
        <f t="shared" si="114"/>
        <v>2.4035081841587258E-15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1.1368683772161603E-13</v>
      </c>
      <c r="BE136" s="13">
        <f>BD136*VLOOKUP('Données projet'!$B$11,Paramètres!$A$1:$I$89,3,0)*VLOOKUP('Données projet'!$B$11,Paramètres!$A$1:$I$89,5,0)</f>
        <v>6.7984728957526396E-14</v>
      </c>
      <c r="BF136" s="13">
        <f t="shared" si="145"/>
        <v>1.0682447123141398E-12</v>
      </c>
      <c r="BG136" s="20">
        <f t="shared" si="115"/>
        <v>1.978932943548152E-12</v>
      </c>
      <c r="BH136" s="59">
        <f t="shared" si="116"/>
        <v>293.3333333333353</v>
      </c>
      <c r="BI136" s="59">
        <f ca="1">AVERAGE(OFFSET($BH$3,0,0,'Données projet'!$E$11+1,1))-AVERAGE(OFFSET($H$3,0,0,'Données projet'!$E$11+1,1))</f>
        <v>257.80952690600492</v>
      </c>
      <c r="BJ136" s="59">
        <f t="shared" si="146"/>
        <v>269.95358755269427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#VALUE!</v>
      </c>
      <c r="BQ136" s="21" t="e">
        <f>EXP(-LN(2)/25)*BQ135+(1-EXP(-LN(2)/25))/(LN(2)/25)*Calculateur!BL136*Calculateur!BN136*VLOOKUP('Données projet'!$B$11,Paramètres!$A$1:$I$89,3,0)*0.475*44/12</f>
        <v>#VALUE!</v>
      </c>
      <c r="BR136" s="21" t="e">
        <f>EXP(-LN(2)/2)*BR135+(1-EXP(-LN(2)/2))/(LN(2)/2)*BL136*BO136*VLOOKUP('Données projet'!$B$11,Paramètres!$A$1:$I$89,3,0)*0.475*44/12</f>
        <v>#VALUE!</v>
      </c>
      <c r="BS136" s="22" t="e">
        <f t="shared" si="117"/>
        <v>#VALUE!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-275.00000000000028</v>
      </c>
      <c r="BZ136" s="13">
        <f>BY136*VLOOKUP('Données projet'!$B$12,Paramètres!$A$1:$I$89,3,0)*VLOOKUP('Données projet'!$B$12,Paramètres!$A$1:$I$89,5,0)</f>
        <v>-214.50000000000023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286.5685205631126</v>
      </c>
      <c r="CE136" s="59">
        <f t="shared" si="148"/>
        <v>264.17357326498581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0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0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2.8421709430404007E-13</v>
      </c>
      <c r="O137" s="13">
        <f>N137*VLOOKUP('Données projet'!$B$9,Paramètres!$A$1:$I$89,3,0)*VLOOKUP('Données projet'!$B$9,Paramètres!$A$1:$I$89,5,0)</f>
        <v>2.5715962692629546E-13</v>
      </c>
      <c r="P137" s="13">
        <f t="shared" si="141"/>
        <v>3.4610450122128953E-12</v>
      </c>
      <c r="Q137" s="20">
        <f t="shared" si="108"/>
        <v>6.4758730798340893E-12</v>
      </c>
      <c r="R137" s="59">
        <f t="shared" si="109"/>
        <v>293.33333333333979</v>
      </c>
      <c r="S137" s="59">
        <f ca="1">AVERAGE(OFFSET($R$3,0,0,'Données projet'!$E$9+1,1))-AVERAGE(OFFSET($H$3,0,0,'Données projet'!$E$9+1,1))</f>
        <v>346.35147716792028</v>
      </c>
      <c r="T137" s="59">
        <f t="shared" si="142"/>
        <v>231.36959598460686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1.6995369356560003E-15</v>
      </c>
      <c r="AC137" s="22">
        <f t="shared" si="111"/>
        <v>1.6995369356560003E-15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2.8421709430404007E-13</v>
      </c>
      <c r="AJ137" s="13">
        <f>AI137*VLOOKUP('Données projet'!$B$10,Paramètres!$A$1:$I$89,3,0)*VLOOKUP('Données projet'!$B$10,Paramètres!$A$1:$I$89,5,0)</f>
        <v>2.5715962692629546E-13</v>
      </c>
      <c r="AK137" s="13">
        <f t="shared" si="143"/>
        <v>3.4610450122128953E-12</v>
      </c>
      <c r="AL137" s="20">
        <f t="shared" si="112"/>
        <v>6.4758730798340893E-12</v>
      </c>
      <c r="AM137" s="59">
        <f t="shared" si="113"/>
        <v>293.33333333333979</v>
      </c>
      <c r="AN137" s="59">
        <f ca="1">AVERAGE(OFFSET($AM$3,0,0,'Données projet'!$E$10+1,1))-AVERAGE(OFFSET($H$3,0,0,'Données projet'!$E$10+1,1))</f>
        <v>346.35147716792028</v>
      </c>
      <c r="AO137" s="59">
        <f t="shared" si="144"/>
        <v>231.36959598460686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1.6995369356560003E-15</v>
      </c>
      <c r="AX137" s="21">
        <f t="shared" si="114"/>
        <v>1.6995369356560003E-15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1.1368683772161603E-13</v>
      </c>
      <c r="BE137" s="13">
        <f>BD137*VLOOKUP('Données projet'!$B$11,Paramètres!$A$1:$I$89,3,0)*VLOOKUP('Données projet'!$B$11,Paramètres!$A$1:$I$89,5,0)</f>
        <v>6.7984728957526396E-14</v>
      </c>
      <c r="BF137" s="13">
        <f t="shared" si="145"/>
        <v>1.0682447123141398E-12</v>
      </c>
      <c r="BG137" s="20">
        <f t="shared" si="115"/>
        <v>1.978932943548152E-12</v>
      </c>
      <c r="BH137" s="59">
        <f t="shared" si="116"/>
        <v>293.3333333333353</v>
      </c>
      <c r="BI137" s="59">
        <f ca="1">AVERAGE(OFFSET($BH$3,0,0,'Données projet'!$E$11+1,1))-AVERAGE(OFFSET($H$3,0,0,'Données projet'!$E$11+1,1))</f>
        <v>257.80952690600492</v>
      </c>
      <c r="BJ137" s="59">
        <f t="shared" si="146"/>
        <v>269.95358755269427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#VALUE!</v>
      </c>
      <c r="BQ137" s="21" t="e">
        <f>EXP(-LN(2)/25)*BQ136+(1-EXP(-LN(2)/25))/(LN(2)/25)*Calculateur!BL137*Calculateur!BN137*VLOOKUP('Données projet'!$B$11,Paramètres!$A$1:$I$89,3,0)*0.475*44/12</f>
        <v>#VALUE!</v>
      </c>
      <c r="BR137" s="21" t="e">
        <f>EXP(-LN(2)/2)*BR136+(1-EXP(-LN(2)/2))/(LN(2)/2)*BL137*BO137*VLOOKUP('Données projet'!$B$11,Paramètres!$A$1:$I$89,3,0)*0.475*44/12</f>
        <v>#VALUE!</v>
      </c>
      <c r="BS137" s="22" t="e">
        <f t="shared" si="117"/>
        <v>#VALUE!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-275.00000000000028</v>
      </c>
      <c r="BZ137" s="13">
        <f>BY137*VLOOKUP('Données projet'!$B$12,Paramètres!$A$1:$I$89,3,0)*VLOOKUP('Données projet'!$B$12,Paramètres!$A$1:$I$89,5,0)</f>
        <v>-214.50000000000023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286.5685205631126</v>
      </c>
      <c r="CE137" s="59">
        <f t="shared" si="148"/>
        <v>264.17357326498581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0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0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2.8421709430404007E-13</v>
      </c>
      <c r="O138" s="13">
        <f>N138*VLOOKUP('Données projet'!$B$9,Paramètres!$A$1:$I$89,3,0)*VLOOKUP('Données projet'!$B$9,Paramètres!$A$1:$I$89,5,0)</f>
        <v>2.5715962692629546E-13</v>
      </c>
      <c r="P138" s="13">
        <f t="shared" si="141"/>
        <v>3.4610450122128953E-12</v>
      </c>
      <c r="Q138" s="20">
        <f t="shared" si="108"/>
        <v>6.4758730798340893E-12</v>
      </c>
      <c r="R138" s="59">
        <f t="shared" si="109"/>
        <v>293.33333333333979</v>
      </c>
      <c r="S138" s="59">
        <f ca="1">AVERAGE(OFFSET($R$3,0,0,'Données projet'!$E$9+1,1))-AVERAGE(OFFSET($H$3,0,0,'Données projet'!$E$9+1,1))</f>
        <v>346.35147716792028</v>
      </c>
      <c r="T138" s="59">
        <f t="shared" si="142"/>
        <v>231.36959598460686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1.2017540920793629E-15</v>
      </c>
      <c r="AC138" s="22">
        <f t="shared" si="111"/>
        <v>1.2017540920793629E-15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2.8421709430404007E-13</v>
      </c>
      <c r="AJ138" s="13">
        <f>AI138*VLOOKUP('Données projet'!$B$10,Paramètres!$A$1:$I$89,3,0)*VLOOKUP('Données projet'!$B$10,Paramètres!$A$1:$I$89,5,0)</f>
        <v>2.5715962692629546E-13</v>
      </c>
      <c r="AK138" s="13">
        <f t="shared" si="143"/>
        <v>3.4610450122128953E-12</v>
      </c>
      <c r="AL138" s="20">
        <f t="shared" si="112"/>
        <v>6.4758730798340893E-12</v>
      </c>
      <c r="AM138" s="59">
        <f t="shared" si="113"/>
        <v>293.33333333333979</v>
      </c>
      <c r="AN138" s="59">
        <f ca="1">AVERAGE(OFFSET($AM$3,0,0,'Données projet'!$E$10+1,1))-AVERAGE(OFFSET($H$3,0,0,'Données projet'!$E$10+1,1))</f>
        <v>346.35147716792028</v>
      </c>
      <c r="AO138" s="59">
        <f t="shared" si="144"/>
        <v>231.36959598460686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1.2017540920793629E-15</v>
      </c>
      <c r="AX138" s="21">
        <f t="shared" si="114"/>
        <v>1.2017540920793629E-15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1.1368683772161603E-13</v>
      </c>
      <c r="BE138" s="13">
        <f>BD138*VLOOKUP('Données projet'!$B$11,Paramètres!$A$1:$I$89,3,0)*VLOOKUP('Données projet'!$B$11,Paramètres!$A$1:$I$89,5,0)</f>
        <v>6.7984728957526396E-14</v>
      </c>
      <c r="BF138" s="13">
        <f t="shared" si="145"/>
        <v>1.0682447123141398E-12</v>
      </c>
      <c r="BG138" s="20">
        <f t="shared" si="115"/>
        <v>1.978932943548152E-12</v>
      </c>
      <c r="BH138" s="59">
        <f t="shared" si="116"/>
        <v>293.3333333333353</v>
      </c>
      <c r="BI138" s="59">
        <f ca="1">AVERAGE(OFFSET($BH$3,0,0,'Données projet'!$E$11+1,1))-AVERAGE(OFFSET($H$3,0,0,'Données projet'!$E$11+1,1))</f>
        <v>257.80952690600492</v>
      </c>
      <c r="BJ138" s="59">
        <f t="shared" si="146"/>
        <v>269.95358755269427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#VALUE!</v>
      </c>
      <c r="BQ138" s="21" t="e">
        <f>EXP(-LN(2)/25)*BQ137+(1-EXP(-LN(2)/25))/(LN(2)/25)*Calculateur!BL138*Calculateur!BN138*VLOOKUP('Données projet'!$B$11,Paramètres!$A$1:$I$89,3,0)*0.475*44/12</f>
        <v>#VALUE!</v>
      </c>
      <c r="BR138" s="21" t="e">
        <f>EXP(-LN(2)/2)*BR137+(1-EXP(-LN(2)/2))/(LN(2)/2)*BL138*BO138*VLOOKUP('Données projet'!$B$11,Paramètres!$A$1:$I$89,3,0)*0.475*44/12</f>
        <v>#VALUE!</v>
      </c>
      <c r="BS138" s="22" t="e">
        <f t="shared" si="117"/>
        <v>#VALUE!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-275.00000000000028</v>
      </c>
      <c r="BZ138" s="13">
        <f>BY138*VLOOKUP('Données projet'!$B$12,Paramètres!$A$1:$I$89,3,0)*VLOOKUP('Données projet'!$B$12,Paramètres!$A$1:$I$89,5,0)</f>
        <v>-214.50000000000023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286.5685205631126</v>
      </c>
      <c r="CE138" s="59">
        <f t="shared" si="148"/>
        <v>264.17357326498581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0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0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2.8421709430404007E-13</v>
      </c>
      <c r="O139" s="13">
        <f>N139*VLOOKUP('Données projet'!$B$9,Paramètres!$A$1:$I$89,3,0)*VLOOKUP('Données projet'!$B$9,Paramètres!$A$1:$I$89,5,0)</f>
        <v>2.5715962692629546E-13</v>
      </c>
      <c r="P139" s="13">
        <f t="shared" si="141"/>
        <v>3.4610450122128953E-12</v>
      </c>
      <c r="Q139" s="20">
        <f t="shared" si="108"/>
        <v>6.4758730798340893E-12</v>
      </c>
      <c r="R139" s="59">
        <f t="shared" si="109"/>
        <v>293.33333333333979</v>
      </c>
      <c r="S139" s="59">
        <f ca="1">AVERAGE(OFFSET($R$3,0,0,'Données projet'!$E$9+1,1))-AVERAGE(OFFSET($H$3,0,0,'Données projet'!$E$9+1,1))</f>
        <v>346.35147716792028</v>
      </c>
      <c r="T139" s="59">
        <f t="shared" si="142"/>
        <v>231.36959598460686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8.4976846782800016E-16</v>
      </c>
      <c r="AC139" s="22">
        <f t="shared" si="111"/>
        <v>8.4976846782800016E-16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2.8421709430404007E-13</v>
      </c>
      <c r="AJ139" s="13">
        <f>AI139*VLOOKUP('Données projet'!$B$10,Paramètres!$A$1:$I$89,3,0)*VLOOKUP('Données projet'!$B$10,Paramètres!$A$1:$I$89,5,0)</f>
        <v>2.5715962692629546E-13</v>
      </c>
      <c r="AK139" s="13">
        <f t="shared" si="143"/>
        <v>3.4610450122128953E-12</v>
      </c>
      <c r="AL139" s="20">
        <f t="shared" si="112"/>
        <v>6.4758730798340893E-12</v>
      </c>
      <c r="AM139" s="59">
        <f t="shared" si="113"/>
        <v>293.33333333333979</v>
      </c>
      <c r="AN139" s="59">
        <f ca="1">AVERAGE(OFFSET($AM$3,0,0,'Données projet'!$E$10+1,1))-AVERAGE(OFFSET($H$3,0,0,'Données projet'!$E$10+1,1))</f>
        <v>346.35147716792028</v>
      </c>
      <c r="AO139" s="59">
        <f t="shared" si="144"/>
        <v>231.36959598460686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8.4976846782800016E-16</v>
      </c>
      <c r="AX139" s="21">
        <f t="shared" si="114"/>
        <v>8.4976846782800016E-16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1.1368683772161603E-13</v>
      </c>
      <c r="BE139" s="13">
        <f>BD139*VLOOKUP('Données projet'!$B$11,Paramètres!$A$1:$I$89,3,0)*VLOOKUP('Données projet'!$B$11,Paramètres!$A$1:$I$89,5,0)</f>
        <v>6.7984728957526396E-14</v>
      </c>
      <c r="BF139" s="13">
        <f t="shared" si="145"/>
        <v>1.0682447123141398E-12</v>
      </c>
      <c r="BG139" s="20">
        <f t="shared" si="115"/>
        <v>1.978932943548152E-12</v>
      </c>
      <c r="BH139" s="59">
        <f t="shared" si="116"/>
        <v>293.3333333333353</v>
      </c>
      <c r="BI139" s="59">
        <f ca="1">AVERAGE(OFFSET($BH$3,0,0,'Données projet'!$E$11+1,1))-AVERAGE(OFFSET($H$3,0,0,'Données projet'!$E$11+1,1))</f>
        <v>257.80952690600492</v>
      </c>
      <c r="BJ139" s="59">
        <f t="shared" si="146"/>
        <v>269.95358755269427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#VALUE!</v>
      </c>
      <c r="BQ139" s="21" t="e">
        <f>EXP(-LN(2)/25)*BQ138+(1-EXP(-LN(2)/25))/(LN(2)/25)*Calculateur!BL139*Calculateur!BN139*VLOOKUP('Données projet'!$B$11,Paramètres!$A$1:$I$89,3,0)*0.475*44/12</f>
        <v>#VALUE!</v>
      </c>
      <c r="BR139" s="21" t="e">
        <f>EXP(-LN(2)/2)*BR138+(1-EXP(-LN(2)/2))/(LN(2)/2)*BL139*BO139*VLOOKUP('Données projet'!$B$11,Paramètres!$A$1:$I$89,3,0)*0.475*44/12</f>
        <v>#VALUE!</v>
      </c>
      <c r="BS139" s="22" t="e">
        <f t="shared" si="117"/>
        <v>#VALUE!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-275.00000000000028</v>
      </c>
      <c r="BZ139" s="13">
        <f>BY139*VLOOKUP('Données projet'!$B$12,Paramètres!$A$1:$I$89,3,0)*VLOOKUP('Données projet'!$B$12,Paramètres!$A$1:$I$89,5,0)</f>
        <v>-214.50000000000023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286.5685205631126</v>
      </c>
      <c r="CE139" s="59">
        <f t="shared" si="148"/>
        <v>264.17357326498581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0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0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2.8421709430404007E-13</v>
      </c>
      <c r="O140" s="13">
        <f>N140*VLOOKUP('Données projet'!$B$9,Paramètres!$A$1:$I$89,3,0)*VLOOKUP('Données projet'!$B$9,Paramètres!$A$1:$I$89,5,0)</f>
        <v>2.5715962692629546E-13</v>
      </c>
      <c r="P140" s="13">
        <f t="shared" si="141"/>
        <v>3.4610450122128953E-12</v>
      </c>
      <c r="Q140" s="20">
        <f t="shared" si="108"/>
        <v>6.4758730798340893E-12</v>
      </c>
      <c r="R140" s="59">
        <f t="shared" si="109"/>
        <v>293.33333333333979</v>
      </c>
      <c r="S140" s="59">
        <f ca="1">AVERAGE(OFFSET($R$3,0,0,'Données projet'!$E$9+1,1))-AVERAGE(OFFSET($H$3,0,0,'Données projet'!$E$9+1,1))</f>
        <v>346.35147716792028</v>
      </c>
      <c r="T140" s="59">
        <f t="shared" si="142"/>
        <v>231.36959598460686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6.0087704603968145E-16</v>
      </c>
      <c r="AC140" s="22">
        <f t="shared" si="111"/>
        <v>6.0087704603968145E-16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2.8421709430404007E-13</v>
      </c>
      <c r="AJ140" s="13">
        <f>AI140*VLOOKUP('Données projet'!$B$10,Paramètres!$A$1:$I$89,3,0)*VLOOKUP('Données projet'!$B$10,Paramètres!$A$1:$I$89,5,0)</f>
        <v>2.5715962692629546E-13</v>
      </c>
      <c r="AK140" s="13">
        <f t="shared" si="143"/>
        <v>3.4610450122128953E-12</v>
      </c>
      <c r="AL140" s="20">
        <f t="shared" si="112"/>
        <v>6.4758730798340893E-12</v>
      </c>
      <c r="AM140" s="59">
        <f t="shared" si="113"/>
        <v>293.33333333333979</v>
      </c>
      <c r="AN140" s="59">
        <f ca="1">AVERAGE(OFFSET($AM$3,0,0,'Données projet'!$E$10+1,1))-AVERAGE(OFFSET($H$3,0,0,'Données projet'!$E$10+1,1))</f>
        <v>346.35147716792028</v>
      </c>
      <c r="AO140" s="59">
        <f t="shared" si="144"/>
        <v>231.36959598460686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6.0087704603968145E-16</v>
      </c>
      <c r="AX140" s="21">
        <f t="shared" si="114"/>
        <v>6.0087704603968145E-16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1.1368683772161603E-13</v>
      </c>
      <c r="BE140" s="13">
        <f>BD140*VLOOKUP('Données projet'!$B$11,Paramètres!$A$1:$I$89,3,0)*VLOOKUP('Données projet'!$B$11,Paramètres!$A$1:$I$89,5,0)</f>
        <v>6.7984728957526396E-14</v>
      </c>
      <c r="BF140" s="13">
        <f t="shared" si="145"/>
        <v>1.0682447123141398E-12</v>
      </c>
      <c r="BG140" s="20">
        <f t="shared" si="115"/>
        <v>1.978932943548152E-12</v>
      </c>
      <c r="BH140" s="59">
        <f t="shared" si="116"/>
        <v>293.3333333333353</v>
      </c>
      <c r="BI140" s="59">
        <f ca="1">AVERAGE(OFFSET($BH$3,0,0,'Données projet'!$E$11+1,1))-AVERAGE(OFFSET($H$3,0,0,'Données projet'!$E$11+1,1))</f>
        <v>257.80952690600492</v>
      </c>
      <c r="BJ140" s="59">
        <f t="shared" si="146"/>
        <v>269.95358755269427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#VALUE!</v>
      </c>
      <c r="BQ140" s="21" t="e">
        <f>EXP(-LN(2)/25)*BQ139+(1-EXP(-LN(2)/25))/(LN(2)/25)*Calculateur!BL140*Calculateur!BN140*VLOOKUP('Données projet'!$B$11,Paramètres!$A$1:$I$89,3,0)*0.475*44/12</f>
        <v>#VALUE!</v>
      </c>
      <c r="BR140" s="21" t="e">
        <f>EXP(-LN(2)/2)*BR139+(1-EXP(-LN(2)/2))/(LN(2)/2)*BL140*BO140*VLOOKUP('Données projet'!$B$11,Paramètres!$A$1:$I$89,3,0)*0.475*44/12</f>
        <v>#VALUE!</v>
      </c>
      <c r="BS140" s="22" t="e">
        <f t="shared" si="117"/>
        <v>#VALUE!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-275.00000000000028</v>
      </c>
      <c r="BZ140" s="13">
        <f>BY140*VLOOKUP('Données projet'!$B$12,Paramètres!$A$1:$I$89,3,0)*VLOOKUP('Données projet'!$B$12,Paramètres!$A$1:$I$89,5,0)</f>
        <v>-214.50000000000023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286.5685205631126</v>
      </c>
      <c r="CE140" s="59">
        <f t="shared" si="148"/>
        <v>264.17357326498581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0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0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2.8421709430404007E-13</v>
      </c>
      <c r="O141" s="13">
        <f>N141*VLOOKUP('Données projet'!$B$9,Paramètres!$A$1:$I$89,3,0)*VLOOKUP('Données projet'!$B$9,Paramètres!$A$1:$I$89,5,0)</f>
        <v>2.5715962692629546E-13</v>
      </c>
      <c r="P141" s="13">
        <f t="shared" si="141"/>
        <v>3.4610450122128953E-12</v>
      </c>
      <c r="Q141" s="20">
        <f t="shared" si="108"/>
        <v>6.4758730798340893E-12</v>
      </c>
      <c r="R141" s="59">
        <f t="shared" si="109"/>
        <v>293.33333333333979</v>
      </c>
      <c r="S141" s="59">
        <f ca="1">AVERAGE(OFFSET($R$3,0,0,'Données projet'!$E$9+1,1))-AVERAGE(OFFSET($H$3,0,0,'Données projet'!$E$9+1,1))</f>
        <v>346.35147716792028</v>
      </c>
      <c r="T141" s="59">
        <f t="shared" si="142"/>
        <v>231.36959598460686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4.2488423391400008E-16</v>
      </c>
      <c r="AC141" s="22">
        <f t="shared" si="111"/>
        <v>4.2488423391400008E-16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2.8421709430404007E-13</v>
      </c>
      <c r="AJ141" s="13">
        <f>AI141*VLOOKUP('Données projet'!$B$10,Paramètres!$A$1:$I$89,3,0)*VLOOKUP('Données projet'!$B$10,Paramètres!$A$1:$I$89,5,0)</f>
        <v>2.5715962692629546E-13</v>
      </c>
      <c r="AK141" s="13">
        <f t="shared" si="143"/>
        <v>3.4610450122128953E-12</v>
      </c>
      <c r="AL141" s="20">
        <f t="shared" si="112"/>
        <v>6.4758730798340893E-12</v>
      </c>
      <c r="AM141" s="59">
        <f t="shared" si="113"/>
        <v>293.33333333333979</v>
      </c>
      <c r="AN141" s="59">
        <f ca="1">AVERAGE(OFFSET($AM$3,0,0,'Données projet'!$E$10+1,1))-AVERAGE(OFFSET($H$3,0,0,'Données projet'!$E$10+1,1))</f>
        <v>346.35147716792028</v>
      </c>
      <c r="AO141" s="59">
        <f t="shared" si="144"/>
        <v>231.36959598460686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4.2488423391400008E-16</v>
      </c>
      <c r="AX141" s="21">
        <f t="shared" si="114"/>
        <v>4.2488423391400008E-16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1.1368683772161603E-13</v>
      </c>
      <c r="BE141" s="13">
        <f>BD141*VLOOKUP('Données projet'!$B$11,Paramètres!$A$1:$I$89,3,0)*VLOOKUP('Données projet'!$B$11,Paramètres!$A$1:$I$89,5,0)</f>
        <v>6.7984728957526396E-14</v>
      </c>
      <c r="BF141" s="13">
        <f t="shared" si="145"/>
        <v>1.0682447123141398E-12</v>
      </c>
      <c r="BG141" s="20">
        <f t="shared" si="115"/>
        <v>1.978932943548152E-12</v>
      </c>
      <c r="BH141" s="59">
        <f t="shared" si="116"/>
        <v>293.3333333333353</v>
      </c>
      <c r="BI141" s="59">
        <f ca="1">AVERAGE(OFFSET($BH$3,0,0,'Données projet'!$E$11+1,1))-AVERAGE(OFFSET($H$3,0,0,'Données projet'!$E$11+1,1))</f>
        <v>257.80952690600492</v>
      </c>
      <c r="BJ141" s="59">
        <f t="shared" si="146"/>
        <v>269.95358755269427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#VALUE!</v>
      </c>
      <c r="BQ141" s="21" t="e">
        <f>EXP(-LN(2)/25)*BQ140+(1-EXP(-LN(2)/25))/(LN(2)/25)*Calculateur!BL141*Calculateur!BN141*VLOOKUP('Données projet'!$B$11,Paramètres!$A$1:$I$89,3,0)*0.475*44/12</f>
        <v>#VALUE!</v>
      </c>
      <c r="BR141" s="21" t="e">
        <f>EXP(-LN(2)/2)*BR140+(1-EXP(-LN(2)/2))/(LN(2)/2)*BL141*BO141*VLOOKUP('Données projet'!$B$11,Paramètres!$A$1:$I$89,3,0)*0.475*44/12</f>
        <v>#VALUE!</v>
      </c>
      <c r="BS141" s="22" t="e">
        <f t="shared" si="117"/>
        <v>#VALUE!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-275.00000000000028</v>
      </c>
      <c r="BZ141" s="13">
        <f>BY141*VLOOKUP('Données projet'!$B$12,Paramètres!$A$1:$I$89,3,0)*VLOOKUP('Données projet'!$B$12,Paramètres!$A$1:$I$89,5,0)</f>
        <v>-214.50000000000023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286.5685205631126</v>
      </c>
      <c r="CE141" s="59">
        <f t="shared" si="148"/>
        <v>264.17357326498581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0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0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2.8421709430404007E-13</v>
      </c>
      <c r="O142" s="13">
        <f>N142*VLOOKUP('Données projet'!$B$9,Paramètres!$A$1:$I$89,3,0)*VLOOKUP('Données projet'!$B$9,Paramètres!$A$1:$I$89,5,0)</f>
        <v>2.5715962692629546E-13</v>
      </c>
      <c r="P142" s="13">
        <f t="shared" si="141"/>
        <v>3.4610450122128953E-12</v>
      </c>
      <c r="Q142" s="20">
        <f t="shared" si="108"/>
        <v>6.4758730798340893E-12</v>
      </c>
      <c r="R142" s="59">
        <f t="shared" si="109"/>
        <v>293.33333333333979</v>
      </c>
      <c r="S142" s="59">
        <f ca="1">AVERAGE(OFFSET($R$3,0,0,'Données projet'!$E$9+1,1))-AVERAGE(OFFSET($H$3,0,0,'Données projet'!$E$9+1,1))</f>
        <v>346.35147716792028</v>
      </c>
      <c r="T142" s="59">
        <f t="shared" si="142"/>
        <v>231.36959598460686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3.0043852301984073E-16</v>
      </c>
      <c r="AC142" s="22">
        <f t="shared" si="111"/>
        <v>3.0043852301984073E-16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2.8421709430404007E-13</v>
      </c>
      <c r="AJ142" s="13">
        <f>AI142*VLOOKUP('Données projet'!$B$10,Paramètres!$A$1:$I$89,3,0)*VLOOKUP('Données projet'!$B$10,Paramètres!$A$1:$I$89,5,0)</f>
        <v>2.5715962692629546E-13</v>
      </c>
      <c r="AK142" s="13">
        <f t="shared" si="143"/>
        <v>3.4610450122128953E-12</v>
      </c>
      <c r="AL142" s="20">
        <f t="shared" si="112"/>
        <v>6.4758730798340893E-12</v>
      </c>
      <c r="AM142" s="59">
        <f t="shared" si="113"/>
        <v>293.33333333333979</v>
      </c>
      <c r="AN142" s="59">
        <f ca="1">AVERAGE(OFFSET($AM$3,0,0,'Données projet'!$E$10+1,1))-AVERAGE(OFFSET($H$3,0,0,'Données projet'!$E$10+1,1))</f>
        <v>346.35147716792028</v>
      </c>
      <c r="AO142" s="59">
        <f t="shared" si="144"/>
        <v>231.36959598460686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3.0043852301984073E-16</v>
      </c>
      <c r="AX142" s="21">
        <f t="shared" si="114"/>
        <v>3.0043852301984073E-16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1.1368683772161603E-13</v>
      </c>
      <c r="BE142" s="13">
        <f>BD142*VLOOKUP('Données projet'!$B$11,Paramètres!$A$1:$I$89,3,0)*VLOOKUP('Données projet'!$B$11,Paramètres!$A$1:$I$89,5,0)</f>
        <v>6.7984728957526396E-14</v>
      </c>
      <c r="BF142" s="13">
        <f t="shared" si="145"/>
        <v>1.0682447123141398E-12</v>
      </c>
      <c r="BG142" s="20">
        <f t="shared" si="115"/>
        <v>1.978932943548152E-12</v>
      </c>
      <c r="BH142" s="59">
        <f t="shared" si="116"/>
        <v>293.3333333333353</v>
      </c>
      <c r="BI142" s="59">
        <f ca="1">AVERAGE(OFFSET($BH$3,0,0,'Données projet'!$E$11+1,1))-AVERAGE(OFFSET($H$3,0,0,'Données projet'!$E$11+1,1))</f>
        <v>257.80952690600492</v>
      </c>
      <c r="BJ142" s="59">
        <f t="shared" si="146"/>
        <v>269.95358755269427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#VALUE!</v>
      </c>
      <c r="BQ142" s="21" t="e">
        <f>EXP(-LN(2)/25)*BQ141+(1-EXP(-LN(2)/25))/(LN(2)/25)*Calculateur!BL142*Calculateur!BN142*VLOOKUP('Données projet'!$B$11,Paramètres!$A$1:$I$89,3,0)*0.475*44/12</f>
        <v>#VALUE!</v>
      </c>
      <c r="BR142" s="21" t="e">
        <f>EXP(-LN(2)/2)*BR141+(1-EXP(-LN(2)/2))/(LN(2)/2)*BL142*BO142*VLOOKUP('Données projet'!$B$11,Paramètres!$A$1:$I$89,3,0)*0.475*44/12</f>
        <v>#VALUE!</v>
      </c>
      <c r="BS142" s="22" t="e">
        <f t="shared" si="117"/>
        <v>#VALUE!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-275.00000000000028</v>
      </c>
      <c r="BZ142" s="13">
        <f>BY142*VLOOKUP('Données projet'!$B$12,Paramètres!$A$1:$I$89,3,0)*VLOOKUP('Données projet'!$B$12,Paramètres!$A$1:$I$89,5,0)</f>
        <v>-214.50000000000023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286.5685205631126</v>
      </c>
      <c r="CE142" s="59">
        <f t="shared" si="148"/>
        <v>264.17357326498581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0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0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2.8421709430404007E-13</v>
      </c>
      <c r="O143" s="13">
        <f>N143*VLOOKUP('Données projet'!$B$9,Paramètres!$A$1:$I$89,3,0)*VLOOKUP('Données projet'!$B$9,Paramètres!$A$1:$I$89,5,0)</f>
        <v>2.5715962692629546E-13</v>
      </c>
      <c r="P143" s="13">
        <f t="shared" si="141"/>
        <v>3.4610450122128953E-12</v>
      </c>
      <c r="Q143" s="20">
        <f t="shared" si="108"/>
        <v>6.4758730798340893E-12</v>
      </c>
      <c r="R143" s="59">
        <f t="shared" si="109"/>
        <v>293.33333333333979</v>
      </c>
      <c r="S143" s="59">
        <f ca="1">AVERAGE(OFFSET($R$3,0,0,'Données projet'!$E$9+1,1))-AVERAGE(OFFSET($H$3,0,0,'Données projet'!$E$9+1,1))</f>
        <v>346.35147716792028</v>
      </c>
      <c r="T143" s="59">
        <f t="shared" si="142"/>
        <v>231.36959598460686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2.1244211695700004E-16</v>
      </c>
      <c r="AC143" s="22">
        <f t="shared" si="111"/>
        <v>2.1244211695700004E-16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2.8421709430404007E-13</v>
      </c>
      <c r="AJ143" s="13">
        <f>AI143*VLOOKUP('Données projet'!$B$10,Paramètres!$A$1:$I$89,3,0)*VLOOKUP('Données projet'!$B$10,Paramètres!$A$1:$I$89,5,0)</f>
        <v>2.5715962692629546E-13</v>
      </c>
      <c r="AK143" s="13">
        <f t="shared" si="143"/>
        <v>3.4610450122128953E-12</v>
      </c>
      <c r="AL143" s="20">
        <f t="shared" si="112"/>
        <v>6.4758730798340893E-12</v>
      </c>
      <c r="AM143" s="59">
        <f t="shared" si="113"/>
        <v>293.33333333333979</v>
      </c>
      <c r="AN143" s="59">
        <f ca="1">AVERAGE(OFFSET($AM$3,0,0,'Données projet'!$E$10+1,1))-AVERAGE(OFFSET($H$3,0,0,'Données projet'!$E$10+1,1))</f>
        <v>346.35147716792028</v>
      </c>
      <c r="AO143" s="59">
        <f t="shared" si="144"/>
        <v>231.36959598460686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2.1244211695700004E-16</v>
      </c>
      <c r="AX143" s="21">
        <f t="shared" si="114"/>
        <v>2.1244211695700004E-16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1.1368683772161603E-13</v>
      </c>
      <c r="BE143" s="13">
        <f>BD143*VLOOKUP('Données projet'!$B$11,Paramètres!$A$1:$I$89,3,0)*VLOOKUP('Données projet'!$B$11,Paramètres!$A$1:$I$89,5,0)</f>
        <v>6.7984728957526396E-14</v>
      </c>
      <c r="BF143" s="13">
        <f t="shared" si="145"/>
        <v>1.0682447123141398E-12</v>
      </c>
      <c r="BG143" s="20">
        <f t="shared" si="115"/>
        <v>1.978932943548152E-12</v>
      </c>
      <c r="BH143" s="59">
        <f t="shared" si="116"/>
        <v>293.3333333333353</v>
      </c>
      <c r="BI143" s="59">
        <f ca="1">AVERAGE(OFFSET($BH$3,0,0,'Données projet'!$E$11+1,1))-AVERAGE(OFFSET($H$3,0,0,'Données projet'!$E$11+1,1))</f>
        <v>257.80952690600492</v>
      </c>
      <c r="BJ143" s="59">
        <f t="shared" si="146"/>
        <v>269.95358755269427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#VALUE!</v>
      </c>
      <c r="BQ143" s="21" t="e">
        <f>EXP(-LN(2)/25)*BQ142+(1-EXP(-LN(2)/25))/(LN(2)/25)*Calculateur!BL143*Calculateur!BN143*VLOOKUP('Données projet'!$B$11,Paramètres!$A$1:$I$89,3,0)*0.475*44/12</f>
        <v>#VALUE!</v>
      </c>
      <c r="BR143" s="21" t="e">
        <f>EXP(-LN(2)/2)*BR142+(1-EXP(-LN(2)/2))/(LN(2)/2)*BL143*BO143*VLOOKUP('Données projet'!$B$11,Paramètres!$A$1:$I$89,3,0)*0.475*44/12</f>
        <v>#VALUE!</v>
      </c>
      <c r="BS143" s="22" t="e">
        <f t="shared" si="117"/>
        <v>#VALUE!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-275.00000000000028</v>
      </c>
      <c r="BZ143" s="13">
        <f>BY143*VLOOKUP('Données projet'!$B$12,Paramètres!$A$1:$I$89,3,0)*VLOOKUP('Données projet'!$B$12,Paramètres!$A$1:$I$89,5,0)</f>
        <v>-214.50000000000023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286.5685205631126</v>
      </c>
      <c r="CE143" s="59">
        <f t="shared" si="148"/>
        <v>264.17357326498581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0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0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2.8421709430404007E-13</v>
      </c>
      <c r="O144" s="13">
        <f>N144*VLOOKUP('Données projet'!$B$9,Paramètres!$A$1:$I$89,3,0)*VLOOKUP('Données projet'!$B$9,Paramètres!$A$1:$I$89,5,0)</f>
        <v>2.5715962692629546E-13</v>
      </c>
      <c r="P144" s="13">
        <f t="shared" si="141"/>
        <v>3.4610450122128953E-12</v>
      </c>
      <c r="Q144" s="20">
        <f t="shared" si="108"/>
        <v>6.4758730798340893E-12</v>
      </c>
      <c r="R144" s="59">
        <f t="shared" si="109"/>
        <v>293.33333333333979</v>
      </c>
      <c r="S144" s="59">
        <f ca="1">AVERAGE(OFFSET($R$3,0,0,'Données projet'!$E$9+1,1))-AVERAGE(OFFSET($H$3,0,0,'Données projet'!$E$9+1,1))</f>
        <v>346.35147716792028</v>
      </c>
      <c r="T144" s="59">
        <f t="shared" si="142"/>
        <v>231.36959598460686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1.5021926150992036E-16</v>
      </c>
      <c r="AC144" s="22">
        <f t="shared" si="111"/>
        <v>1.5021926150992036E-16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2.8421709430404007E-13</v>
      </c>
      <c r="AJ144" s="13">
        <f>AI144*VLOOKUP('Données projet'!$B$10,Paramètres!$A$1:$I$89,3,0)*VLOOKUP('Données projet'!$B$10,Paramètres!$A$1:$I$89,5,0)</f>
        <v>2.5715962692629546E-13</v>
      </c>
      <c r="AK144" s="13">
        <f t="shared" si="143"/>
        <v>3.4610450122128953E-12</v>
      </c>
      <c r="AL144" s="20">
        <f t="shared" si="112"/>
        <v>6.4758730798340893E-12</v>
      </c>
      <c r="AM144" s="59">
        <f t="shared" si="113"/>
        <v>293.33333333333979</v>
      </c>
      <c r="AN144" s="59">
        <f ca="1">AVERAGE(OFFSET($AM$3,0,0,'Données projet'!$E$10+1,1))-AVERAGE(OFFSET($H$3,0,0,'Données projet'!$E$10+1,1))</f>
        <v>346.35147716792028</v>
      </c>
      <c r="AO144" s="59">
        <f t="shared" si="144"/>
        <v>231.36959598460686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1.5021926150992036E-16</v>
      </c>
      <c r="AX144" s="21">
        <f t="shared" si="114"/>
        <v>1.5021926150992036E-16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1.1368683772161603E-13</v>
      </c>
      <c r="BE144" s="13">
        <f>BD144*VLOOKUP('Données projet'!$B$11,Paramètres!$A$1:$I$89,3,0)*VLOOKUP('Données projet'!$B$11,Paramètres!$A$1:$I$89,5,0)</f>
        <v>6.7984728957526396E-14</v>
      </c>
      <c r="BF144" s="13">
        <f t="shared" si="145"/>
        <v>1.0682447123141398E-12</v>
      </c>
      <c r="BG144" s="20">
        <f t="shared" si="115"/>
        <v>1.978932943548152E-12</v>
      </c>
      <c r="BH144" s="59">
        <f t="shared" si="116"/>
        <v>293.3333333333353</v>
      </c>
      <c r="BI144" s="59">
        <f ca="1">AVERAGE(OFFSET($BH$3,0,0,'Données projet'!$E$11+1,1))-AVERAGE(OFFSET($H$3,0,0,'Données projet'!$E$11+1,1))</f>
        <v>257.80952690600492</v>
      </c>
      <c r="BJ144" s="59">
        <f t="shared" si="146"/>
        <v>269.95358755269427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#VALUE!</v>
      </c>
      <c r="BQ144" s="21" t="e">
        <f>EXP(-LN(2)/25)*BQ143+(1-EXP(-LN(2)/25))/(LN(2)/25)*Calculateur!BL144*Calculateur!BN144*VLOOKUP('Données projet'!$B$11,Paramètres!$A$1:$I$89,3,0)*0.475*44/12</f>
        <v>#VALUE!</v>
      </c>
      <c r="BR144" s="21" t="e">
        <f>EXP(-LN(2)/2)*BR143+(1-EXP(-LN(2)/2))/(LN(2)/2)*BL144*BO144*VLOOKUP('Données projet'!$B$11,Paramètres!$A$1:$I$89,3,0)*0.475*44/12</f>
        <v>#VALUE!</v>
      </c>
      <c r="BS144" s="22" t="e">
        <f t="shared" si="117"/>
        <v>#VALUE!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-275.00000000000028</v>
      </c>
      <c r="BZ144" s="13">
        <f>BY144*VLOOKUP('Données projet'!$B$12,Paramètres!$A$1:$I$89,3,0)*VLOOKUP('Données projet'!$B$12,Paramètres!$A$1:$I$89,5,0)</f>
        <v>-214.50000000000023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286.5685205631126</v>
      </c>
      <c r="CE144" s="59">
        <f t="shared" si="148"/>
        <v>264.17357326498581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0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0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2.8421709430404007E-13</v>
      </c>
      <c r="O145" s="13">
        <f>N145*VLOOKUP('Données projet'!$B$9,Paramètres!$A$1:$I$89,3,0)*VLOOKUP('Données projet'!$B$9,Paramètres!$A$1:$I$89,5,0)</f>
        <v>2.5715962692629546E-13</v>
      </c>
      <c r="P145" s="13">
        <f t="shared" si="141"/>
        <v>3.4610450122128953E-12</v>
      </c>
      <c r="Q145" s="20">
        <f t="shared" si="108"/>
        <v>6.4758730798340893E-12</v>
      </c>
      <c r="R145" s="59">
        <f t="shared" si="109"/>
        <v>293.33333333333979</v>
      </c>
      <c r="S145" s="59">
        <f ca="1">AVERAGE(OFFSET($R$3,0,0,'Données projet'!$E$9+1,1))-AVERAGE(OFFSET($H$3,0,0,'Données projet'!$E$9+1,1))</f>
        <v>346.35147716792028</v>
      </c>
      <c r="T145" s="59">
        <f t="shared" si="142"/>
        <v>231.36959598460686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1.0622105847850002E-16</v>
      </c>
      <c r="AC145" s="22">
        <f t="shared" si="111"/>
        <v>1.0622105847850002E-16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2.8421709430404007E-13</v>
      </c>
      <c r="AJ145" s="13">
        <f>AI145*VLOOKUP('Données projet'!$B$10,Paramètres!$A$1:$I$89,3,0)*VLOOKUP('Données projet'!$B$10,Paramètres!$A$1:$I$89,5,0)</f>
        <v>2.5715962692629546E-13</v>
      </c>
      <c r="AK145" s="13">
        <f t="shared" si="143"/>
        <v>3.4610450122128953E-12</v>
      </c>
      <c r="AL145" s="20">
        <f t="shared" si="112"/>
        <v>6.4758730798340893E-12</v>
      </c>
      <c r="AM145" s="59">
        <f t="shared" si="113"/>
        <v>293.33333333333979</v>
      </c>
      <c r="AN145" s="59">
        <f ca="1">AVERAGE(OFFSET($AM$3,0,0,'Données projet'!$E$10+1,1))-AVERAGE(OFFSET($H$3,0,0,'Données projet'!$E$10+1,1))</f>
        <v>346.35147716792028</v>
      </c>
      <c r="AO145" s="59">
        <f t="shared" si="144"/>
        <v>231.36959598460686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1.0622105847850002E-16</v>
      </c>
      <c r="AX145" s="21">
        <f t="shared" si="114"/>
        <v>1.0622105847850002E-16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1.1368683772161603E-13</v>
      </c>
      <c r="BE145" s="13">
        <f>BD145*VLOOKUP('Données projet'!$B$11,Paramètres!$A$1:$I$89,3,0)*VLOOKUP('Données projet'!$B$11,Paramètres!$A$1:$I$89,5,0)</f>
        <v>6.7984728957526396E-14</v>
      </c>
      <c r="BF145" s="13">
        <f t="shared" si="145"/>
        <v>1.0682447123141398E-12</v>
      </c>
      <c r="BG145" s="20">
        <f t="shared" si="115"/>
        <v>1.978932943548152E-12</v>
      </c>
      <c r="BH145" s="59">
        <f t="shared" si="116"/>
        <v>293.3333333333353</v>
      </c>
      <c r="BI145" s="59">
        <f ca="1">AVERAGE(OFFSET($BH$3,0,0,'Données projet'!$E$11+1,1))-AVERAGE(OFFSET($H$3,0,0,'Données projet'!$E$11+1,1))</f>
        <v>257.80952690600492</v>
      </c>
      <c r="BJ145" s="59">
        <f t="shared" si="146"/>
        <v>269.95358755269427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#VALUE!</v>
      </c>
      <c r="BQ145" s="21" t="e">
        <f>EXP(-LN(2)/25)*BQ144+(1-EXP(-LN(2)/25))/(LN(2)/25)*Calculateur!BL145*Calculateur!BN145*VLOOKUP('Données projet'!$B$11,Paramètres!$A$1:$I$89,3,0)*0.475*44/12</f>
        <v>#VALUE!</v>
      </c>
      <c r="BR145" s="21" t="e">
        <f>EXP(-LN(2)/2)*BR144+(1-EXP(-LN(2)/2))/(LN(2)/2)*BL145*BO145*VLOOKUP('Données projet'!$B$11,Paramètres!$A$1:$I$89,3,0)*0.475*44/12</f>
        <v>#VALUE!</v>
      </c>
      <c r="BS145" s="22" t="e">
        <f t="shared" si="117"/>
        <v>#VALUE!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-275.00000000000028</v>
      </c>
      <c r="BZ145" s="13">
        <f>BY145*VLOOKUP('Données projet'!$B$12,Paramètres!$A$1:$I$89,3,0)*VLOOKUP('Données projet'!$B$12,Paramètres!$A$1:$I$89,5,0)</f>
        <v>-214.50000000000023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286.5685205631126</v>
      </c>
      <c r="CE145" s="59">
        <f t="shared" si="148"/>
        <v>264.17357326498581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0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0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2.8421709430404007E-13</v>
      </c>
      <c r="O146" s="13">
        <f>N146*VLOOKUP('Données projet'!$B$9,Paramètres!$A$1:$I$89,3,0)*VLOOKUP('Données projet'!$B$9,Paramètres!$A$1:$I$89,5,0)</f>
        <v>2.5715962692629546E-13</v>
      </c>
      <c r="P146" s="13">
        <f t="shared" si="141"/>
        <v>3.4610450122128953E-12</v>
      </c>
      <c r="Q146" s="20">
        <f t="shared" si="108"/>
        <v>6.4758730798340893E-12</v>
      </c>
      <c r="R146" s="59">
        <f t="shared" si="109"/>
        <v>293.33333333333979</v>
      </c>
      <c r="S146" s="59">
        <f ca="1">AVERAGE(OFFSET($R$3,0,0,'Données projet'!$E$9+1,1))-AVERAGE(OFFSET($H$3,0,0,'Données projet'!$E$9+1,1))</f>
        <v>346.35147716792028</v>
      </c>
      <c r="T146" s="59">
        <f t="shared" si="142"/>
        <v>231.36959598460686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7.5109630754960181E-17</v>
      </c>
      <c r="AC146" s="22">
        <f t="shared" si="111"/>
        <v>7.5109630754960181E-17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2.8421709430404007E-13</v>
      </c>
      <c r="AJ146" s="13">
        <f>AI146*VLOOKUP('Données projet'!$B$10,Paramètres!$A$1:$I$89,3,0)*VLOOKUP('Données projet'!$B$10,Paramètres!$A$1:$I$89,5,0)</f>
        <v>2.5715962692629546E-13</v>
      </c>
      <c r="AK146" s="13">
        <f t="shared" si="143"/>
        <v>3.4610450122128953E-12</v>
      </c>
      <c r="AL146" s="20">
        <f t="shared" si="112"/>
        <v>6.4758730798340893E-12</v>
      </c>
      <c r="AM146" s="59">
        <f t="shared" si="113"/>
        <v>293.33333333333979</v>
      </c>
      <c r="AN146" s="59">
        <f ca="1">AVERAGE(OFFSET($AM$3,0,0,'Données projet'!$E$10+1,1))-AVERAGE(OFFSET($H$3,0,0,'Données projet'!$E$10+1,1))</f>
        <v>346.35147716792028</v>
      </c>
      <c r="AO146" s="59">
        <f t="shared" si="144"/>
        <v>231.36959598460686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7.5109630754960181E-17</v>
      </c>
      <c r="AX146" s="21">
        <f t="shared" si="114"/>
        <v>7.5109630754960181E-17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1.1368683772161603E-13</v>
      </c>
      <c r="BE146" s="13">
        <f>BD146*VLOOKUP('Données projet'!$B$11,Paramètres!$A$1:$I$89,3,0)*VLOOKUP('Données projet'!$B$11,Paramètres!$A$1:$I$89,5,0)</f>
        <v>6.7984728957526396E-14</v>
      </c>
      <c r="BF146" s="13">
        <f t="shared" si="145"/>
        <v>1.0682447123141398E-12</v>
      </c>
      <c r="BG146" s="20">
        <f t="shared" si="115"/>
        <v>1.978932943548152E-12</v>
      </c>
      <c r="BH146" s="59">
        <f t="shared" si="116"/>
        <v>293.3333333333353</v>
      </c>
      <c r="BI146" s="59">
        <f ca="1">AVERAGE(OFFSET($BH$3,0,0,'Données projet'!$E$11+1,1))-AVERAGE(OFFSET($H$3,0,0,'Données projet'!$E$11+1,1))</f>
        <v>257.80952690600492</v>
      </c>
      <c r="BJ146" s="59">
        <f t="shared" si="146"/>
        <v>269.95358755269427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#VALUE!</v>
      </c>
      <c r="BQ146" s="21" t="e">
        <f>EXP(-LN(2)/25)*BQ145+(1-EXP(-LN(2)/25))/(LN(2)/25)*Calculateur!BL146*Calculateur!BN146*VLOOKUP('Données projet'!$B$11,Paramètres!$A$1:$I$89,3,0)*0.475*44/12</f>
        <v>#VALUE!</v>
      </c>
      <c r="BR146" s="21" t="e">
        <f>EXP(-LN(2)/2)*BR145+(1-EXP(-LN(2)/2))/(LN(2)/2)*BL146*BO146*VLOOKUP('Données projet'!$B$11,Paramètres!$A$1:$I$89,3,0)*0.475*44/12</f>
        <v>#VALUE!</v>
      </c>
      <c r="BS146" s="22" t="e">
        <f t="shared" si="117"/>
        <v>#VALUE!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-275.00000000000028</v>
      </c>
      <c r="BZ146" s="13">
        <f>BY146*VLOOKUP('Données projet'!$B$12,Paramètres!$A$1:$I$89,3,0)*VLOOKUP('Données projet'!$B$12,Paramètres!$A$1:$I$89,5,0)</f>
        <v>-214.50000000000023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286.5685205631126</v>
      </c>
      <c r="CE146" s="59">
        <f t="shared" si="148"/>
        <v>264.17357326498581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0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0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2.8421709430404007E-13</v>
      </c>
      <c r="O147" s="13">
        <f>N147*VLOOKUP('Données projet'!$B$9,Paramètres!$A$1:$I$89,3,0)*VLOOKUP('Données projet'!$B$9,Paramètres!$A$1:$I$89,5,0)</f>
        <v>2.5715962692629546E-13</v>
      </c>
      <c r="P147" s="13">
        <f t="shared" si="141"/>
        <v>3.4610450122128953E-12</v>
      </c>
      <c r="Q147" s="20">
        <f t="shared" si="108"/>
        <v>6.4758730798340893E-12</v>
      </c>
      <c r="R147" s="59">
        <f t="shared" si="109"/>
        <v>293.33333333333979</v>
      </c>
      <c r="S147" s="59">
        <f ca="1">AVERAGE(OFFSET($R$3,0,0,'Données projet'!$E$9+1,1))-AVERAGE(OFFSET($H$3,0,0,'Données projet'!$E$9+1,1))</f>
        <v>346.35147716792028</v>
      </c>
      <c r="T147" s="59">
        <f t="shared" si="142"/>
        <v>231.36959598460686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5.311052923925001E-17</v>
      </c>
      <c r="AC147" s="22">
        <f t="shared" si="111"/>
        <v>5.311052923925001E-17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2.8421709430404007E-13</v>
      </c>
      <c r="AJ147" s="13">
        <f>AI147*VLOOKUP('Données projet'!$B$10,Paramètres!$A$1:$I$89,3,0)*VLOOKUP('Données projet'!$B$10,Paramètres!$A$1:$I$89,5,0)</f>
        <v>2.5715962692629546E-13</v>
      </c>
      <c r="AK147" s="13">
        <f t="shared" si="143"/>
        <v>3.4610450122128953E-12</v>
      </c>
      <c r="AL147" s="20">
        <f t="shared" si="112"/>
        <v>6.4758730798340893E-12</v>
      </c>
      <c r="AM147" s="59">
        <f t="shared" si="113"/>
        <v>293.33333333333979</v>
      </c>
      <c r="AN147" s="59">
        <f ca="1">AVERAGE(OFFSET($AM$3,0,0,'Données projet'!$E$10+1,1))-AVERAGE(OFFSET($H$3,0,0,'Données projet'!$E$10+1,1))</f>
        <v>346.35147716792028</v>
      </c>
      <c r="AO147" s="59">
        <f t="shared" si="144"/>
        <v>231.36959598460686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5.311052923925001E-17</v>
      </c>
      <c r="AX147" s="21">
        <f t="shared" si="114"/>
        <v>5.311052923925001E-17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1.1368683772161603E-13</v>
      </c>
      <c r="BE147" s="13">
        <f>BD147*VLOOKUP('Données projet'!$B$11,Paramètres!$A$1:$I$89,3,0)*VLOOKUP('Données projet'!$B$11,Paramètres!$A$1:$I$89,5,0)</f>
        <v>6.7984728957526396E-14</v>
      </c>
      <c r="BF147" s="13">
        <f t="shared" si="145"/>
        <v>1.0682447123141398E-12</v>
      </c>
      <c r="BG147" s="20">
        <f t="shared" si="115"/>
        <v>1.978932943548152E-12</v>
      </c>
      <c r="BH147" s="59">
        <f t="shared" si="116"/>
        <v>293.3333333333353</v>
      </c>
      <c r="BI147" s="59">
        <f ca="1">AVERAGE(OFFSET($BH$3,0,0,'Données projet'!$E$11+1,1))-AVERAGE(OFFSET($H$3,0,0,'Données projet'!$E$11+1,1))</f>
        <v>257.80952690600492</v>
      </c>
      <c r="BJ147" s="59">
        <f t="shared" si="146"/>
        <v>269.95358755269427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#VALUE!</v>
      </c>
      <c r="BQ147" s="21" t="e">
        <f>EXP(-LN(2)/25)*BQ146+(1-EXP(-LN(2)/25))/(LN(2)/25)*Calculateur!BL147*Calculateur!BN147*VLOOKUP('Données projet'!$B$11,Paramètres!$A$1:$I$89,3,0)*0.475*44/12</f>
        <v>#VALUE!</v>
      </c>
      <c r="BR147" s="21" t="e">
        <f>EXP(-LN(2)/2)*BR146+(1-EXP(-LN(2)/2))/(LN(2)/2)*BL147*BO147*VLOOKUP('Données projet'!$B$11,Paramètres!$A$1:$I$89,3,0)*0.475*44/12</f>
        <v>#VALUE!</v>
      </c>
      <c r="BS147" s="22" t="e">
        <f t="shared" si="117"/>
        <v>#VALUE!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-275.00000000000028</v>
      </c>
      <c r="BZ147" s="13">
        <f>BY147*VLOOKUP('Données projet'!$B$12,Paramètres!$A$1:$I$89,3,0)*VLOOKUP('Données projet'!$B$12,Paramètres!$A$1:$I$89,5,0)</f>
        <v>-214.50000000000023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286.5685205631126</v>
      </c>
      <c r="CE147" s="59">
        <f t="shared" si="148"/>
        <v>264.17357326498581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0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0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2.8421709430404007E-13</v>
      </c>
      <c r="O148" s="13">
        <f>N148*VLOOKUP('Données projet'!$B$9,Paramètres!$A$1:$I$89,3,0)*VLOOKUP('Données projet'!$B$9,Paramètres!$A$1:$I$89,5,0)</f>
        <v>2.5715962692629546E-13</v>
      </c>
      <c r="P148" s="13">
        <f t="shared" si="141"/>
        <v>3.4610450122128953E-12</v>
      </c>
      <c r="Q148" s="20">
        <f t="shared" si="108"/>
        <v>6.4758730798340893E-12</v>
      </c>
      <c r="R148" s="59">
        <f t="shared" si="109"/>
        <v>293.33333333333979</v>
      </c>
      <c r="S148" s="59">
        <f ca="1">AVERAGE(OFFSET($R$3,0,0,'Données projet'!$E$9+1,1))-AVERAGE(OFFSET($H$3,0,0,'Données projet'!$E$9+1,1))</f>
        <v>346.35147716792028</v>
      </c>
      <c r="T148" s="59">
        <f t="shared" si="142"/>
        <v>231.36959598460686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3.7554815377480091E-17</v>
      </c>
      <c r="AC148" s="22">
        <f t="shared" si="111"/>
        <v>3.7554815377480091E-17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2.8421709430404007E-13</v>
      </c>
      <c r="AJ148" s="13">
        <f>AI148*VLOOKUP('Données projet'!$B$10,Paramètres!$A$1:$I$89,3,0)*VLOOKUP('Données projet'!$B$10,Paramètres!$A$1:$I$89,5,0)</f>
        <v>2.5715962692629546E-13</v>
      </c>
      <c r="AK148" s="13">
        <f t="shared" si="143"/>
        <v>3.4610450122128953E-12</v>
      </c>
      <c r="AL148" s="20">
        <f t="shared" si="112"/>
        <v>6.4758730798340893E-12</v>
      </c>
      <c r="AM148" s="59">
        <f t="shared" si="113"/>
        <v>293.33333333333979</v>
      </c>
      <c r="AN148" s="59">
        <f ca="1">AVERAGE(OFFSET($AM$3,0,0,'Données projet'!$E$10+1,1))-AVERAGE(OFFSET($H$3,0,0,'Données projet'!$E$10+1,1))</f>
        <v>346.35147716792028</v>
      </c>
      <c r="AO148" s="59">
        <f t="shared" si="144"/>
        <v>231.36959598460686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3.7554815377480091E-17</v>
      </c>
      <c r="AX148" s="21">
        <f t="shared" si="114"/>
        <v>3.7554815377480091E-17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1.1368683772161603E-13</v>
      </c>
      <c r="BE148" s="13">
        <f>BD148*VLOOKUP('Données projet'!$B$11,Paramètres!$A$1:$I$89,3,0)*VLOOKUP('Données projet'!$B$11,Paramètres!$A$1:$I$89,5,0)</f>
        <v>6.7984728957526396E-14</v>
      </c>
      <c r="BF148" s="13">
        <f t="shared" si="145"/>
        <v>1.0682447123141398E-12</v>
      </c>
      <c r="BG148" s="20">
        <f t="shared" si="115"/>
        <v>1.978932943548152E-12</v>
      </c>
      <c r="BH148" s="59">
        <f t="shared" si="116"/>
        <v>293.3333333333353</v>
      </c>
      <c r="BI148" s="59">
        <f ca="1">AVERAGE(OFFSET($BH$3,0,0,'Données projet'!$E$11+1,1))-AVERAGE(OFFSET($H$3,0,0,'Données projet'!$E$11+1,1))</f>
        <v>257.80952690600492</v>
      </c>
      <c r="BJ148" s="59">
        <f t="shared" si="146"/>
        <v>269.95358755269427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#VALUE!</v>
      </c>
      <c r="BQ148" s="21" t="e">
        <f>EXP(-LN(2)/25)*BQ147+(1-EXP(-LN(2)/25))/(LN(2)/25)*Calculateur!BL148*Calculateur!BN148*VLOOKUP('Données projet'!$B$11,Paramètres!$A$1:$I$89,3,0)*0.475*44/12</f>
        <v>#VALUE!</v>
      </c>
      <c r="BR148" s="21" t="e">
        <f>EXP(-LN(2)/2)*BR147+(1-EXP(-LN(2)/2))/(LN(2)/2)*BL148*BO148*VLOOKUP('Données projet'!$B$11,Paramètres!$A$1:$I$89,3,0)*0.475*44/12</f>
        <v>#VALUE!</v>
      </c>
      <c r="BS148" s="22" t="e">
        <f t="shared" si="117"/>
        <v>#VALUE!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-275.00000000000028</v>
      </c>
      <c r="BZ148" s="13">
        <f>BY148*VLOOKUP('Données projet'!$B$12,Paramètres!$A$1:$I$89,3,0)*VLOOKUP('Données projet'!$B$12,Paramètres!$A$1:$I$89,5,0)</f>
        <v>-214.50000000000023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286.5685205631126</v>
      </c>
      <c r="CE148" s="59">
        <f t="shared" si="148"/>
        <v>264.17357326498581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0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0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2.8421709430404007E-13</v>
      </c>
      <c r="O149" s="13">
        <f>N149*VLOOKUP('Données projet'!$B$9,Paramètres!$A$1:$I$89,3,0)*VLOOKUP('Données projet'!$B$9,Paramètres!$A$1:$I$89,5,0)</f>
        <v>2.5715962692629546E-13</v>
      </c>
      <c r="P149" s="13">
        <f t="shared" si="141"/>
        <v>3.4610450122128953E-12</v>
      </c>
      <c r="Q149" s="20">
        <f t="shared" si="108"/>
        <v>6.4758730798340893E-12</v>
      </c>
      <c r="R149" s="59">
        <f t="shared" si="109"/>
        <v>293.33333333333979</v>
      </c>
      <c r="S149" s="59">
        <f ca="1">AVERAGE(OFFSET($R$3,0,0,'Données projet'!$E$9+1,1))-AVERAGE(OFFSET($H$3,0,0,'Données projet'!$E$9+1,1))</f>
        <v>346.35147716792028</v>
      </c>
      <c r="T149" s="59">
        <f t="shared" si="142"/>
        <v>231.36959598460686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2.6555264619625005E-17</v>
      </c>
      <c r="AC149" s="22">
        <f t="shared" si="111"/>
        <v>2.6555264619625005E-17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2.8421709430404007E-13</v>
      </c>
      <c r="AJ149" s="13">
        <f>AI149*VLOOKUP('Données projet'!$B$10,Paramètres!$A$1:$I$89,3,0)*VLOOKUP('Données projet'!$B$10,Paramètres!$A$1:$I$89,5,0)</f>
        <v>2.5715962692629546E-13</v>
      </c>
      <c r="AK149" s="13">
        <f t="shared" si="143"/>
        <v>3.4610450122128953E-12</v>
      </c>
      <c r="AL149" s="20">
        <f t="shared" si="112"/>
        <v>6.4758730798340893E-12</v>
      </c>
      <c r="AM149" s="59">
        <f t="shared" si="113"/>
        <v>293.33333333333979</v>
      </c>
      <c r="AN149" s="59">
        <f ca="1">AVERAGE(OFFSET($AM$3,0,0,'Données projet'!$E$10+1,1))-AVERAGE(OFFSET($H$3,0,0,'Données projet'!$E$10+1,1))</f>
        <v>346.35147716792028</v>
      </c>
      <c r="AO149" s="59">
        <f t="shared" si="144"/>
        <v>231.36959598460686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2.6555264619625005E-17</v>
      </c>
      <c r="AX149" s="21">
        <f t="shared" si="114"/>
        <v>2.6555264619625005E-17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1.1368683772161603E-13</v>
      </c>
      <c r="BE149" s="13">
        <f>BD149*VLOOKUP('Données projet'!$B$11,Paramètres!$A$1:$I$89,3,0)*VLOOKUP('Données projet'!$B$11,Paramètres!$A$1:$I$89,5,0)</f>
        <v>6.7984728957526396E-14</v>
      </c>
      <c r="BF149" s="13">
        <f t="shared" si="145"/>
        <v>1.0682447123141398E-12</v>
      </c>
      <c r="BG149" s="20">
        <f t="shared" si="115"/>
        <v>1.978932943548152E-12</v>
      </c>
      <c r="BH149" s="59">
        <f t="shared" si="116"/>
        <v>293.3333333333353</v>
      </c>
      <c r="BI149" s="59">
        <f ca="1">AVERAGE(OFFSET($BH$3,0,0,'Données projet'!$E$11+1,1))-AVERAGE(OFFSET($H$3,0,0,'Données projet'!$E$11+1,1))</f>
        <v>257.80952690600492</v>
      </c>
      <c r="BJ149" s="59">
        <f t="shared" si="146"/>
        <v>269.95358755269427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#VALUE!</v>
      </c>
      <c r="BQ149" s="21" t="e">
        <f>EXP(-LN(2)/25)*BQ148+(1-EXP(-LN(2)/25))/(LN(2)/25)*Calculateur!BL149*Calculateur!BN149*VLOOKUP('Données projet'!$B$11,Paramètres!$A$1:$I$89,3,0)*0.475*44/12</f>
        <v>#VALUE!</v>
      </c>
      <c r="BR149" s="21" t="e">
        <f>EXP(-LN(2)/2)*BR148+(1-EXP(-LN(2)/2))/(LN(2)/2)*BL149*BO149*VLOOKUP('Données projet'!$B$11,Paramètres!$A$1:$I$89,3,0)*0.475*44/12</f>
        <v>#VALUE!</v>
      </c>
      <c r="BS149" s="22" t="e">
        <f t="shared" si="117"/>
        <v>#VALUE!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-275.00000000000028</v>
      </c>
      <c r="BZ149" s="13">
        <f>BY149*VLOOKUP('Données projet'!$B$12,Paramètres!$A$1:$I$89,3,0)*VLOOKUP('Données projet'!$B$12,Paramètres!$A$1:$I$89,5,0)</f>
        <v>-214.50000000000023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286.5685205631126</v>
      </c>
      <c r="CE149" s="59">
        <f t="shared" si="148"/>
        <v>264.17357326498581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0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0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2.8421709430404007E-13</v>
      </c>
      <c r="O150" s="13">
        <f>N150*VLOOKUP('Données projet'!$B$9,Paramètres!$A$1:$I$89,3,0)*VLOOKUP('Données projet'!$B$9,Paramètres!$A$1:$I$89,5,0)</f>
        <v>2.5715962692629546E-13</v>
      </c>
      <c r="P150" s="13">
        <f t="shared" si="141"/>
        <v>3.4610450122128953E-12</v>
      </c>
      <c r="Q150" s="20">
        <f t="shared" si="108"/>
        <v>6.4758730798340893E-12</v>
      </c>
      <c r="R150" s="59">
        <f t="shared" si="109"/>
        <v>293.33333333333979</v>
      </c>
      <c r="S150" s="59">
        <f ca="1">AVERAGE(OFFSET($R$3,0,0,'Données projet'!$E$9+1,1))-AVERAGE(OFFSET($H$3,0,0,'Données projet'!$E$9+1,1))</f>
        <v>346.35147716792028</v>
      </c>
      <c r="T150" s="59">
        <f t="shared" si="142"/>
        <v>231.36959598460686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1.8777407688740045E-17</v>
      </c>
      <c r="AC150" s="22">
        <f t="shared" si="111"/>
        <v>1.8777407688740045E-17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2.8421709430404007E-13</v>
      </c>
      <c r="AJ150" s="13">
        <f>AI150*VLOOKUP('Données projet'!$B$10,Paramètres!$A$1:$I$89,3,0)*VLOOKUP('Données projet'!$B$10,Paramètres!$A$1:$I$89,5,0)</f>
        <v>2.5715962692629546E-13</v>
      </c>
      <c r="AK150" s="13">
        <f t="shared" si="143"/>
        <v>3.4610450122128953E-12</v>
      </c>
      <c r="AL150" s="20">
        <f t="shared" si="112"/>
        <v>6.4758730798340893E-12</v>
      </c>
      <c r="AM150" s="59">
        <f t="shared" si="113"/>
        <v>293.33333333333979</v>
      </c>
      <c r="AN150" s="59">
        <f ca="1">AVERAGE(OFFSET($AM$3,0,0,'Données projet'!$E$10+1,1))-AVERAGE(OFFSET($H$3,0,0,'Données projet'!$E$10+1,1))</f>
        <v>346.35147716792028</v>
      </c>
      <c r="AO150" s="59">
        <f t="shared" si="144"/>
        <v>231.36959598460686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1.8777407688740045E-17</v>
      </c>
      <c r="AX150" s="21">
        <f t="shared" si="114"/>
        <v>1.8777407688740045E-17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1.1368683772161603E-13</v>
      </c>
      <c r="BE150" s="13">
        <f>BD150*VLOOKUP('Données projet'!$B$11,Paramètres!$A$1:$I$89,3,0)*VLOOKUP('Données projet'!$B$11,Paramètres!$A$1:$I$89,5,0)</f>
        <v>6.7984728957526396E-14</v>
      </c>
      <c r="BF150" s="13">
        <f t="shared" si="145"/>
        <v>1.0682447123141398E-12</v>
      </c>
      <c r="BG150" s="20">
        <f t="shared" si="115"/>
        <v>1.978932943548152E-12</v>
      </c>
      <c r="BH150" s="59">
        <f t="shared" si="116"/>
        <v>293.3333333333353</v>
      </c>
      <c r="BI150" s="59">
        <f ca="1">AVERAGE(OFFSET($BH$3,0,0,'Données projet'!$E$11+1,1))-AVERAGE(OFFSET($H$3,0,0,'Données projet'!$E$11+1,1))</f>
        <v>257.80952690600492</v>
      </c>
      <c r="BJ150" s="59">
        <f t="shared" si="146"/>
        <v>269.95358755269427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#VALUE!</v>
      </c>
      <c r="BQ150" s="21" t="e">
        <f>EXP(-LN(2)/25)*BQ149+(1-EXP(-LN(2)/25))/(LN(2)/25)*Calculateur!BL150*Calculateur!BN150*VLOOKUP('Données projet'!$B$11,Paramètres!$A$1:$I$89,3,0)*0.475*44/12</f>
        <v>#VALUE!</v>
      </c>
      <c r="BR150" s="21" t="e">
        <f>EXP(-LN(2)/2)*BR149+(1-EXP(-LN(2)/2))/(LN(2)/2)*BL150*BO150*VLOOKUP('Données projet'!$B$11,Paramètres!$A$1:$I$89,3,0)*0.475*44/12</f>
        <v>#VALUE!</v>
      </c>
      <c r="BS150" s="22" t="e">
        <f t="shared" si="117"/>
        <v>#VALUE!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-275.00000000000028</v>
      </c>
      <c r="BZ150" s="13">
        <f>BY150*VLOOKUP('Données projet'!$B$12,Paramètres!$A$1:$I$89,3,0)*VLOOKUP('Données projet'!$B$12,Paramètres!$A$1:$I$89,5,0)</f>
        <v>-214.50000000000023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286.5685205631126</v>
      </c>
      <c r="CE150" s="59">
        <f t="shared" si="148"/>
        <v>264.17357326498581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0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0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2.8421709430404007E-13</v>
      </c>
      <c r="O151" s="13">
        <f>N151*VLOOKUP('Données projet'!$B$9,Paramètres!$A$1:$I$89,3,0)*VLOOKUP('Données projet'!$B$9,Paramètres!$A$1:$I$89,5,0)</f>
        <v>2.5715962692629546E-13</v>
      </c>
      <c r="P151" s="13">
        <f t="shared" si="141"/>
        <v>3.4610450122128953E-12</v>
      </c>
      <c r="Q151" s="20">
        <f t="shared" si="108"/>
        <v>6.4758730798340893E-12</v>
      </c>
      <c r="R151" s="59">
        <f t="shared" si="109"/>
        <v>293.33333333333979</v>
      </c>
      <c r="S151" s="59">
        <f ca="1">AVERAGE(OFFSET($R$3,0,0,'Données projet'!$E$9+1,1))-AVERAGE(OFFSET($H$3,0,0,'Données projet'!$E$9+1,1))</f>
        <v>346.35147716792028</v>
      </c>
      <c r="T151" s="59">
        <f t="shared" si="142"/>
        <v>231.36959598460686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1.3277632309812503E-17</v>
      </c>
      <c r="AC151" s="22">
        <f t="shared" si="111"/>
        <v>1.3277632309812503E-17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2.8421709430404007E-13</v>
      </c>
      <c r="AJ151" s="13">
        <f>AI151*VLOOKUP('Données projet'!$B$10,Paramètres!$A$1:$I$89,3,0)*VLOOKUP('Données projet'!$B$10,Paramètres!$A$1:$I$89,5,0)</f>
        <v>2.5715962692629546E-13</v>
      </c>
      <c r="AK151" s="13">
        <f t="shared" si="143"/>
        <v>3.4610450122128953E-12</v>
      </c>
      <c r="AL151" s="20">
        <f t="shared" si="112"/>
        <v>6.4758730798340893E-12</v>
      </c>
      <c r="AM151" s="59">
        <f t="shared" si="113"/>
        <v>293.33333333333979</v>
      </c>
      <c r="AN151" s="59">
        <f ca="1">AVERAGE(OFFSET($AM$3,0,0,'Données projet'!$E$10+1,1))-AVERAGE(OFFSET($H$3,0,0,'Données projet'!$E$10+1,1))</f>
        <v>346.35147716792028</v>
      </c>
      <c r="AO151" s="59">
        <f t="shared" si="144"/>
        <v>231.36959598460686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1.3277632309812503E-17</v>
      </c>
      <c r="AX151" s="21">
        <f t="shared" si="114"/>
        <v>1.3277632309812503E-17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1.1368683772161603E-13</v>
      </c>
      <c r="BE151" s="13">
        <f>BD151*VLOOKUP('Données projet'!$B$11,Paramètres!$A$1:$I$89,3,0)*VLOOKUP('Données projet'!$B$11,Paramètres!$A$1:$I$89,5,0)</f>
        <v>6.7984728957526396E-14</v>
      </c>
      <c r="BF151" s="13">
        <f t="shared" si="145"/>
        <v>1.0682447123141398E-12</v>
      </c>
      <c r="BG151" s="20">
        <f t="shared" si="115"/>
        <v>1.978932943548152E-12</v>
      </c>
      <c r="BH151" s="59">
        <f t="shared" si="116"/>
        <v>293.3333333333353</v>
      </c>
      <c r="BI151" s="59">
        <f ca="1">AVERAGE(OFFSET($BH$3,0,0,'Données projet'!$E$11+1,1))-AVERAGE(OFFSET($H$3,0,0,'Données projet'!$E$11+1,1))</f>
        <v>257.80952690600492</v>
      </c>
      <c r="BJ151" s="59">
        <f t="shared" si="146"/>
        <v>269.95358755269427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#VALUE!</v>
      </c>
      <c r="BQ151" s="21" t="e">
        <f>EXP(-LN(2)/25)*BQ150+(1-EXP(-LN(2)/25))/(LN(2)/25)*Calculateur!BL151*Calculateur!BN151*VLOOKUP('Données projet'!$B$11,Paramètres!$A$1:$I$89,3,0)*0.475*44/12</f>
        <v>#VALUE!</v>
      </c>
      <c r="BR151" s="21" t="e">
        <f>EXP(-LN(2)/2)*BR150+(1-EXP(-LN(2)/2))/(LN(2)/2)*BL151*BO151*VLOOKUP('Données projet'!$B$11,Paramètres!$A$1:$I$89,3,0)*0.475*44/12</f>
        <v>#VALUE!</v>
      </c>
      <c r="BS151" s="22" t="e">
        <f t="shared" si="117"/>
        <v>#VALUE!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-275.00000000000028</v>
      </c>
      <c r="BZ151" s="13">
        <f>BY151*VLOOKUP('Données projet'!$B$12,Paramètres!$A$1:$I$89,3,0)*VLOOKUP('Données projet'!$B$12,Paramètres!$A$1:$I$89,5,0)</f>
        <v>-214.50000000000023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286.5685205631126</v>
      </c>
      <c r="CE151" s="59">
        <f t="shared" si="148"/>
        <v>264.17357326498581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0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2.8421709430404007E-13</v>
      </c>
      <c r="O152" s="13">
        <f>N152*VLOOKUP('Données projet'!$B$9,Paramètres!$A$1:$I$89,3,0)*VLOOKUP('Données projet'!$B$9,Paramètres!$A$1:$I$89,5,0)</f>
        <v>2.5715962692629546E-13</v>
      </c>
      <c r="P152" s="13">
        <f t="shared" si="141"/>
        <v>3.4610450122128953E-12</v>
      </c>
      <c r="Q152" s="20">
        <f t="shared" si="108"/>
        <v>6.4758730798340893E-12</v>
      </c>
      <c r="R152" s="59">
        <f t="shared" si="109"/>
        <v>293.33333333333979</v>
      </c>
      <c r="S152" s="59">
        <f ca="1">AVERAGE(OFFSET($R$3,0,0,'Données projet'!$E$9+1,1))-AVERAGE(OFFSET($H$3,0,0,'Données projet'!$E$9+1,1))</f>
        <v>346.35147716792028</v>
      </c>
      <c r="T152" s="59">
        <f t="shared" si="142"/>
        <v>231.36959598460686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9.3887038443700227E-18</v>
      </c>
      <c r="AC152" s="22">
        <f t="shared" si="111"/>
        <v>9.3887038443700227E-18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2.8421709430404007E-13</v>
      </c>
      <c r="AJ152" s="13">
        <f>AI152*VLOOKUP('Données projet'!$B$10,Paramètres!$A$1:$I$89,3,0)*VLOOKUP('Données projet'!$B$10,Paramètres!$A$1:$I$89,5,0)</f>
        <v>2.5715962692629546E-13</v>
      </c>
      <c r="AK152" s="13">
        <f t="shared" si="143"/>
        <v>3.4610450122128953E-12</v>
      </c>
      <c r="AL152" s="20">
        <f t="shared" si="112"/>
        <v>6.4758730798340893E-12</v>
      </c>
      <c r="AM152" s="59">
        <f t="shared" si="113"/>
        <v>293.33333333333979</v>
      </c>
      <c r="AN152" s="59">
        <f ca="1">AVERAGE(OFFSET($AM$3,0,0,'Données projet'!$E$10+1,1))-AVERAGE(OFFSET($H$3,0,0,'Données projet'!$E$10+1,1))</f>
        <v>346.35147716792028</v>
      </c>
      <c r="AO152" s="59">
        <f t="shared" si="144"/>
        <v>231.36959598460686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9.3887038443700227E-18</v>
      </c>
      <c r="AX152" s="21">
        <f t="shared" si="114"/>
        <v>9.3887038443700227E-18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1.1368683772161603E-13</v>
      </c>
      <c r="BE152" s="13">
        <f>BD152*VLOOKUP('Données projet'!$B$11,Paramètres!$A$1:$I$89,3,0)*VLOOKUP('Données projet'!$B$11,Paramètres!$A$1:$I$89,5,0)</f>
        <v>6.7984728957526396E-14</v>
      </c>
      <c r="BF152" s="13">
        <f t="shared" si="145"/>
        <v>1.0682447123141398E-12</v>
      </c>
      <c r="BG152" s="20">
        <f t="shared" si="115"/>
        <v>1.978932943548152E-12</v>
      </c>
      <c r="BH152" s="59">
        <f t="shared" si="116"/>
        <v>293.3333333333353</v>
      </c>
      <c r="BI152" s="59">
        <f ca="1">AVERAGE(OFFSET($BH$3,0,0,'Données projet'!$E$11+1,1))-AVERAGE(OFFSET($H$3,0,0,'Données projet'!$E$11+1,1))</f>
        <v>257.80952690600492</v>
      </c>
      <c r="BJ152" s="59">
        <f t="shared" si="146"/>
        <v>269.95358755269427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#VALUE!</v>
      </c>
      <c r="BQ152" s="21" t="e">
        <f>EXP(-LN(2)/25)*BQ151+(1-EXP(-LN(2)/25))/(LN(2)/25)*Calculateur!BL152*Calculateur!BN152*VLOOKUP('Données projet'!$B$11,Paramètres!$A$1:$I$89,3,0)*0.475*44/12</f>
        <v>#VALUE!</v>
      </c>
      <c r="BR152" s="21" t="e">
        <f>EXP(-LN(2)/2)*BR151+(1-EXP(-LN(2)/2))/(LN(2)/2)*BL152*BO152*VLOOKUP('Données projet'!$B$11,Paramètres!$A$1:$I$89,3,0)*0.475*44/12</f>
        <v>#VALUE!</v>
      </c>
      <c r="BS152" s="22" t="e">
        <f t="shared" si="117"/>
        <v>#VALUE!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-275.00000000000028</v>
      </c>
      <c r="BZ152" s="13">
        <f>BY152*VLOOKUP('Données projet'!$B$12,Paramètres!$A$1:$I$89,3,0)*VLOOKUP('Données projet'!$B$12,Paramètres!$A$1:$I$89,5,0)</f>
        <v>-214.50000000000023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286.5685205631126</v>
      </c>
      <c r="CE152" s="59">
        <f t="shared" si="148"/>
        <v>264.17357326498581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0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2.8421709430404007E-13</v>
      </c>
      <c r="O153" s="13">
        <f>N153*VLOOKUP('Données projet'!$B$9,Paramètres!$A$1:$I$89,3,0)*VLOOKUP('Données projet'!$B$9,Paramètres!$A$1:$I$89,5,0)</f>
        <v>2.5715962692629546E-13</v>
      </c>
      <c r="P153" s="13">
        <f t="shared" si="141"/>
        <v>3.4610450122128953E-12</v>
      </c>
      <c r="Q153" s="20">
        <f t="shared" si="108"/>
        <v>6.4758730798340893E-12</v>
      </c>
      <c r="R153" s="59">
        <f t="shared" si="109"/>
        <v>293.33333333333979</v>
      </c>
      <c r="S153" s="59">
        <f ca="1">AVERAGE(OFFSET($R$3,0,0,'Données projet'!$E$9+1,1))-AVERAGE(OFFSET($H$3,0,0,'Données projet'!$E$9+1,1))</f>
        <v>346.35147716792028</v>
      </c>
      <c r="T153" s="59">
        <f t="shared" si="142"/>
        <v>231.36959598460686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6.6388161549062513E-18</v>
      </c>
      <c r="AC153" s="22">
        <f t="shared" si="111"/>
        <v>6.6388161549062513E-18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2.8421709430404007E-13</v>
      </c>
      <c r="AJ153" s="13">
        <f>AI153*VLOOKUP('Données projet'!$B$10,Paramètres!$A$1:$I$89,3,0)*VLOOKUP('Données projet'!$B$10,Paramètres!$A$1:$I$89,5,0)</f>
        <v>2.5715962692629546E-13</v>
      </c>
      <c r="AK153" s="13">
        <f t="shared" si="143"/>
        <v>3.4610450122128953E-12</v>
      </c>
      <c r="AL153" s="20">
        <f t="shared" si="112"/>
        <v>6.4758730798340893E-12</v>
      </c>
      <c r="AM153" s="59">
        <f t="shared" si="113"/>
        <v>293.33333333333979</v>
      </c>
      <c r="AN153" s="59">
        <f ca="1">AVERAGE(OFFSET($AM$3,0,0,'Données projet'!$E$10+1,1))-AVERAGE(OFFSET($H$3,0,0,'Données projet'!$E$10+1,1))</f>
        <v>346.35147716792028</v>
      </c>
      <c r="AO153" s="59">
        <f t="shared" si="144"/>
        <v>231.36959598460686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6.6388161549062513E-18</v>
      </c>
      <c r="AX153" s="21">
        <f t="shared" si="114"/>
        <v>6.6388161549062513E-18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1.1368683772161603E-13</v>
      </c>
      <c r="BE153" s="13">
        <f>BD153*VLOOKUP('Données projet'!$B$11,Paramètres!$A$1:$I$89,3,0)*VLOOKUP('Données projet'!$B$11,Paramètres!$A$1:$I$89,5,0)</f>
        <v>6.7984728957526396E-14</v>
      </c>
      <c r="BF153" s="13">
        <f t="shared" si="145"/>
        <v>1.0682447123141398E-12</v>
      </c>
      <c r="BG153" s="20">
        <f t="shared" si="115"/>
        <v>1.978932943548152E-12</v>
      </c>
      <c r="BH153" s="59">
        <f t="shared" si="116"/>
        <v>293.3333333333353</v>
      </c>
      <c r="BI153" s="59">
        <f ca="1">AVERAGE(OFFSET($BH$3,0,0,'Données projet'!$E$11+1,1))-AVERAGE(OFFSET($H$3,0,0,'Données projet'!$E$11+1,1))</f>
        <v>257.80952690600492</v>
      </c>
      <c r="BJ153" s="59">
        <f t="shared" si="146"/>
        <v>269.95358755269427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#VALUE!</v>
      </c>
      <c r="BQ153" s="21" t="e">
        <f>EXP(-LN(2)/25)*BQ152+(1-EXP(-LN(2)/25))/(LN(2)/25)*Calculateur!BL153*Calculateur!BN153*VLOOKUP('Données projet'!$B$11,Paramètres!$A$1:$I$89,3,0)*0.475*44/12</f>
        <v>#VALUE!</v>
      </c>
      <c r="BR153" s="21" t="e">
        <f>EXP(-LN(2)/2)*BR152+(1-EXP(-LN(2)/2))/(LN(2)/2)*BL153*BO153*VLOOKUP('Données projet'!$B$11,Paramètres!$A$1:$I$89,3,0)*0.475*44/12</f>
        <v>#VALUE!</v>
      </c>
      <c r="BS153" s="22" t="e">
        <f t="shared" si="117"/>
        <v>#VALUE!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-275.00000000000028</v>
      </c>
      <c r="BZ153" s="13">
        <f>BY153*VLOOKUP('Données projet'!$B$12,Paramètres!$A$1:$I$89,3,0)*VLOOKUP('Données projet'!$B$12,Paramètres!$A$1:$I$89,5,0)</f>
        <v>-214.50000000000023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286.5685205631126</v>
      </c>
      <c r="CE153" s="59">
        <f t="shared" si="148"/>
        <v>264.17357326498581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0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2.8421709430404007E-13</v>
      </c>
      <c r="O154" s="13">
        <f>N154*VLOOKUP('Données projet'!$B$9,Paramètres!$A$1:$I$89,3,0)*VLOOKUP('Données projet'!$B$9,Paramètres!$A$1:$I$89,5,0)</f>
        <v>2.5715962692629546E-13</v>
      </c>
      <c r="P154" s="13">
        <f t="shared" si="141"/>
        <v>3.4610450122128953E-12</v>
      </c>
      <c r="Q154" s="20">
        <f t="shared" ref="Q154:Q203" si="162">(O154+P154)*0.475*44/12</f>
        <v>6.4758730798340893E-12</v>
      </c>
      <c r="R154" s="59">
        <f t="shared" si="109"/>
        <v>293.33333333333979</v>
      </c>
      <c r="S154" s="59">
        <f ca="1">AVERAGE(OFFSET($R$3,0,0,'Données projet'!$E$9+1,1))-AVERAGE(OFFSET($H$3,0,0,'Données projet'!$E$9+1,1))</f>
        <v>346.35147716792028</v>
      </c>
      <c r="T154" s="59">
        <f t="shared" si="142"/>
        <v>231.36959598460686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4.6943519221850113E-18</v>
      </c>
      <c r="AC154" s="22">
        <f t="shared" ref="AC154:AC203" si="163">SUM(Z154:AB154)</f>
        <v>4.6943519221850113E-18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2.8421709430404007E-13</v>
      </c>
      <c r="AJ154" s="13">
        <f>AI154*VLOOKUP('Données projet'!$B$10,Paramètres!$A$1:$I$89,3,0)*VLOOKUP('Données projet'!$B$10,Paramètres!$A$1:$I$89,5,0)</f>
        <v>2.5715962692629546E-13</v>
      </c>
      <c r="AK154" s="13">
        <f t="shared" ref="AK154:AK203" si="164">EXP(-1.0587+0.8836*LN(AJ154)+0.284)</f>
        <v>3.4610450122128953E-12</v>
      </c>
      <c r="AL154" s="20">
        <f t="shared" ref="AL154:AL203" si="165">(AJ154+AK154)*0.475*44/12</f>
        <v>6.4758730798340893E-12</v>
      </c>
      <c r="AM154" s="59">
        <f t="shared" si="113"/>
        <v>293.33333333333979</v>
      </c>
      <c r="AN154" s="59">
        <f ca="1">AVERAGE(OFFSET($AM$3,0,0,'Données projet'!$E$10+1,1))-AVERAGE(OFFSET($H$3,0,0,'Données projet'!$E$10+1,1))</f>
        <v>346.35147716792028</v>
      </c>
      <c r="AO154" s="59">
        <f t="shared" si="144"/>
        <v>231.36959598460686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4.6943519221850113E-18</v>
      </c>
      <c r="AX154" s="21">
        <f t="shared" ref="AX154:AX203" si="166">SUM(AU154:AW154)</f>
        <v>4.6943519221850113E-18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1.1368683772161603E-13</v>
      </c>
      <c r="BE154" s="13">
        <f>BD154*VLOOKUP('Données projet'!$B$11,Paramètres!$A$1:$I$89,3,0)*VLOOKUP('Données projet'!$B$11,Paramètres!$A$1:$I$89,5,0)</f>
        <v>6.7984728957526396E-14</v>
      </c>
      <c r="BF154" s="13">
        <f t="shared" ref="BF154:BF203" si="167">EXP(-1.0587+0.8836*LN(BE154)+0.284)</f>
        <v>1.0682447123141398E-12</v>
      </c>
      <c r="BG154" s="20">
        <f t="shared" ref="BG154:BG203" si="168">(BE154+BF154)*0.475*44/12</f>
        <v>1.978932943548152E-12</v>
      </c>
      <c r="BH154" s="59">
        <f t="shared" si="116"/>
        <v>293.3333333333353</v>
      </c>
      <c r="BI154" s="59">
        <f ca="1">AVERAGE(OFFSET($BH$3,0,0,'Données projet'!$E$11+1,1))-AVERAGE(OFFSET($H$3,0,0,'Données projet'!$E$11+1,1))</f>
        <v>257.80952690600492</v>
      </c>
      <c r="BJ154" s="59">
        <f t="shared" si="146"/>
        <v>269.95358755269427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#VALUE!</v>
      </c>
      <c r="BQ154" s="21" t="e">
        <f>EXP(-LN(2)/25)*BQ153+(1-EXP(-LN(2)/25))/(LN(2)/25)*Calculateur!BL154*Calculateur!BN154*VLOOKUP('Données projet'!$B$11,Paramètres!$A$1:$I$89,3,0)*0.475*44/12</f>
        <v>#VALUE!</v>
      </c>
      <c r="BR154" s="21" t="e">
        <f>EXP(-LN(2)/2)*BR153+(1-EXP(-LN(2)/2))/(LN(2)/2)*BL154*BO154*VLOOKUP('Données projet'!$B$11,Paramètres!$A$1:$I$89,3,0)*0.475*44/12</f>
        <v>#VALUE!</v>
      </c>
      <c r="BS154" s="22" t="e">
        <f t="shared" ref="BS154:BS203" si="169">SUM(BP154:BR154)</f>
        <v>#VALUE!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-275.00000000000028</v>
      </c>
      <c r="BZ154" s="13">
        <f>BY154*VLOOKUP('Données projet'!$B$12,Paramètres!$A$1:$I$89,3,0)*VLOOKUP('Données projet'!$B$12,Paramètres!$A$1:$I$89,5,0)</f>
        <v>-214.50000000000023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286.5685205631126</v>
      </c>
      <c r="CE154" s="59">
        <f t="shared" si="148"/>
        <v>264.17357326498581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0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2.8421709430404007E-13</v>
      </c>
      <c r="O155" s="13">
        <f>N155*VLOOKUP('Données projet'!$B$9,Paramètres!$A$1:$I$89,3,0)*VLOOKUP('Données projet'!$B$9,Paramètres!$A$1:$I$89,5,0)</f>
        <v>2.5715962692629546E-13</v>
      </c>
      <c r="P155" s="13">
        <f t="shared" si="141"/>
        <v>3.4610450122128953E-12</v>
      </c>
      <c r="Q155" s="20">
        <f t="shared" si="162"/>
        <v>6.4758730798340893E-12</v>
      </c>
      <c r="R155" s="59">
        <f t="shared" si="109"/>
        <v>293.33333333333979</v>
      </c>
      <c r="S155" s="59">
        <f ca="1">AVERAGE(OFFSET($R$3,0,0,'Données projet'!$E$9+1,1))-AVERAGE(OFFSET($H$3,0,0,'Données projet'!$E$9+1,1))</f>
        <v>346.35147716792028</v>
      </c>
      <c r="T155" s="59">
        <f t="shared" si="142"/>
        <v>231.36959598460686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3.3194080774531256E-18</v>
      </c>
      <c r="AC155" s="22">
        <f t="shared" si="163"/>
        <v>3.3194080774531256E-18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2.8421709430404007E-13</v>
      </c>
      <c r="AJ155" s="13">
        <f>AI155*VLOOKUP('Données projet'!$B$10,Paramètres!$A$1:$I$89,3,0)*VLOOKUP('Données projet'!$B$10,Paramètres!$A$1:$I$89,5,0)</f>
        <v>2.5715962692629546E-13</v>
      </c>
      <c r="AK155" s="13">
        <f t="shared" si="164"/>
        <v>3.4610450122128953E-12</v>
      </c>
      <c r="AL155" s="20">
        <f t="shared" si="165"/>
        <v>6.4758730798340893E-12</v>
      </c>
      <c r="AM155" s="59">
        <f t="shared" si="113"/>
        <v>293.33333333333979</v>
      </c>
      <c r="AN155" s="59">
        <f ca="1">AVERAGE(OFFSET($AM$3,0,0,'Données projet'!$E$10+1,1))-AVERAGE(OFFSET($H$3,0,0,'Données projet'!$E$10+1,1))</f>
        <v>346.35147716792028</v>
      </c>
      <c r="AO155" s="59">
        <f t="shared" si="144"/>
        <v>231.36959598460686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3.3194080774531256E-18</v>
      </c>
      <c r="AX155" s="21">
        <f t="shared" si="166"/>
        <v>3.3194080774531256E-18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1.1368683772161603E-13</v>
      </c>
      <c r="BE155" s="13">
        <f>BD155*VLOOKUP('Données projet'!$B$11,Paramètres!$A$1:$I$89,3,0)*VLOOKUP('Données projet'!$B$11,Paramètres!$A$1:$I$89,5,0)</f>
        <v>6.7984728957526396E-14</v>
      </c>
      <c r="BF155" s="13">
        <f t="shared" si="167"/>
        <v>1.0682447123141398E-12</v>
      </c>
      <c r="BG155" s="20">
        <f t="shared" si="168"/>
        <v>1.978932943548152E-12</v>
      </c>
      <c r="BH155" s="59">
        <f t="shared" si="116"/>
        <v>293.3333333333353</v>
      </c>
      <c r="BI155" s="59">
        <f ca="1">AVERAGE(OFFSET($BH$3,0,0,'Données projet'!$E$11+1,1))-AVERAGE(OFFSET($H$3,0,0,'Données projet'!$E$11+1,1))</f>
        <v>257.80952690600492</v>
      </c>
      <c r="BJ155" s="59">
        <f t="shared" si="146"/>
        <v>269.95358755269427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#VALUE!</v>
      </c>
      <c r="BQ155" s="21" t="e">
        <f>EXP(-LN(2)/25)*BQ154+(1-EXP(-LN(2)/25))/(LN(2)/25)*Calculateur!BL155*Calculateur!BN155*VLOOKUP('Données projet'!$B$11,Paramètres!$A$1:$I$89,3,0)*0.475*44/12</f>
        <v>#VALUE!</v>
      </c>
      <c r="BR155" s="21" t="e">
        <f>EXP(-LN(2)/2)*BR154+(1-EXP(-LN(2)/2))/(LN(2)/2)*BL155*BO155*VLOOKUP('Données projet'!$B$11,Paramètres!$A$1:$I$89,3,0)*0.475*44/12</f>
        <v>#VALUE!</v>
      </c>
      <c r="BS155" s="22" t="e">
        <f t="shared" si="169"/>
        <v>#VALUE!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-275.00000000000028</v>
      </c>
      <c r="BZ155" s="13">
        <f>BY155*VLOOKUP('Données projet'!$B$12,Paramètres!$A$1:$I$89,3,0)*VLOOKUP('Données projet'!$B$12,Paramètres!$A$1:$I$89,5,0)</f>
        <v>-214.50000000000023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286.5685205631126</v>
      </c>
      <c r="CE155" s="59">
        <f t="shared" si="148"/>
        <v>264.17357326498581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0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2.8421709430404007E-13</v>
      </c>
      <c r="O156" s="13">
        <f>N156*VLOOKUP('Données projet'!$B$9,Paramètres!$A$1:$I$89,3,0)*VLOOKUP('Données projet'!$B$9,Paramètres!$A$1:$I$89,5,0)</f>
        <v>2.5715962692629546E-13</v>
      </c>
      <c r="P156" s="13">
        <f t="shared" si="141"/>
        <v>3.4610450122128953E-12</v>
      </c>
      <c r="Q156" s="20">
        <f t="shared" si="162"/>
        <v>6.4758730798340893E-12</v>
      </c>
      <c r="R156" s="59">
        <f t="shared" si="109"/>
        <v>293.33333333333979</v>
      </c>
      <c r="S156" s="59">
        <f ca="1">AVERAGE(OFFSET($R$3,0,0,'Données projet'!$E$9+1,1))-AVERAGE(OFFSET($H$3,0,0,'Données projet'!$E$9+1,1))</f>
        <v>346.35147716792028</v>
      </c>
      <c r="T156" s="59">
        <f t="shared" si="142"/>
        <v>231.36959598460686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2.3471759610925057E-18</v>
      </c>
      <c r="AC156" s="22">
        <f t="shared" si="163"/>
        <v>2.3471759610925057E-18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2.8421709430404007E-13</v>
      </c>
      <c r="AJ156" s="13">
        <f>AI156*VLOOKUP('Données projet'!$B$10,Paramètres!$A$1:$I$89,3,0)*VLOOKUP('Données projet'!$B$10,Paramètres!$A$1:$I$89,5,0)</f>
        <v>2.5715962692629546E-13</v>
      </c>
      <c r="AK156" s="13">
        <f t="shared" si="164"/>
        <v>3.4610450122128953E-12</v>
      </c>
      <c r="AL156" s="20">
        <f t="shared" si="165"/>
        <v>6.4758730798340893E-12</v>
      </c>
      <c r="AM156" s="59">
        <f t="shared" si="113"/>
        <v>293.33333333333979</v>
      </c>
      <c r="AN156" s="59">
        <f ca="1">AVERAGE(OFFSET($AM$3,0,0,'Données projet'!$E$10+1,1))-AVERAGE(OFFSET($H$3,0,0,'Données projet'!$E$10+1,1))</f>
        <v>346.35147716792028</v>
      </c>
      <c r="AO156" s="59">
        <f t="shared" si="144"/>
        <v>231.36959598460686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2.3471759610925057E-18</v>
      </c>
      <c r="AX156" s="21">
        <f t="shared" si="166"/>
        <v>2.3471759610925057E-18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1.1368683772161603E-13</v>
      </c>
      <c r="BE156" s="13">
        <f>BD156*VLOOKUP('Données projet'!$B$11,Paramètres!$A$1:$I$89,3,0)*VLOOKUP('Données projet'!$B$11,Paramètres!$A$1:$I$89,5,0)</f>
        <v>6.7984728957526396E-14</v>
      </c>
      <c r="BF156" s="13">
        <f t="shared" si="167"/>
        <v>1.0682447123141398E-12</v>
      </c>
      <c r="BG156" s="20">
        <f t="shared" si="168"/>
        <v>1.978932943548152E-12</v>
      </c>
      <c r="BH156" s="59">
        <f t="shared" si="116"/>
        <v>293.3333333333353</v>
      </c>
      <c r="BI156" s="59">
        <f ca="1">AVERAGE(OFFSET($BH$3,0,0,'Données projet'!$E$11+1,1))-AVERAGE(OFFSET($H$3,0,0,'Données projet'!$E$11+1,1))</f>
        <v>257.80952690600492</v>
      </c>
      <c r="BJ156" s="59">
        <f t="shared" si="146"/>
        <v>269.95358755269427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#VALUE!</v>
      </c>
      <c r="BQ156" s="21" t="e">
        <f>EXP(-LN(2)/25)*BQ155+(1-EXP(-LN(2)/25))/(LN(2)/25)*Calculateur!BL156*Calculateur!BN156*VLOOKUP('Données projet'!$B$11,Paramètres!$A$1:$I$89,3,0)*0.475*44/12</f>
        <v>#VALUE!</v>
      </c>
      <c r="BR156" s="21" t="e">
        <f>EXP(-LN(2)/2)*BR155+(1-EXP(-LN(2)/2))/(LN(2)/2)*BL156*BO156*VLOOKUP('Données projet'!$B$11,Paramètres!$A$1:$I$89,3,0)*0.475*44/12</f>
        <v>#VALUE!</v>
      </c>
      <c r="BS156" s="22" t="e">
        <f t="shared" si="169"/>
        <v>#VALUE!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-275.00000000000028</v>
      </c>
      <c r="BZ156" s="13">
        <f>BY156*VLOOKUP('Données projet'!$B$12,Paramètres!$A$1:$I$89,3,0)*VLOOKUP('Données projet'!$B$12,Paramètres!$A$1:$I$89,5,0)</f>
        <v>-214.50000000000023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286.5685205631126</v>
      </c>
      <c r="CE156" s="59">
        <f t="shared" si="148"/>
        <v>264.17357326498581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0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2.8421709430404007E-13</v>
      </c>
      <c r="O157" s="13">
        <f>N157*VLOOKUP('Données projet'!$B$9,Paramètres!$A$1:$I$89,3,0)*VLOOKUP('Données projet'!$B$9,Paramètres!$A$1:$I$89,5,0)</f>
        <v>2.5715962692629546E-13</v>
      </c>
      <c r="P157" s="13">
        <f t="shared" si="141"/>
        <v>3.4610450122128953E-12</v>
      </c>
      <c r="Q157" s="20">
        <f t="shared" si="162"/>
        <v>6.4758730798340893E-12</v>
      </c>
      <c r="R157" s="59">
        <f t="shared" si="109"/>
        <v>293.33333333333979</v>
      </c>
      <c r="S157" s="59">
        <f ca="1">AVERAGE(OFFSET($R$3,0,0,'Données projet'!$E$9+1,1))-AVERAGE(OFFSET($H$3,0,0,'Données projet'!$E$9+1,1))</f>
        <v>346.35147716792028</v>
      </c>
      <c r="T157" s="59">
        <f t="shared" si="142"/>
        <v>231.36959598460686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1.6597040387265628E-18</v>
      </c>
      <c r="AC157" s="22">
        <f t="shared" si="163"/>
        <v>1.6597040387265628E-18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2.8421709430404007E-13</v>
      </c>
      <c r="AJ157" s="13">
        <f>AI157*VLOOKUP('Données projet'!$B$10,Paramètres!$A$1:$I$89,3,0)*VLOOKUP('Données projet'!$B$10,Paramètres!$A$1:$I$89,5,0)</f>
        <v>2.5715962692629546E-13</v>
      </c>
      <c r="AK157" s="13">
        <f t="shared" si="164"/>
        <v>3.4610450122128953E-12</v>
      </c>
      <c r="AL157" s="20">
        <f t="shared" si="165"/>
        <v>6.4758730798340893E-12</v>
      </c>
      <c r="AM157" s="59">
        <f t="shared" si="113"/>
        <v>293.33333333333979</v>
      </c>
      <c r="AN157" s="59">
        <f ca="1">AVERAGE(OFFSET($AM$3,0,0,'Données projet'!$E$10+1,1))-AVERAGE(OFFSET($H$3,0,0,'Données projet'!$E$10+1,1))</f>
        <v>346.35147716792028</v>
      </c>
      <c r="AO157" s="59">
        <f t="shared" si="144"/>
        <v>231.36959598460686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1.6597040387265628E-18</v>
      </c>
      <c r="AX157" s="21">
        <f t="shared" si="166"/>
        <v>1.6597040387265628E-18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1.1368683772161603E-13</v>
      </c>
      <c r="BE157" s="13">
        <f>BD157*VLOOKUP('Données projet'!$B$11,Paramètres!$A$1:$I$89,3,0)*VLOOKUP('Données projet'!$B$11,Paramètres!$A$1:$I$89,5,0)</f>
        <v>6.7984728957526396E-14</v>
      </c>
      <c r="BF157" s="13">
        <f t="shared" si="167"/>
        <v>1.0682447123141398E-12</v>
      </c>
      <c r="BG157" s="20">
        <f t="shared" si="168"/>
        <v>1.978932943548152E-12</v>
      </c>
      <c r="BH157" s="59">
        <f t="shared" si="116"/>
        <v>293.3333333333353</v>
      </c>
      <c r="BI157" s="59">
        <f ca="1">AVERAGE(OFFSET($BH$3,0,0,'Données projet'!$E$11+1,1))-AVERAGE(OFFSET($H$3,0,0,'Données projet'!$E$11+1,1))</f>
        <v>257.80952690600492</v>
      </c>
      <c r="BJ157" s="59">
        <f t="shared" si="146"/>
        <v>269.95358755269427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#VALUE!</v>
      </c>
      <c r="BQ157" s="21" t="e">
        <f>EXP(-LN(2)/25)*BQ156+(1-EXP(-LN(2)/25))/(LN(2)/25)*Calculateur!BL157*Calculateur!BN157*VLOOKUP('Données projet'!$B$11,Paramètres!$A$1:$I$89,3,0)*0.475*44/12</f>
        <v>#VALUE!</v>
      </c>
      <c r="BR157" s="21" t="e">
        <f>EXP(-LN(2)/2)*BR156+(1-EXP(-LN(2)/2))/(LN(2)/2)*BL157*BO157*VLOOKUP('Données projet'!$B$11,Paramètres!$A$1:$I$89,3,0)*0.475*44/12</f>
        <v>#VALUE!</v>
      </c>
      <c r="BS157" s="22" t="e">
        <f t="shared" si="169"/>
        <v>#VALUE!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-275.00000000000028</v>
      </c>
      <c r="BZ157" s="13">
        <f>BY157*VLOOKUP('Données projet'!$B$12,Paramètres!$A$1:$I$89,3,0)*VLOOKUP('Données projet'!$B$12,Paramètres!$A$1:$I$89,5,0)</f>
        <v>-214.50000000000023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286.5685205631126</v>
      </c>
      <c r="CE157" s="59">
        <f t="shared" si="148"/>
        <v>264.17357326498581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0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2.8421709430404007E-13</v>
      </c>
      <c r="O158" s="13">
        <f>N158*VLOOKUP('Données projet'!$B$9,Paramètres!$A$1:$I$89,3,0)*VLOOKUP('Données projet'!$B$9,Paramètres!$A$1:$I$89,5,0)</f>
        <v>2.5715962692629546E-13</v>
      </c>
      <c r="P158" s="13">
        <f t="shared" si="141"/>
        <v>3.4610450122128953E-12</v>
      </c>
      <c r="Q158" s="20">
        <f t="shared" si="162"/>
        <v>6.4758730798340893E-12</v>
      </c>
      <c r="R158" s="59">
        <f t="shared" si="109"/>
        <v>293.33333333333979</v>
      </c>
      <c r="S158" s="59">
        <f ca="1">AVERAGE(OFFSET($R$3,0,0,'Données projet'!$E$9+1,1))-AVERAGE(OFFSET($H$3,0,0,'Données projet'!$E$9+1,1))</f>
        <v>346.35147716792028</v>
      </c>
      <c r="T158" s="59">
        <f t="shared" si="142"/>
        <v>231.36959598460686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1.1735879805462528E-18</v>
      </c>
      <c r="AC158" s="22">
        <f t="shared" si="163"/>
        <v>1.1735879805462528E-18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2.8421709430404007E-13</v>
      </c>
      <c r="AJ158" s="13">
        <f>AI158*VLOOKUP('Données projet'!$B$10,Paramètres!$A$1:$I$89,3,0)*VLOOKUP('Données projet'!$B$10,Paramètres!$A$1:$I$89,5,0)</f>
        <v>2.5715962692629546E-13</v>
      </c>
      <c r="AK158" s="13">
        <f t="shared" si="164"/>
        <v>3.4610450122128953E-12</v>
      </c>
      <c r="AL158" s="20">
        <f t="shared" si="165"/>
        <v>6.4758730798340893E-12</v>
      </c>
      <c r="AM158" s="59">
        <f t="shared" si="113"/>
        <v>293.33333333333979</v>
      </c>
      <c r="AN158" s="59">
        <f ca="1">AVERAGE(OFFSET($AM$3,0,0,'Données projet'!$E$10+1,1))-AVERAGE(OFFSET($H$3,0,0,'Données projet'!$E$10+1,1))</f>
        <v>346.35147716792028</v>
      </c>
      <c r="AO158" s="59">
        <f t="shared" si="144"/>
        <v>231.36959598460686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1.1735879805462528E-18</v>
      </c>
      <c r="AX158" s="21">
        <f t="shared" si="166"/>
        <v>1.1735879805462528E-18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1.1368683772161603E-13</v>
      </c>
      <c r="BE158" s="13">
        <f>BD158*VLOOKUP('Données projet'!$B$11,Paramètres!$A$1:$I$89,3,0)*VLOOKUP('Données projet'!$B$11,Paramètres!$A$1:$I$89,5,0)</f>
        <v>6.7984728957526396E-14</v>
      </c>
      <c r="BF158" s="13">
        <f t="shared" si="167"/>
        <v>1.0682447123141398E-12</v>
      </c>
      <c r="BG158" s="20">
        <f t="shared" si="168"/>
        <v>1.978932943548152E-12</v>
      </c>
      <c r="BH158" s="59">
        <f t="shared" si="116"/>
        <v>293.3333333333353</v>
      </c>
      <c r="BI158" s="59">
        <f ca="1">AVERAGE(OFFSET($BH$3,0,0,'Données projet'!$E$11+1,1))-AVERAGE(OFFSET($H$3,0,0,'Données projet'!$E$11+1,1))</f>
        <v>257.80952690600492</v>
      </c>
      <c r="BJ158" s="59">
        <f t="shared" si="146"/>
        <v>269.95358755269427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#VALUE!</v>
      </c>
      <c r="BQ158" s="21" t="e">
        <f>EXP(-LN(2)/25)*BQ157+(1-EXP(-LN(2)/25))/(LN(2)/25)*Calculateur!BL158*Calculateur!BN158*VLOOKUP('Données projet'!$B$11,Paramètres!$A$1:$I$89,3,0)*0.475*44/12</f>
        <v>#VALUE!</v>
      </c>
      <c r="BR158" s="21" t="e">
        <f>EXP(-LN(2)/2)*BR157+(1-EXP(-LN(2)/2))/(LN(2)/2)*BL158*BO158*VLOOKUP('Données projet'!$B$11,Paramètres!$A$1:$I$89,3,0)*0.475*44/12</f>
        <v>#VALUE!</v>
      </c>
      <c r="BS158" s="22" t="e">
        <f t="shared" si="169"/>
        <v>#VALUE!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-275.00000000000028</v>
      </c>
      <c r="BZ158" s="13">
        <f>BY158*VLOOKUP('Données projet'!$B$12,Paramètres!$A$1:$I$89,3,0)*VLOOKUP('Données projet'!$B$12,Paramètres!$A$1:$I$89,5,0)</f>
        <v>-214.50000000000023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286.5685205631126</v>
      </c>
      <c r="CE158" s="59">
        <f t="shared" si="148"/>
        <v>264.17357326498581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0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2.8421709430404007E-13</v>
      </c>
      <c r="O159" s="13">
        <f>N159*VLOOKUP('Données projet'!$B$9,Paramètres!$A$1:$I$89,3,0)*VLOOKUP('Données projet'!$B$9,Paramètres!$A$1:$I$89,5,0)</f>
        <v>2.5715962692629546E-13</v>
      </c>
      <c r="P159" s="13">
        <f t="shared" si="141"/>
        <v>3.4610450122128953E-12</v>
      </c>
      <c r="Q159" s="20">
        <f t="shared" si="162"/>
        <v>6.4758730798340893E-12</v>
      </c>
      <c r="R159" s="59">
        <f t="shared" si="109"/>
        <v>293.33333333333979</v>
      </c>
      <c r="S159" s="59">
        <f ca="1">AVERAGE(OFFSET($R$3,0,0,'Données projet'!$E$9+1,1))-AVERAGE(OFFSET($H$3,0,0,'Données projet'!$E$9+1,1))</f>
        <v>346.35147716792028</v>
      </c>
      <c r="T159" s="59">
        <f t="shared" si="142"/>
        <v>231.36959598460686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8.2985201936328141E-19</v>
      </c>
      <c r="AC159" s="22">
        <f t="shared" si="163"/>
        <v>8.2985201936328141E-19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2.8421709430404007E-13</v>
      </c>
      <c r="AJ159" s="13">
        <f>AI159*VLOOKUP('Données projet'!$B$10,Paramètres!$A$1:$I$89,3,0)*VLOOKUP('Données projet'!$B$10,Paramètres!$A$1:$I$89,5,0)</f>
        <v>2.5715962692629546E-13</v>
      </c>
      <c r="AK159" s="13">
        <f t="shared" si="164"/>
        <v>3.4610450122128953E-12</v>
      </c>
      <c r="AL159" s="20">
        <f t="shared" si="165"/>
        <v>6.4758730798340893E-12</v>
      </c>
      <c r="AM159" s="59">
        <f t="shared" si="113"/>
        <v>293.33333333333979</v>
      </c>
      <c r="AN159" s="59">
        <f ca="1">AVERAGE(OFFSET($AM$3,0,0,'Données projet'!$E$10+1,1))-AVERAGE(OFFSET($H$3,0,0,'Données projet'!$E$10+1,1))</f>
        <v>346.35147716792028</v>
      </c>
      <c r="AO159" s="59">
        <f t="shared" si="144"/>
        <v>231.36959598460686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8.2985201936328141E-19</v>
      </c>
      <c r="AX159" s="21">
        <f t="shared" si="166"/>
        <v>8.2985201936328141E-19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1.1368683772161603E-13</v>
      </c>
      <c r="BE159" s="13">
        <f>BD159*VLOOKUP('Données projet'!$B$11,Paramètres!$A$1:$I$89,3,0)*VLOOKUP('Données projet'!$B$11,Paramètres!$A$1:$I$89,5,0)</f>
        <v>6.7984728957526396E-14</v>
      </c>
      <c r="BF159" s="13">
        <f t="shared" si="167"/>
        <v>1.0682447123141398E-12</v>
      </c>
      <c r="BG159" s="20">
        <f t="shared" si="168"/>
        <v>1.978932943548152E-12</v>
      </c>
      <c r="BH159" s="59">
        <f t="shared" si="116"/>
        <v>293.3333333333353</v>
      </c>
      <c r="BI159" s="59">
        <f ca="1">AVERAGE(OFFSET($BH$3,0,0,'Données projet'!$E$11+1,1))-AVERAGE(OFFSET($H$3,0,0,'Données projet'!$E$11+1,1))</f>
        <v>257.80952690600492</v>
      </c>
      <c r="BJ159" s="59">
        <f t="shared" si="146"/>
        <v>269.95358755269427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#VALUE!</v>
      </c>
      <c r="BQ159" s="21" t="e">
        <f>EXP(-LN(2)/25)*BQ158+(1-EXP(-LN(2)/25))/(LN(2)/25)*Calculateur!BL159*Calculateur!BN159*VLOOKUP('Données projet'!$B$11,Paramètres!$A$1:$I$89,3,0)*0.475*44/12</f>
        <v>#VALUE!</v>
      </c>
      <c r="BR159" s="21" t="e">
        <f>EXP(-LN(2)/2)*BR158+(1-EXP(-LN(2)/2))/(LN(2)/2)*BL159*BO159*VLOOKUP('Données projet'!$B$11,Paramètres!$A$1:$I$89,3,0)*0.475*44/12</f>
        <v>#VALUE!</v>
      </c>
      <c r="BS159" s="22" t="e">
        <f t="shared" si="169"/>
        <v>#VALUE!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-275.00000000000028</v>
      </c>
      <c r="BZ159" s="13">
        <f>BY159*VLOOKUP('Données projet'!$B$12,Paramètres!$A$1:$I$89,3,0)*VLOOKUP('Données projet'!$B$12,Paramètres!$A$1:$I$89,5,0)</f>
        <v>-214.50000000000023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286.5685205631126</v>
      </c>
      <c r="CE159" s="59">
        <f t="shared" si="148"/>
        <v>264.17357326498581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0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2.8421709430404007E-13</v>
      </c>
      <c r="O160" s="13">
        <f>N160*VLOOKUP('Données projet'!$B$9,Paramètres!$A$1:$I$89,3,0)*VLOOKUP('Données projet'!$B$9,Paramètres!$A$1:$I$89,5,0)</f>
        <v>2.5715962692629546E-13</v>
      </c>
      <c r="P160" s="13">
        <f t="shared" si="141"/>
        <v>3.4610450122128953E-12</v>
      </c>
      <c r="Q160" s="20">
        <f t="shared" si="162"/>
        <v>6.4758730798340893E-12</v>
      </c>
      <c r="R160" s="59">
        <f t="shared" si="109"/>
        <v>293.33333333333979</v>
      </c>
      <c r="S160" s="59">
        <f ca="1">AVERAGE(OFFSET($R$3,0,0,'Données projet'!$E$9+1,1))-AVERAGE(OFFSET($H$3,0,0,'Données projet'!$E$9+1,1))</f>
        <v>346.35147716792028</v>
      </c>
      <c r="T160" s="59">
        <f t="shared" si="142"/>
        <v>231.36959598460686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5.8679399027312642E-19</v>
      </c>
      <c r="AC160" s="22">
        <f t="shared" si="163"/>
        <v>5.8679399027312642E-19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2.8421709430404007E-13</v>
      </c>
      <c r="AJ160" s="13">
        <f>AI160*VLOOKUP('Données projet'!$B$10,Paramètres!$A$1:$I$89,3,0)*VLOOKUP('Données projet'!$B$10,Paramètres!$A$1:$I$89,5,0)</f>
        <v>2.5715962692629546E-13</v>
      </c>
      <c r="AK160" s="13">
        <f t="shared" si="164"/>
        <v>3.4610450122128953E-12</v>
      </c>
      <c r="AL160" s="20">
        <f t="shared" si="165"/>
        <v>6.4758730798340893E-12</v>
      </c>
      <c r="AM160" s="59">
        <f t="shared" si="113"/>
        <v>293.33333333333979</v>
      </c>
      <c r="AN160" s="59">
        <f ca="1">AVERAGE(OFFSET($AM$3,0,0,'Données projet'!$E$10+1,1))-AVERAGE(OFFSET($H$3,0,0,'Données projet'!$E$10+1,1))</f>
        <v>346.35147716792028</v>
      </c>
      <c r="AO160" s="59">
        <f t="shared" si="144"/>
        <v>231.36959598460686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5.8679399027312642E-19</v>
      </c>
      <c r="AX160" s="21">
        <f t="shared" si="166"/>
        <v>5.8679399027312642E-19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1.1368683772161603E-13</v>
      </c>
      <c r="BE160" s="13">
        <f>BD160*VLOOKUP('Données projet'!$B$11,Paramètres!$A$1:$I$89,3,0)*VLOOKUP('Données projet'!$B$11,Paramètres!$A$1:$I$89,5,0)</f>
        <v>6.7984728957526396E-14</v>
      </c>
      <c r="BF160" s="13">
        <f t="shared" si="167"/>
        <v>1.0682447123141398E-12</v>
      </c>
      <c r="BG160" s="20">
        <f t="shared" si="168"/>
        <v>1.978932943548152E-12</v>
      </c>
      <c r="BH160" s="59">
        <f t="shared" si="116"/>
        <v>293.3333333333353</v>
      </c>
      <c r="BI160" s="59">
        <f ca="1">AVERAGE(OFFSET($BH$3,0,0,'Données projet'!$E$11+1,1))-AVERAGE(OFFSET($H$3,0,0,'Données projet'!$E$11+1,1))</f>
        <v>257.80952690600492</v>
      </c>
      <c r="BJ160" s="59">
        <f t="shared" si="146"/>
        <v>269.95358755269427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#VALUE!</v>
      </c>
      <c r="BQ160" s="21" t="e">
        <f>EXP(-LN(2)/25)*BQ159+(1-EXP(-LN(2)/25))/(LN(2)/25)*Calculateur!BL160*Calculateur!BN160*VLOOKUP('Données projet'!$B$11,Paramètres!$A$1:$I$89,3,0)*0.475*44/12</f>
        <v>#VALUE!</v>
      </c>
      <c r="BR160" s="21" t="e">
        <f>EXP(-LN(2)/2)*BR159+(1-EXP(-LN(2)/2))/(LN(2)/2)*BL160*BO160*VLOOKUP('Données projet'!$B$11,Paramètres!$A$1:$I$89,3,0)*0.475*44/12</f>
        <v>#VALUE!</v>
      </c>
      <c r="BS160" s="22" t="e">
        <f t="shared" si="169"/>
        <v>#VALUE!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-275.00000000000028</v>
      </c>
      <c r="BZ160" s="13">
        <f>BY160*VLOOKUP('Données projet'!$B$12,Paramètres!$A$1:$I$89,3,0)*VLOOKUP('Données projet'!$B$12,Paramètres!$A$1:$I$89,5,0)</f>
        <v>-214.50000000000023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286.5685205631126</v>
      </c>
      <c r="CE160" s="59">
        <f t="shared" si="148"/>
        <v>264.17357326498581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0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2.8421709430404007E-13</v>
      </c>
      <c r="O161" s="13">
        <f>N161*VLOOKUP('Données projet'!$B$9,Paramètres!$A$1:$I$89,3,0)*VLOOKUP('Données projet'!$B$9,Paramètres!$A$1:$I$89,5,0)</f>
        <v>2.5715962692629546E-13</v>
      </c>
      <c r="P161" s="13">
        <f t="shared" si="141"/>
        <v>3.4610450122128953E-12</v>
      </c>
      <c r="Q161" s="20">
        <f t="shared" si="162"/>
        <v>6.4758730798340893E-12</v>
      </c>
      <c r="R161" s="59">
        <f t="shared" si="109"/>
        <v>293.33333333333979</v>
      </c>
      <c r="S161" s="59">
        <f ca="1">AVERAGE(OFFSET($R$3,0,0,'Données projet'!$E$9+1,1))-AVERAGE(OFFSET($H$3,0,0,'Données projet'!$E$9+1,1))</f>
        <v>346.35147716792028</v>
      </c>
      <c r="T161" s="59">
        <f t="shared" si="142"/>
        <v>231.36959598460686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4.149260096816407E-19</v>
      </c>
      <c r="AC161" s="22">
        <f t="shared" si="163"/>
        <v>4.149260096816407E-19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2.8421709430404007E-13</v>
      </c>
      <c r="AJ161" s="13">
        <f>AI161*VLOOKUP('Données projet'!$B$10,Paramètres!$A$1:$I$89,3,0)*VLOOKUP('Données projet'!$B$10,Paramètres!$A$1:$I$89,5,0)</f>
        <v>2.5715962692629546E-13</v>
      </c>
      <c r="AK161" s="13">
        <f t="shared" si="164"/>
        <v>3.4610450122128953E-12</v>
      </c>
      <c r="AL161" s="20">
        <f t="shared" si="165"/>
        <v>6.4758730798340893E-12</v>
      </c>
      <c r="AM161" s="59">
        <f t="shared" si="113"/>
        <v>293.33333333333979</v>
      </c>
      <c r="AN161" s="59">
        <f ca="1">AVERAGE(OFFSET($AM$3,0,0,'Données projet'!$E$10+1,1))-AVERAGE(OFFSET($H$3,0,0,'Données projet'!$E$10+1,1))</f>
        <v>346.35147716792028</v>
      </c>
      <c r="AO161" s="59">
        <f t="shared" si="144"/>
        <v>231.36959598460686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4.149260096816407E-19</v>
      </c>
      <c r="AX161" s="21">
        <f t="shared" si="166"/>
        <v>4.149260096816407E-19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1.1368683772161603E-13</v>
      </c>
      <c r="BE161" s="13">
        <f>BD161*VLOOKUP('Données projet'!$B$11,Paramètres!$A$1:$I$89,3,0)*VLOOKUP('Données projet'!$B$11,Paramètres!$A$1:$I$89,5,0)</f>
        <v>6.7984728957526396E-14</v>
      </c>
      <c r="BF161" s="13">
        <f t="shared" si="167"/>
        <v>1.0682447123141398E-12</v>
      </c>
      <c r="BG161" s="20">
        <f t="shared" si="168"/>
        <v>1.978932943548152E-12</v>
      </c>
      <c r="BH161" s="59">
        <f t="shared" si="116"/>
        <v>293.3333333333353</v>
      </c>
      <c r="BI161" s="59">
        <f ca="1">AVERAGE(OFFSET($BH$3,0,0,'Données projet'!$E$11+1,1))-AVERAGE(OFFSET($H$3,0,0,'Données projet'!$E$11+1,1))</f>
        <v>257.80952690600492</v>
      </c>
      <c r="BJ161" s="59">
        <f t="shared" si="146"/>
        <v>269.95358755269427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#VALUE!</v>
      </c>
      <c r="BQ161" s="21" t="e">
        <f>EXP(-LN(2)/25)*BQ160+(1-EXP(-LN(2)/25))/(LN(2)/25)*Calculateur!BL161*Calculateur!BN161*VLOOKUP('Données projet'!$B$11,Paramètres!$A$1:$I$89,3,0)*0.475*44/12</f>
        <v>#VALUE!</v>
      </c>
      <c r="BR161" s="21" t="e">
        <f>EXP(-LN(2)/2)*BR160+(1-EXP(-LN(2)/2))/(LN(2)/2)*BL161*BO161*VLOOKUP('Données projet'!$B$11,Paramètres!$A$1:$I$89,3,0)*0.475*44/12</f>
        <v>#VALUE!</v>
      </c>
      <c r="BS161" s="22" t="e">
        <f t="shared" si="169"/>
        <v>#VALUE!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-275.00000000000028</v>
      </c>
      <c r="BZ161" s="13">
        <f>BY161*VLOOKUP('Données projet'!$B$12,Paramètres!$A$1:$I$89,3,0)*VLOOKUP('Données projet'!$B$12,Paramètres!$A$1:$I$89,5,0)</f>
        <v>-214.50000000000023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286.5685205631126</v>
      </c>
      <c r="CE161" s="59">
        <f t="shared" si="148"/>
        <v>264.17357326498581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0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2.8421709430404007E-13</v>
      </c>
      <c r="O162" s="13">
        <f>N162*VLOOKUP('Données projet'!$B$9,Paramètres!$A$1:$I$89,3,0)*VLOOKUP('Données projet'!$B$9,Paramètres!$A$1:$I$89,5,0)</f>
        <v>2.5715962692629546E-13</v>
      </c>
      <c r="P162" s="13">
        <f t="shared" si="141"/>
        <v>3.4610450122128953E-12</v>
      </c>
      <c r="Q162" s="20">
        <f t="shared" si="162"/>
        <v>6.4758730798340893E-12</v>
      </c>
      <c r="R162" s="59">
        <f t="shared" si="109"/>
        <v>293.33333333333979</v>
      </c>
      <c r="S162" s="59">
        <f ca="1">AVERAGE(OFFSET($R$3,0,0,'Données projet'!$E$9+1,1))-AVERAGE(OFFSET($H$3,0,0,'Données projet'!$E$9+1,1))</f>
        <v>346.35147716792028</v>
      </c>
      <c r="T162" s="59">
        <f t="shared" si="142"/>
        <v>231.36959598460686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2.9339699513656321E-19</v>
      </c>
      <c r="AC162" s="22">
        <f t="shared" si="163"/>
        <v>2.9339699513656321E-19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2.8421709430404007E-13</v>
      </c>
      <c r="AJ162" s="13">
        <f>AI162*VLOOKUP('Données projet'!$B$10,Paramètres!$A$1:$I$89,3,0)*VLOOKUP('Données projet'!$B$10,Paramètres!$A$1:$I$89,5,0)</f>
        <v>2.5715962692629546E-13</v>
      </c>
      <c r="AK162" s="13">
        <f t="shared" si="164"/>
        <v>3.4610450122128953E-12</v>
      </c>
      <c r="AL162" s="20">
        <f t="shared" si="165"/>
        <v>6.4758730798340893E-12</v>
      </c>
      <c r="AM162" s="59">
        <f t="shared" si="113"/>
        <v>293.33333333333979</v>
      </c>
      <c r="AN162" s="59">
        <f ca="1">AVERAGE(OFFSET($AM$3,0,0,'Données projet'!$E$10+1,1))-AVERAGE(OFFSET($H$3,0,0,'Données projet'!$E$10+1,1))</f>
        <v>346.35147716792028</v>
      </c>
      <c r="AO162" s="59">
        <f t="shared" si="144"/>
        <v>231.36959598460686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2.9339699513656321E-19</v>
      </c>
      <c r="AX162" s="21">
        <f t="shared" si="166"/>
        <v>2.9339699513656321E-19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1.1368683772161603E-13</v>
      </c>
      <c r="BE162" s="13">
        <f>BD162*VLOOKUP('Données projet'!$B$11,Paramètres!$A$1:$I$89,3,0)*VLOOKUP('Données projet'!$B$11,Paramètres!$A$1:$I$89,5,0)</f>
        <v>6.7984728957526396E-14</v>
      </c>
      <c r="BF162" s="13">
        <f t="shared" si="167"/>
        <v>1.0682447123141398E-12</v>
      </c>
      <c r="BG162" s="20">
        <f t="shared" si="168"/>
        <v>1.978932943548152E-12</v>
      </c>
      <c r="BH162" s="59">
        <f t="shared" si="116"/>
        <v>293.3333333333353</v>
      </c>
      <c r="BI162" s="59">
        <f ca="1">AVERAGE(OFFSET($BH$3,0,0,'Données projet'!$E$11+1,1))-AVERAGE(OFFSET($H$3,0,0,'Données projet'!$E$11+1,1))</f>
        <v>257.80952690600492</v>
      </c>
      <c r="BJ162" s="59">
        <f t="shared" si="146"/>
        <v>269.95358755269427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#VALUE!</v>
      </c>
      <c r="BQ162" s="21" t="e">
        <f>EXP(-LN(2)/25)*BQ161+(1-EXP(-LN(2)/25))/(LN(2)/25)*Calculateur!BL162*Calculateur!BN162*VLOOKUP('Données projet'!$B$11,Paramètres!$A$1:$I$89,3,0)*0.475*44/12</f>
        <v>#VALUE!</v>
      </c>
      <c r="BR162" s="21" t="e">
        <f>EXP(-LN(2)/2)*BR161+(1-EXP(-LN(2)/2))/(LN(2)/2)*BL162*BO162*VLOOKUP('Données projet'!$B$11,Paramètres!$A$1:$I$89,3,0)*0.475*44/12</f>
        <v>#VALUE!</v>
      </c>
      <c r="BS162" s="22" t="e">
        <f t="shared" si="169"/>
        <v>#VALUE!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-275.00000000000028</v>
      </c>
      <c r="BZ162" s="13">
        <f>BY162*VLOOKUP('Données projet'!$B$12,Paramètres!$A$1:$I$89,3,0)*VLOOKUP('Données projet'!$B$12,Paramètres!$A$1:$I$89,5,0)</f>
        <v>-214.50000000000023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286.5685205631126</v>
      </c>
      <c r="CE162" s="59">
        <f t="shared" si="148"/>
        <v>264.17357326498581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0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2.8421709430404007E-13</v>
      </c>
      <c r="O163" s="13">
        <f>N163*VLOOKUP('Données projet'!$B$9,Paramètres!$A$1:$I$89,3,0)*VLOOKUP('Données projet'!$B$9,Paramètres!$A$1:$I$89,5,0)</f>
        <v>2.5715962692629546E-13</v>
      </c>
      <c r="P163" s="13">
        <f t="shared" si="141"/>
        <v>3.4610450122128953E-12</v>
      </c>
      <c r="Q163" s="20">
        <f t="shared" si="162"/>
        <v>6.4758730798340893E-12</v>
      </c>
      <c r="R163" s="59">
        <f t="shared" si="109"/>
        <v>293.33333333333979</v>
      </c>
      <c r="S163" s="59">
        <f ca="1">AVERAGE(OFFSET($R$3,0,0,'Données projet'!$E$9+1,1))-AVERAGE(OFFSET($H$3,0,0,'Données projet'!$E$9+1,1))</f>
        <v>346.35147716792028</v>
      </c>
      <c r="T163" s="59">
        <f t="shared" si="142"/>
        <v>231.36959598460686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2.0746300484082035E-19</v>
      </c>
      <c r="AC163" s="22">
        <f t="shared" si="163"/>
        <v>2.0746300484082035E-19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2.8421709430404007E-13</v>
      </c>
      <c r="AJ163" s="13">
        <f>AI163*VLOOKUP('Données projet'!$B$10,Paramètres!$A$1:$I$89,3,0)*VLOOKUP('Données projet'!$B$10,Paramètres!$A$1:$I$89,5,0)</f>
        <v>2.5715962692629546E-13</v>
      </c>
      <c r="AK163" s="13">
        <f t="shared" si="164"/>
        <v>3.4610450122128953E-12</v>
      </c>
      <c r="AL163" s="20">
        <f t="shared" si="165"/>
        <v>6.4758730798340893E-12</v>
      </c>
      <c r="AM163" s="59">
        <f t="shared" si="113"/>
        <v>293.33333333333979</v>
      </c>
      <c r="AN163" s="59">
        <f ca="1">AVERAGE(OFFSET($AM$3,0,0,'Données projet'!$E$10+1,1))-AVERAGE(OFFSET($H$3,0,0,'Données projet'!$E$10+1,1))</f>
        <v>346.35147716792028</v>
      </c>
      <c r="AO163" s="59">
        <f t="shared" si="144"/>
        <v>231.36959598460686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2.0746300484082035E-19</v>
      </c>
      <c r="AX163" s="21">
        <f t="shared" si="166"/>
        <v>2.0746300484082035E-19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1.1368683772161603E-13</v>
      </c>
      <c r="BE163" s="13">
        <f>BD163*VLOOKUP('Données projet'!$B$11,Paramètres!$A$1:$I$89,3,0)*VLOOKUP('Données projet'!$B$11,Paramètres!$A$1:$I$89,5,0)</f>
        <v>6.7984728957526396E-14</v>
      </c>
      <c r="BF163" s="13">
        <f t="shared" si="167"/>
        <v>1.0682447123141398E-12</v>
      </c>
      <c r="BG163" s="20">
        <f t="shared" si="168"/>
        <v>1.978932943548152E-12</v>
      </c>
      <c r="BH163" s="59">
        <f t="shared" si="116"/>
        <v>293.3333333333353</v>
      </c>
      <c r="BI163" s="59">
        <f ca="1">AVERAGE(OFFSET($BH$3,0,0,'Données projet'!$E$11+1,1))-AVERAGE(OFFSET($H$3,0,0,'Données projet'!$E$11+1,1))</f>
        <v>257.80952690600492</v>
      </c>
      <c r="BJ163" s="59">
        <f t="shared" si="146"/>
        <v>269.95358755269427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#VALUE!</v>
      </c>
      <c r="BQ163" s="21" t="e">
        <f>EXP(-LN(2)/25)*BQ162+(1-EXP(-LN(2)/25))/(LN(2)/25)*Calculateur!BL163*Calculateur!BN163*VLOOKUP('Données projet'!$B$11,Paramètres!$A$1:$I$89,3,0)*0.475*44/12</f>
        <v>#VALUE!</v>
      </c>
      <c r="BR163" s="21" t="e">
        <f>EXP(-LN(2)/2)*BR162+(1-EXP(-LN(2)/2))/(LN(2)/2)*BL163*BO163*VLOOKUP('Données projet'!$B$11,Paramètres!$A$1:$I$89,3,0)*0.475*44/12</f>
        <v>#VALUE!</v>
      </c>
      <c r="BS163" s="22" t="e">
        <f t="shared" si="169"/>
        <v>#VALUE!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-275.00000000000028</v>
      </c>
      <c r="BZ163" s="13">
        <f>BY163*VLOOKUP('Données projet'!$B$12,Paramètres!$A$1:$I$89,3,0)*VLOOKUP('Données projet'!$B$12,Paramètres!$A$1:$I$89,5,0)</f>
        <v>-214.50000000000023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286.5685205631126</v>
      </c>
      <c r="CE163" s="59">
        <f t="shared" si="148"/>
        <v>264.17357326498581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0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2.8421709430404007E-13</v>
      </c>
      <c r="O164" s="13">
        <f>N164*VLOOKUP('Données projet'!$B$9,Paramètres!$A$1:$I$89,3,0)*VLOOKUP('Données projet'!$B$9,Paramètres!$A$1:$I$89,5,0)</f>
        <v>2.5715962692629546E-13</v>
      </c>
      <c r="P164" s="13">
        <f t="shared" si="141"/>
        <v>3.4610450122128953E-12</v>
      </c>
      <c r="Q164" s="20">
        <f t="shared" si="162"/>
        <v>6.4758730798340893E-12</v>
      </c>
      <c r="R164" s="59">
        <f t="shared" si="109"/>
        <v>293.33333333333979</v>
      </c>
      <c r="S164" s="59">
        <f ca="1">AVERAGE(OFFSET($R$3,0,0,'Données projet'!$E$9+1,1))-AVERAGE(OFFSET($H$3,0,0,'Données projet'!$E$9+1,1))</f>
        <v>346.35147716792028</v>
      </c>
      <c r="T164" s="59">
        <f t="shared" si="142"/>
        <v>231.36959598460686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1.466984975682816E-19</v>
      </c>
      <c r="AC164" s="22">
        <f t="shared" si="163"/>
        <v>1.466984975682816E-19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2.8421709430404007E-13</v>
      </c>
      <c r="AJ164" s="13">
        <f>AI164*VLOOKUP('Données projet'!$B$10,Paramètres!$A$1:$I$89,3,0)*VLOOKUP('Données projet'!$B$10,Paramètres!$A$1:$I$89,5,0)</f>
        <v>2.5715962692629546E-13</v>
      </c>
      <c r="AK164" s="13">
        <f t="shared" si="164"/>
        <v>3.4610450122128953E-12</v>
      </c>
      <c r="AL164" s="20">
        <f t="shared" si="165"/>
        <v>6.4758730798340893E-12</v>
      </c>
      <c r="AM164" s="59">
        <f t="shared" si="113"/>
        <v>293.33333333333979</v>
      </c>
      <c r="AN164" s="59">
        <f ca="1">AVERAGE(OFFSET($AM$3,0,0,'Données projet'!$E$10+1,1))-AVERAGE(OFFSET($H$3,0,0,'Données projet'!$E$10+1,1))</f>
        <v>346.35147716792028</v>
      </c>
      <c r="AO164" s="59">
        <f t="shared" si="144"/>
        <v>231.36959598460686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1.466984975682816E-19</v>
      </c>
      <c r="AX164" s="21">
        <f t="shared" si="166"/>
        <v>1.466984975682816E-19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1.1368683772161603E-13</v>
      </c>
      <c r="BE164" s="13">
        <f>BD164*VLOOKUP('Données projet'!$B$11,Paramètres!$A$1:$I$89,3,0)*VLOOKUP('Données projet'!$B$11,Paramètres!$A$1:$I$89,5,0)</f>
        <v>6.7984728957526396E-14</v>
      </c>
      <c r="BF164" s="13">
        <f t="shared" si="167"/>
        <v>1.0682447123141398E-12</v>
      </c>
      <c r="BG164" s="20">
        <f t="shared" si="168"/>
        <v>1.978932943548152E-12</v>
      </c>
      <c r="BH164" s="59">
        <f t="shared" si="116"/>
        <v>293.3333333333353</v>
      </c>
      <c r="BI164" s="59">
        <f ca="1">AVERAGE(OFFSET($BH$3,0,0,'Données projet'!$E$11+1,1))-AVERAGE(OFFSET($H$3,0,0,'Données projet'!$E$11+1,1))</f>
        <v>257.80952690600492</v>
      </c>
      <c r="BJ164" s="59">
        <f t="shared" si="146"/>
        <v>269.95358755269427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#VALUE!</v>
      </c>
      <c r="BQ164" s="21" t="e">
        <f>EXP(-LN(2)/25)*BQ163+(1-EXP(-LN(2)/25))/(LN(2)/25)*Calculateur!BL164*Calculateur!BN164*VLOOKUP('Données projet'!$B$11,Paramètres!$A$1:$I$89,3,0)*0.475*44/12</f>
        <v>#VALUE!</v>
      </c>
      <c r="BR164" s="21" t="e">
        <f>EXP(-LN(2)/2)*BR163+(1-EXP(-LN(2)/2))/(LN(2)/2)*BL164*BO164*VLOOKUP('Données projet'!$B$11,Paramètres!$A$1:$I$89,3,0)*0.475*44/12</f>
        <v>#VALUE!</v>
      </c>
      <c r="BS164" s="22" t="e">
        <f t="shared" si="169"/>
        <v>#VALUE!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-275.00000000000028</v>
      </c>
      <c r="BZ164" s="13">
        <f>BY164*VLOOKUP('Données projet'!$B$12,Paramètres!$A$1:$I$89,3,0)*VLOOKUP('Données projet'!$B$12,Paramètres!$A$1:$I$89,5,0)</f>
        <v>-214.50000000000023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286.5685205631126</v>
      </c>
      <c r="CE164" s="59">
        <f t="shared" si="148"/>
        <v>264.17357326498581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0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2.8421709430404007E-13</v>
      </c>
      <c r="O165" s="13">
        <f>N165*VLOOKUP('Données projet'!$B$9,Paramètres!$A$1:$I$89,3,0)*VLOOKUP('Données projet'!$B$9,Paramètres!$A$1:$I$89,5,0)</f>
        <v>2.5715962692629546E-13</v>
      </c>
      <c r="P165" s="13">
        <f t="shared" si="141"/>
        <v>3.4610450122128953E-12</v>
      </c>
      <c r="Q165" s="20">
        <f t="shared" si="162"/>
        <v>6.4758730798340893E-12</v>
      </c>
      <c r="R165" s="59">
        <f t="shared" si="109"/>
        <v>293.33333333333979</v>
      </c>
      <c r="S165" s="59">
        <f ca="1">AVERAGE(OFFSET($R$3,0,0,'Données projet'!$E$9+1,1))-AVERAGE(OFFSET($H$3,0,0,'Données projet'!$E$9+1,1))</f>
        <v>346.35147716792028</v>
      </c>
      <c r="T165" s="59">
        <f t="shared" si="142"/>
        <v>231.36959598460686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1.0373150242041018E-19</v>
      </c>
      <c r="AC165" s="22">
        <f t="shared" si="163"/>
        <v>1.0373150242041018E-19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2.8421709430404007E-13</v>
      </c>
      <c r="AJ165" s="13">
        <f>AI165*VLOOKUP('Données projet'!$B$10,Paramètres!$A$1:$I$89,3,0)*VLOOKUP('Données projet'!$B$10,Paramètres!$A$1:$I$89,5,0)</f>
        <v>2.5715962692629546E-13</v>
      </c>
      <c r="AK165" s="13">
        <f t="shared" si="164"/>
        <v>3.4610450122128953E-12</v>
      </c>
      <c r="AL165" s="20">
        <f t="shared" si="165"/>
        <v>6.4758730798340893E-12</v>
      </c>
      <c r="AM165" s="59">
        <f t="shared" si="113"/>
        <v>293.33333333333979</v>
      </c>
      <c r="AN165" s="59">
        <f ca="1">AVERAGE(OFFSET($AM$3,0,0,'Données projet'!$E$10+1,1))-AVERAGE(OFFSET($H$3,0,0,'Données projet'!$E$10+1,1))</f>
        <v>346.35147716792028</v>
      </c>
      <c r="AO165" s="59">
        <f t="shared" si="144"/>
        <v>231.36959598460686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1.0373150242041018E-19</v>
      </c>
      <c r="AX165" s="21">
        <f t="shared" si="166"/>
        <v>1.0373150242041018E-19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1.1368683772161603E-13</v>
      </c>
      <c r="BE165" s="13">
        <f>BD165*VLOOKUP('Données projet'!$B$11,Paramètres!$A$1:$I$89,3,0)*VLOOKUP('Données projet'!$B$11,Paramètres!$A$1:$I$89,5,0)</f>
        <v>6.7984728957526396E-14</v>
      </c>
      <c r="BF165" s="13">
        <f t="shared" si="167"/>
        <v>1.0682447123141398E-12</v>
      </c>
      <c r="BG165" s="20">
        <f t="shared" si="168"/>
        <v>1.978932943548152E-12</v>
      </c>
      <c r="BH165" s="59">
        <f t="shared" si="116"/>
        <v>293.3333333333353</v>
      </c>
      <c r="BI165" s="59">
        <f ca="1">AVERAGE(OFFSET($BH$3,0,0,'Données projet'!$E$11+1,1))-AVERAGE(OFFSET($H$3,0,0,'Données projet'!$E$11+1,1))</f>
        <v>257.80952690600492</v>
      </c>
      <c r="BJ165" s="59">
        <f t="shared" si="146"/>
        <v>269.95358755269427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#VALUE!</v>
      </c>
      <c r="BQ165" s="21" t="e">
        <f>EXP(-LN(2)/25)*BQ164+(1-EXP(-LN(2)/25))/(LN(2)/25)*Calculateur!BL165*Calculateur!BN165*VLOOKUP('Données projet'!$B$11,Paramètres!$A$1:$I$89,3,0)*0.475*44/12</f>
        <v>#VALUE!</v>
      </c>
      <c r="BR165" s="21" t="e">
        <f>EXP(-LN(2)/2)*BR164+(1-EXP(-LN(2)/2))/(LN(2)/2)*BL165*BO165*VLOOKUP('Données projet'!$B$11,Paramètres!$A$1:$I$89,3,0)*0.475*44/12</f>
        <v>#VALUE!</v>
      </c>
      <c r="BS165" s="22" t="e">
        <f t="shared" si="169"/>
        <v>#VALUE!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-275.00000000000028</v>
      </c>
      <c r="BZ165" s="13">
        <f>BY165*VLOOKUP('Données projet'!$B$12,Paramètres!$A$1:$I$89,3,0)*VLOOKUP('Données projet'!$B$12,Paramètres!$A$1:$I$89,5,0)</f>
        <v>-214.50000000000023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286.5685205631126</v>
      </c>
      <c r="CE165" s="59">
        <f t="shared" si="148"/>
        <v>264.17357326498581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0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2.8421709430404007E-13</v>
      </c>
      <c r="O166" s="13">
        <f>N166*VLOOKUP('Données projet'!$B$9,Paramètres!$A$1:$I$89,3,0)*VLOOKUP('Données projet'!$B$9,Paramètres!$A$1:$I$89,5,0)</f>
        <v>2.5715962692629546E-13</v>
      </c>
      <c r="P166" s="13">
        <f t="shared" si="141"/>
        <v>3.4610450122128953E-12</v>
      </c>
      <c r="Q166" s="20">
        <f t="shared" si="162"/>
        <v>6.4758730798340893E-12</v>
      </c>
      <c r="R166" s="59">
        <f t="shared" si="109"/>
        <v>293.33333333333979</v>
      </c>
      <c r="S166" s="59">
        <f ca="1">AVERAGE(OFFSET($R$3,0,0,'Données projet'!$E$9+1,1))-AVERAGE(OFFSET($H$3,0,0,'Données projet'!$E$9+1,1))</f>
        <v>346.35147716792028</v>
      </c>
      <c r="T166" s="59">
        <f t="shared" si="142"/>
        <v>231.36959598460686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7.3349248784140802E-20</v>
      </c>
      <c r="AC166" s="22">
        <f t="shared" si="163"/>
        <v>7.3349248784140802E-20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2.8421709430404007E-13</v>
      </c>
      <c r="AJ166" s="13">
        <f>AI166*VLOOKUP('Données projet'!$B$10,Paramètres!$A$1:$I$89,3,0)*VLOOKUP('Données projet'!$B$10,Paramètres!$A$1:$I$89,5,0)</f>
        <v>2.5715962692629546E-13</v>
      </c>
      <c r="AK166" s="13">
        <f t="shared" si="164"/>
        <v>3.4610450122128953E-12</v>
      </c>
      <c r="AL166" s="20">
        <f t="shared" si="165"/>
        <v>6.4758730798340893E-12</v>
      </c>
      <c r="AM166" s="59">
        <f t="shared" si="113"/>
        <v>293.33333333333979</v>
      </c>
      <c r="AN166" s="59">
        <f ca="1">AVERAGE(OFFSET($AM$3,0,0,'Données projet'!$E$10+1,1))-AVERAGE(OFFSET($H$3,0,0,'Données projet'!$E$10+1,1))</f>
        <v>346.35147716792028</v>
      </c>
      <c r="AO166" s="59">
        <f t="shared" si="144"/>
        <v>231.36959598460686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7.3349248784140802E-20</v>
      </c>
      <c r="AX166" s="21">
        <f t="shared" si="166"/>
        <v>7.3349248784140802E-20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1.1368683772161603E-13</v>
      </c>
      <c r="BE166" s="13">
        <f>BD166*VLOOKUP('Données projet'!$B$11,Paramètres!$A$1:$I$89,3,0)*VLOOKUP('Données projet'!$B$11,Paramètres!$A$1:$I$89,5,0)</f>
        <v>6.7984728957526396E-14</v>
      </c>
      <c r="BF166" s="13">
        <f t="shared" si="167"/>
        <v>1.0682447123141398E-12</v>
      </c>
      <c r="BG166" s="20">
        <f t="shared" si="168"/>
        <v>1.978932943548152E-12</v>
      </c>
      <c r="BH166" s="59">
        <f t="shared" si="116"/>
        <v>293.3333333333353</v>
      </c>
      <c r="BI166" s="59">
        <f ca="1">AVERAGE(OFFSET($BH$3,0,0,'Données projet'!$E$11+1,1))-AVERAGE(OFFSET($H$3,0,0,'Données projet'!$E$11+1,1))</f>
        <v>257.80952690600492</v>
      </c>
      <c r="BJ166" s="59">
        <f t="shared" si="146"/>
        <v>269.95358755269427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#VALUE!</v>
      </c>
      <c r="BQ166" s="21" t="e">
        <f>EXP(-LN(2)/25)*BQ165+(1-EXP(-LN(2)/25))/(LN(2)/25)*Calculateur!BL166*Calculateur!BN166*VLOOKUP('Données projet'!$B$11,Paramètres!$A$1:$I$89,3,0)*0.475*44/12</f>
        <v>#VALUE!</v>
      </c>
      <c r="BR166" s="21" t="e">
        <f>EXP(-LN(2)/2)*BR165+(1-EXP(-LN(2)/2))/(LN(2)/2)*BL166*BO166*VLOOKUP('Données projet'!$B$11,Paramètres!$A$1:$I$89,3,0)*0.475*44/12</f>
        <v>#VALUE!</v>
      </c>
      <c r="BS166" s="22" t="e">
        <f t="shared" si="169"/>
        <v>#VALUE!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-275.00000000000028</v>
      </c>
      <c r="BZ166" s="13">
        <f>BY166*VLOOKUP('Données projet'!$B$12,Paramètres!$A$1:$I$89,3,0)*VLOOKUP('Données projet'!$B$12,Paramètres!$A$1:$I$89,5,0)</f>
        <v>-214.50000000000023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286.5685205631126</v>
      </c>
      <c r="CE166" s="59">
        <f t="shared" si="148"/>
        <v>264.17357326498581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0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2.8421709430404007E-13</v>
      </c>
      <c r="O167" s="13">
        <f>N167*VLOOKUP('Données projet'!$B$9,Paramètres!$A$1:$I$89,3,0)*VLOOKUP('Données projet'!$B$9,Paramètres!$A$1:$I$89,5,0)</f>
        <v>2.5715962692629546E-13</v>
      </c>
      <c r="P167" s="13">
        <f t="shared" si="141"/>
        <v>3.4610450122128953E-12</v>
      </c>
      <c r="Q167" s="20">
        <f t="shared" si="162"/>
        <v>6.4758730798340893E-12</v>
      </c>
      <c r="R167" s="59">
        <f t="shared" si="109"/>
        <v>293.33333333333979</v>
      </c>
      <c r="S167" s="59">
        <f ca="1">AVERAGE(OFFSET($R$3,0,0,'Données projet'!$E$9+1,1))-AVERAGE(OFFSET($H$3,0,0,'Données projet'!$E$9+1,1))</f>
        <v>346.35147716792028</v>
      </c>
      <c r="T167" s="59">
        <f t="shared" si="142"/>
        <v>231.36959598460686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5.1865751210205088E-20</v>
      </c>
      <c r="AC167" s="22">
        <f t="shared" si="163"/>
        <v>5.1865751210205088E-20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2.8421709430404007E-13</v>
      </c>
      <c r="AJ167" s="13">
        <f>AI167*VLOOKUP('Données projet'!$B$10,Paramètres!$A$1:$I$89,3,0)*VLOOKUP('Données projet'!$B$10,Paramètres!$A$1:$I$89,5,0)</f>
        <v>2.5715962692629546E-13</v>
      </c>
      <c r="AK167" s="13">
        <f t="shared" si="164"/>
        <v>3.4610450122128953E-12</v>
      </c>
      <c r="AL167" s="20">
        <f t="shared" si="165"/>
        <v>6.4758730798340893E-12</v>
      </c>
      <c r="AM167" s="59">
        <f t="shared" si="113"/>
        <v>293.33333333333979</v>
      </c>
      <c r="AN167" s="59">
        <f ca="1">AVERAGE(OFFSET($AM$3,0,0,'Données projet'!$E$10+1,1))-AVERAGE(OFFSET($H$3,0,0,'Données projet'!$E$10+1,1))</f>
        <v>346.35147716792028</v>
      </c>
      <c r="AO167" s="59">
        <f t="shared" si="144"/>
        <v>231.36959598460686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5.1865751210205088E-20</v>
      </c>
      <c r="AX167" s="21">
        <f t="shared" si="166"/>
        <v>5.1865751210205088E-20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1.1368683772161603E-13</v>
      </c>
      <c r="BE167" s="13">
        <f>BD167*VLOOKUP('Données projet'!$B$11,Paramètres!$A$1:$I$89,3,0)*VLOOKUP('Données projet'!$B$11,Paramètres!$A$1:$I$89,5,0)</f>
        <v>6.7984728957526396E-14</v>
      </c>
      <c r="BF167" s="13">
        <f t="shared" si="167"/>
        <v>1.0682447123141398E-12</v>
      </c>
      <c r="BG167" s="20">
        <f t="shared" si="168"/>
        <v>1.978932943548152E-12</v>
      </c>
      <c r="BH167" s="59">
        <f t="shared" si="116"/>
        <v>293.3333333333353</v>
      </c>
      <c r="BI167" s="59">
        <f ca="1">AVERAGE(OFFSET($BH$3,0,0,'Données projet'!$E$11+1,1))-AVERAGE(OFFSET($H$3,0,0,'Données projet'!$E$11+1,1))</f>
        <v>257.80952690600492</v>
      </c>
      <c r="BJ167" s="59">
        <f t="shared" si="146"/>
        <v>269.95358755269427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#VALUE!</v>
      </c>
      <c r="BQ167" s="21" t="e">
        <f>EXP(-LN(2)/25)*BQ166+(1-EXP(-LN(2)/25))/(LN(2)/25)*Calculateur!BL167*Calculateur!BN167*VLOOKUP('Données projet'!$B$11,Paramètres!$A$1:$I$89,3,0)*0.475*44/12</f>
        <v>#VALUE!</v>
      </c>
      <c r="BR167" s="21" t="e">
        <f>EXP(-LN(2)/2)*BR166+(1-EXP(-LN(2)/2))/(LN(2)/2)*BL167*BO167*VLOOKUP('Données projet'!$B$11,Paramètres!$A$1:$I$89,3,0)*0.475*44/12</f>
        <v>#VALUE!</v>
      </c>
      <c r="BS167" s="22" t="e">
        <f t="shared" si="169"/>
        <v>#VALUE!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-275.00000000000028</v>
      </c>
      <c r="BZ167" s="13">
        <f>BY167*VLOOKUP('Données projet'!$B$12,Paramètres!$A$1:$I$89,3,0)*VLOOKUP('Données projet'!$B$12,Paramètres!$A$1:$I$89,5,0)</f>
        <v>-214.50000000000023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286.5685205631126</v>
      </c>
      <c r="CE167" s="59">
        <f t="shared" si="148"/>
        <v>264.17357326498581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0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2.8421709430404007E-13</v>
      </c>
      <c r="O168" s="13">
        <f>N168*VLOOKUP('Données projet'!$B$9,Paramètres!$A$1:$I$89,3,0)*VLOOKUP('Données projet'!$B$9,Paramètres!$A$1:$I$89,5,0)</f>
        <v>2.5715962692629546E-13</v>
      </c>
      <c r="P168" s="13">
        <f t="shared" si="141"/>
        <v>3.4610450122128953E-12</v>
      </c>
      <c r="Q168" s="20">
        <f t="shared" si="162"/>
        <v>6.4758730798340893E-12</v>
      </c>
      <c r="R168" s="59">
        <f t="shared" si="109"/>
        <v>293.33333333333979</v>
      </c>
      <c r="S168" s="59">
        <f ca="1">AVERAGE(OFFSET($R$3,0,0,'Données projet'!$E$9+1,1))-AVERAGE(OFFSET($H$3,0,0,'Données projet'!$E$9+1,1))</f>
        <v>346.35147716792028</v>
      </c>
      <c r="T168" s="59">
        <f t="shared" si="142"/>
        <v>231.36959598460686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3.6674624392070401E-20</v>
      </c>
      <c r="AC168" s="22">
        <f t="shared" si="163"/>
        <v>3.6674624392070401E-20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2.8421709430404007E-13</v>
      </c>
      <c r="AJ168" s="13">
        <f>AI168*VLOOKUP('Données projet'!$B$10,Paramètres!$A$1:$I$89,3,0)*VLOOKUP('Données projet'!$B$10,Paramètres!$A$1:$I$89,5,0)</f>
        <v>2.5715962692629546E-13</v>
      </c>
      <c r="AK168" s="13">
        <f t="shared" si="164"/>
        <v>3.4610450122128953E-12</v>
      </c>
      <c r="AL168" s="20">
        <f t="shared" si="165"/>
        <v>6.4758730798340893E-12</v>
      </c>
      <c r="AM168" s="59">
        <f t="shared" si="113"/>
        <v>293.33333333333979</v>
      </c>
      <c r="AN168" s="59">
        <f ca="1">AVERAGE(OFFSET($AM$3,0,0,'Données projet'!$E$10+1,1))-AVERAGE(OFFSET($H$3,0,0,'Données projet'!$E$10+1,1))</f>
        <v>346.35147716792028</v>
      </c>
      <c r="AO168" s="59">
        <f t="shared" si="144"/>
        <v>231.36959598460686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3.6674624392070401E-20</v>
      </c>
      <c r="AX168" s="21">
        <f t="shared" si="166"/>
        <v>3.6674624392070401E-20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1.1368683772161603E-13</v>
      </c>
      <c r="BE168" s="13">
        <f>BD168*VLOOKUP('Données projet'!$B$11,Paramètres!$A$1:$I$89,3,0)*VLOOKUP('Données projet'!$B$11,Paramètres!$A$1:$I$89,5,0)</f>
        <v>6.7984728957526396E-14</v>
      </c>
      <c r="BF168" s="13">
        <f t="shared" si="167"/>
        <v>1.0682447123141398E-12</v>
      </c>
      <c r="BG168" s="20">
        <f t="shared" si="168"/>
        <v>1.978932943548152E-12</v>
      </c>
      <c r="BH168" s="59">
        <f t="shared" si="116"/>
        <v>293.3333333333353</v>
      </c>
      <c r="BI168" s="59">
        <f ca="1">AVERAGE(OFFSET($BH$3,0,0,'Données projet'!$E$11+1,1))-AVERAGE(OFFSET($H$3,0,0,'Données projet'!$E$11+1,1))</f>
        <v>257.80952690600492</v>
      </c>
      <c r="BJ168" s="59">
        <f t="shared" si="146"/>
        <v>269.95358755269427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#VALUE!</v>
      </c>
      <c r="BQ168" s="21" t="e">
        <f>EXP(-LN(2)/25)*BQ167+(1-EXP(-LN(2)/25))/(LN(2)/25)*Calculateur!BL168*Calculateur!BN168*VLOOKUP('Données projet'!$B$11,Paramètres!$A$1:$I$89,3,0)*0.475*44/12</f>
        <v>#VALUE!</v>
      </c>
      <c r="BR168" s="21" t="e">
        <f>EXP(-LN(2)/2)*BR167+(1-EXP(-LN(2)/2))/(LN(2)/2)*BL168*BO168*VLOOKUP('Données projet'!$B$11,Paramètres!$A$1:$I$89,3,0)*0.475*44/12</f>
        <v>#VALUE!</v>
      </c>
      <c r="BS168" s="22" t="e">
        <f t="shared" si="169"/>
        <v>#VALUE!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-275.00000000000028</v>
      </c>
      <c r="BZ168" s="13">
        <f>BY168*VLOOKUP('Données projet'!$B$12,Paramètres!$A$1:$I$89,3,0)*VLOOKUP('Données projet'!$B$12,Paramètres!$A$1:$I$89,5,0)</f>
        <v>-214.50000000000023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286.5685205631126</v>
      </c>
      <c r="CE168" s="59">
        <f t="shared" si="148"/>
        <v>264.17357326498581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0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0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2.8421709430404007E-13</v>
      </c>
      <c r="O169" s="13">
        <f>N169*VLOOKUP('Données projet'!$B$9,Paramètres!$A$1:$I$89,3,0)*VLOOKUP('Données projet'!$B$9,Paramètres!$A$1:$I$89,5,0)</f>
        <v>2.5715962692629546E-13</v>
      </c>
      <c r="P169" s="13">
        <f t="shared" si="141"/>
        <v>3.4610450122128953E-12</v>
      </c>
      <c r="Q169" s="20">
        <f t="shared" si="162"/>
        <v>6.4758730798340893E-12</v>
      </c>
      <c r="R169" s="59">
        <f t="shared" si="109"/>
        <v>293.33333333333979</v>
      </c>
      <c r="S169" s="59">
        <f ca="1">AVERAGE(OFFSET($R$3,0,0,'Données projet'!$E$9+1,1))-AVERAGE(OFFSET($H$3,0,0,'Données projet'!$E$9+1,1))</f>
        <v>346.35147716792028</v>
      </c>
      <c r="T169" s="59">
        <f t="shared" si="142"/>
        <v>231.36959598460686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2.5932875605102544E-20</v>
      </c>
      <c r="AC169" s="22">
        <f t="shared" si="163"/>
        <v>2.5932875605102544E-20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2.8421709430404007E-13</v>
      </c>
      <c r="AJ169" s="13">
        <f>AI169*VLOOKUP('Données projet'!$B$10,Paramètres!$A$1:$I$89,3,0)*VLOOKUP('Données projet'!$B$10,Paramètres!$A$1:$I$89,5,0)</f>
        <v>2.5715962692629546E-13</v>
      </c>
      <c r="AK169" s="13">
        <f t="shared" si="164"/>
        <v>3.4610450122128953E-12</v>
      </c>
      <c r="AL169" s="20">
        <f t="shared" si="165"/>
        <v>6.4758730798340893E-12</v>
      </c>
      <c r="AM169" s="59">
        <f t="shared" si="113"/>
        <v>293.33333333333979</v>
      </c>
      <c r="AN169" s="59">
        <f ca="1">AVERAGE(OFFSET($AM$3,0,0,'Données projet'!$E$10+1,1))-AVERAGE(OFFSET($H$3,0,0,'Données projet'!$E$10+1,1))</f>
        <v>346.35147716792028</v>
      </c>
      <c r="AO169" s="59">
        <f t="shared" si="144"/>
        <v>231.36959598460686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2.5932875605102544E-20</v>
      </c>
      <c r="AX169" s="21">
        <f t="shared" si="166"/>
        <v>2.5932875605102544E-20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1.1368683772161603E-13</v>
      </c>
      <c r="BE169" s="13">
        <f>BD169*VLOOKUP('Données projet'!$B$11,Paramètres!$A$1:$I$89,3,0)*VLOOKUP('Données projet'!$B$11,Paramètres!$A$1:$I$89,5,0)</f>
        <v>6.7984728957526396E-14</v>
      </c>
      <c r="BF169" s="13">
        <f t="shared" si="167"/>
        <v>1.0682447123141398E-12</v>
      </c>
      <c r="BG169" s="20">
        <f t="shared" si="168"/>
        <v>1.978932943548152E-12</v>
      </c>
      <c r="BH169" s="59">
        <f t="shared" si="116"/>
        <v>293.3333333333353</v>
      </c>
      <c r="BI169" s="59">
        <f ca="1">AVERAGE(OFFSET($BH$3,0,0,'Données projet'!$E$11+1,1))-AVERAGE(OFFSET($H$3,0,0,'Données projet'!$E$11+1,1))</f>
        <v>257.80952690600492</v>
      </c>
      <c r="BJ169" s="59">
        <f t="shared" si="146"/>
        <v>269.95358755269427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#VALUE!</v>
      </c>
      <c r="BQ169" s="21" t="e">
        <f>EXP(-LN(2)/25)*BQ168+(1-EXP(-LN(2)/25))/(LN(2)/25)*Calculateur!BL169*Calculateur!BN169*VLOOKUP('Données projet'!$B$11,Paramètres!$A$1:$I$89,3,0)*0.475*44/12</f>
        <v>#VALUE!</v>
      </c>
      <c r="BR169" s="21" t="e">
        <f>EXP(-LN(2)/2)*BR168+(1-EXP(-LN(2)/2))/(LN(2)/2)*BL169*BO169*VLOOKUP('Données projet'!$B$11,Paramètres!$A$1:$I$89,3,0)*0.475*44/12</f>
        <v>#VALUE!</v>
      </c>
      <c r="BS169" s="22" t="e">
        <f t="shared" si="169"/>
        <v>#VALUE!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-275.00000000000028</v>
      </c>
      <c r="BZ169" s="13">
        <f>BY169*VLOOKUP('Données projet'!$B$12,Paramètres!$A$1:$I$89,3,0)*VLOOKUP('Données projet'!$B$12,Paramètres!$A$1:$I$89,5,0)</f>
        <v>-214.50000000000023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286.5685205631126</v>
      </c>
      <c r="CE169" s="59">
        <f t="shared" si="148"/>
        <v>264.17357326498581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0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0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2.8421709430404007E-13</v>
      </c>
      <c r="O170" s="13">
        <f>N170*VLOOKUP('Données projet'!$B$9,Paramètres!$A$1:$I$89,3,0)*VLOOKUP('Données projet'!$B$9,Paramètres!$A$1:$I$89,5,0)</f>
        <v>2.5715962692629546E-13</v>
      </c>
      <c r="P170" s="13">
        <f t="shared" si="141"/>
        <v>3.4610450122128953E-12</v>
      </c>
      <c r="Q170" s="20">
        <f t="shared" si="162"/>
        <v>6.4758730798340893E-12</v>
      </c>
      <c r="R170" s="59">
        <f t="shared" si="109"/>
        <v>293.33333333333979</v>
      </c>
      <c r="S170" s="59">
        <f ca="1">AVERAGE(OFFSET($R$3,0,0,'Données projet'!$E$9+1,1))-AVERAGE(OFFSET($H$3,0,0,'Données projet'!$E$9+1,1))</f>
        <v>346.35147716792028</v>
      </c>
      <c r="T170" s="59">
        <f t="shared" si="142"/>
        <v>231.36959598460686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1.8337312196035201E-20</v>
      </c>
      <c r="AC170" s="22">
        <f t="shared" si="163"/>
        <v>1.8337312196035201E-20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2.8421709430404007E-13</v>
      </c>
      <c r="AJ170" s="13">
        <f>AI170*VLOOKUP('Données projet'!$B$10,Paramètres!$A$1:$I$89,3,0)*VLOOKUP('Données projet'!$B$10,Paramètres!$A$1:$I$89,5,0)</f>
        <v>2.5715962692629546E-13</v>
      </c>
      <c r="AK170" s="13">
        <f t="shared" si="164"/>
        <v>3.4610450122128953E-12</v>
      </c>
      <c r="AL170" s="20">
        <f t="shared" si="165"/>
        <v>6.4758730798340893E-12</v>
      </c>
      <c r="AM170" s="59">
        <f t="shared" si="113"/>
        <v>293.33333333333979</v>
      </c>
      <c r="AN170" s="59">
        <f ca="1">AVERAGE(OFFSET($AM$3,0,0,'Données projet'!$E$10+1,1))-AVERAGE(OFFSET($H$3,0,0,'Données projet'!$E$10+1,1))</f>
        <v>346.35147716792028</v>
      </c>
      <c r="AO170" s="59">
        <f t="shared" si="144"/>
        <v>231.36959598460686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1.8337312196035201E-20</v>
      </c>
      <c r="AX170" s="21">
        <f t="shared" si="166"/>
        <v>1.8337312196035201E-20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1.1368683772161603E-13</v>
      </c>
      <c r="BE170" s="13">
        <f>BD170*VLOOKUP('Données projet'!$B$11,Paramètres!$A$1:$I$89,3,0)*VLOOKUP('Données projet'!$B$11,Paramètres!$A$1:$I$89,5,0)</f>
        <v>6.7984728957526396E-14</v>
      </c>
      <c r="BF170" s="13">
        <f t="shared" si="167"/>
        <v>1.0682447123141398E-12</v>
      </c>
      <c r="BG170" s="20">
        <f t="shared" si="168"/>
        <v>1.978932943548152E-12</v>
      </c>
      <c r="BH170" s="59">
        <f t="shared" si="116"/>
        <v>293.3333333333353</v>
      </c>
      <c r="BI170" s="59">
        <f ca="1">AVERAGE(OFFSET($BH$3,0,0,'Données projet'!$E$11+1,1))-AVERAGE(OFFSET($H$3,0,0,'Données projet'!$E$11+1,1))</f>
        <v>257.80952690600492</v>
      </c>
      <c r="BJ170" s="59">
        <f t="shared" si="146"/>
        <v>269.95358755269427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#VALUE!</v>
      </c>
      <c r="BQ170" s="21" t="e">
        <f>EXP(-LN(2)/25)*BQ169+(1-EXP(-LN(2)/25))/(LN(2)/25)*Calculateur!BL170*Calculateur!BN170*VLOOKUP('Données projet'!$B$11,Paramètres!$A$1:$I$89,3,0)*0.475*44/12</f>
        <v>#VALUE!</v>
      </c>
      <c r="BR170" s="21" t="e">
        <f>EXP(-LN(2)/2)*BR169+(1-EXP(-LN(2)/2))/(LN(2)/2)*BL170*BO170*VLOOKUP('Données projet'!$B$11,Paramètres!$A$1:$I$89,3,0)*0.475*44/12</f>
        <v>#VALUE!</v>
      </c>
      <c r="BS170" s="22" t="e">
        <f t="shared" si="169"/>
        <v>#VALUE!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-275.00000000000028</v>
      </c>
      <c r="BZ170" s="13">
        <f>BY170*VLOOKUP('Données projet'!$B$12,Paramètres!$A$1:$I$89,3,0)*VLOOKUP('Données projet'!$B$12,Paramètres!$A$1:$I$89,5,0)</f>
        <v>-214.50000000000023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286.5685205631126</v>
      </c>
      <c r="CE170" s="59">
        <f t="shared" si="148"/>
        <v>264.17357326498581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0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0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2.8421709430404007E-13</v>
      </c>
      <c r="O171" s="13">
        <f>N171*VLOOKUP('Données projet'!$B$9,Paramètres!$A$1:$I$89,3,0)*VLOOKUP('Données projet'!$B$9,Paramètres!$A$1:$I$89,5,0)</f>
        <v>2.5715962692629546E-13</v>
      </c>
      <c r="P171" s="13">
        <f t="shared" si="141"/>
        <v>3.4610450122128953E-12</v>
      </c>
      <c r="Q171" s="20">
        <f t="shared" si="162"/>
        <v>6.4758730798340893E-12</v>
      </c>
      <c r="R171" s="59">
        <f t="shared" si="109"/>
        <v>293.33333333333979</v>
      </c>
      <c r="S171" s="59">
        <f ca="1">AVERAGE(OFFSET($R$3,0,0,'Données projet'!$E$9+1,1))-AVERAGE(OFFSET($H$3,0,0,'Données projet'!$E$9+1,1))</f>
        <v>346.35147716792028</v>
      </c>
      <c r="T171" s="59">
        <f t="shared" si="142"/>
        <v>231.36959598460686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1.2966437802551272E-20</v>
      </c>
      <c r="AC171" s="22">
        <f t="shared" si="163"/>
        <v>1.2966437802551272E-20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2.8421709430404007E-13</v>
      </c>
      <c r="AJ171" s="13">
        <f>AI171*VLOOKUP('Données projet'!$B$10,Paramètres!$A$1:$I$89,3,0)*VLOOKUP('Données projet'!$B$10,Paramètres!$A$1:$I$89,5,0)</f>
        <v>2.5715962692629546E-13</v>
      </c>
      <c r="AK171" s="13">
        <f t="shared" si="164"/>
        <v>3.4610450122128953E-12</v>
      </c>
      <c r="AL171" s="20">
        <f t="shared" si="165"/>
        <v>6.4758730798340893E-12</v>
      </c>
      <c r="AM171" s="59">
        <f t="shared" si="113"/>
        <v>293.33333333333979</v>
      </c>
      <c r="AN171" s="59">
        <f ca="1">AVERAGE(OFFSET($AM$3,0,0,'Données projet'!$E$10+1,1))-AVERAGE(OFFSET($H$3,0,0,'Données projet'!$E$10+1,1))</f>
        <v>346.35147716792028</v>
      </c>
      <c r="AO171" s="59">
        <f t="shared" si="144"/>
        <v>231.36959598460686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1.2966437802551272E-20</v>
      </c>
      <c r="AX171" s="21">
        <f t="shared" si="166"/>
        <v>1.2966437802551272E-20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1.1368683772161603E-13</v>
      </c>
      <c r="BE171" s="13">
        <f>BD171*VLOOKUP('Données projet'!$B$11,Paramètres!$A$1:$I$89,3,0)*VLOOKUP('Données projet'!$B$11,Paramètres!$A$1:$I$89,5,0)</f>
        <v>6.7984728957526396E-14</v>
      </c>
      <c r="BF171" s="13">
        <f t="shared" si="167"/>
        <v>1.0682447123141398E-12</v>
      </c>
      <c r="BG171" s="20">
        <f t="shared" si="168"/>
        <v>1.978932943548152E-12</v>
      </c>
      <c r="BH171" s="59">
        <f t="shared" si="116"/>
        <v>293.3333333333353</v>
      </c>
      <c r="BI171" s="59">
        <f ca="1">AVERAGE(OFFSET($BH$3,0,0,'Données projet'!$E$11+1,1))-AVERAGE(OFFSET($H$3,0,0,'Données projet'!$E$11+1,1))</f>
        <v>257.80952690600492</v>
      </c>
      <c r="BJ171" s="59">
        <f t="shared" si="146"/>
        <v>269.95358755269427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#VALUE!</v>
      </c>
      <c r="BQ171" s="21" t="e">
        <f>EXP(-LN(2)/25)*BQ170+(1-EXP(-LN(2)/25))/(LN(2)/25)*Calculateur!BL171*Calculateur!BN171*VLOOKUP('Données projet'!$B$11,Paramètres!$A$1:$I$89,3,0)*0.475*44/12</f>
        <v>#VALUE!</v>
      </c>
      <c r="BR171" s="21" t="e">
        <f>EXP(-LN(2)/2)*BR170+(1-EXP(-LN(2)/2))/(LN(2)/2)*BL171*BO171*VLOOKUP('Données projet'!$B$11,Paramètres!$A$1:$I$89,3,0)*0.475*44/12</f>
        <v>#VALUE!</v>
      </c>
      <c r="BS171" s="22" t="e">
        <f t="shared" si="169"/>
        <v>#VALUE!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-275.00000000000028</v>
      </c>
      <c r="BZ171" s="13">
        <f>BY171*VLOOKUP('Données projet'!$B$12,Paramètres!$A$1:$I$89,3,0)*VLOOKUP('Données projet'!$B$12,Paramètres!$A$1:$I$89,5,0)</f>
        <v>-214.50000000000023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286.5685205631126</v>
      </c>
      <c r="CE171" s="59">
        <f t="shared" si="148"/>
        <v>264.17357326498581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0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0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2.8421709430404007E-13</v>
      </c>
      <c r="O172" s="13">
        <f>N172*VLOOKUP('Données projet'!$B$9,Paramètres!$A$1:$I$89,3,0)*VLOOKUP('Données projet'!$B$9,Paramètres!$A$1:$I$89,5,0)</f>
        <v>2.5715962692629546E-13</v>
      </c>
      <c r="P172" s="13">
        <f t="shared" si="141"/>
        <v>3.4610450122128953E-12</v>
      </c>
      <c r="Q172" s="20">
        <f t="shared" si="162"/>
        <v>6.4758730798340893E-12</v>
      </c>
      <c r="R172" s="59">
        <f t="shared" si="109"/>
        <v>293.33333333333979</v>
      </c>
      <c r="S172" s="59">
        <f ca="1">AVERAGE(OFFSET($R$3,0,0,'Données projet'!$E$9+1,1))-AVERAGE(OFFSET($H$3,0,0,'Données projet'!$E$9+1,1))</f>
        <v>346.35147716792028</v>
      </c>
      <c r="T172" s="59">
        <f t="shared" si="142"/>
        <v>231.36959598460686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9.1686560980176003E-21</v>
      </c>
      <c r="AC172" s="22">
        <f t="shared" si="163"/>
        <v>9.1686560980176003E-21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2.8421709430404007E-13</v>
      </c>
      <c r="AJ172" s="13">
        <f>AI172*VLOOKUP('Données projet'!$B$10,Paramètres!$A$1:$I$89,3,0)*VLOOKUP('Données projet'!$B$10,Paramètres!$A$1:$I$89,5,0)</f>
        <v>2.5715962692629546E-13</v>
      </c>
      <c r="AK172" s="13">
        <f t="shared" si="164"/>
        <v>3.4610450122128953E-12</v>
      </c>
      <c r="AL172" s="20">
        <f t="shared" si="165"/>
        <v>6.4758730798340893E-12</v>
      </c>
      <c r="AM172" s="59">
        <f t="shared" si="113"/>
        <v>293.33333333333979</v>
      </c>
      <c r="AN172" s="59">
        <f ca="1">AVERAGE(OFFSET($AM$3,0,0,'Données projet'!$E$10+1,1))-AVERAGE(OFFSET($H$3,0,0,'Données projet'!$E$10+1,1))</f>
        <v>346.35147716792028</v>
      </c>
      <c r="AO172" s="59">
        <f t="shared" si="144"/>
        <v>231.36959598460686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9.1686560980176003E-21</v>
      </c>
      <c r="AX172" s="21">
        <f t="shared" si="166"/>
        <v>9.1686560980176003E-21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1.1368683772161603E-13</v>
      </c>
      <c r="BE172" s="13">
        <f>BD172*VLOOKUP('Données projet'!$B$11,Paramètres!$A$1:$I$89,3,0)*VLOOKUP('Données projet'!$B$11,Paramètres!$A$1:$I$89,5,0)</f>
        <v>6.7984728957526396E-14</v>
      </c>
      <c r="BF172" s="13">
        <f t="shared" si="167"/>
        <v>1.0682447123141398E-12</v>
      </c>
      <c r="BG172" s="20">
        <f t="shared" si="168"/>
        <v>1.978932943548152E-12</v>
      </c>
      <c r="BH172" s="59">
        <f t="shared" si="116"/>
        <v>293.3333333333353</v>
      </c>
      <c r="BI172" s="59">
        <f ca="1">AVERAGE(OFFSET($BH$3,0,0,'Données projet'!$E$11+1,1))-AVERAGE(OFFSET($H$3,0,0,'Données projet'!$E$11+1,1))</f>
        <v>257.80952690600492</v>
      </c>
      <c r="BJ172" s="59">
        <f t="shared" si="146"/>
        <v>269.95358755269427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#VALUE!</v>
      </c>
      <c r="BQ172" s="21" t="e">
        <f>EXP(-LN(2)/25)*BQ171+(1-EXP(-LN(2)/25))/(LN(2)/25)*Calculateur!BL172*Calculateur!BN172*VLOOKUP('Données projet'!$B$11,Paramètres!$A$1:$I$89,3,0)*0.475*44/12</f>
        <v>#VALUE!</v>
      </c>
      <c r="BR172" s="21" t="e">
        <f>EXP(-LN(2)/2)*BR171+(1-EXP(-LN(2)/2))/(LN(2)/2)*BL172*BO172*VLOOKUP('Données projet'!$B$11,Paramètres!$A$1:$I$89,3,0)*0.475*44/12</f>
        <v>#VALUE!</v>
      </c>
      <c r="BS172" s="22" t="e">
        <f t="shared" si="169"/>
        <v>#VALUE!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-275.00000000000028</v>
      </c>
      <c r="BZ172" s="13">
        <f>BY172*VLOOKUP('Données projet'!$B$12,Paramètres!$A$1:$I$89,3,0)*VLOOKUP('Données projet'!$B$12,Paramètres!$A$1:$I$89,5,0)</f>
        <v>-214.50000000000023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286.5685205631126</v>
      </c>
      <c r="CE172" s="59">
        <f t="shared" si="148"/>
        <v>264.17357326498581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0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0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2.8421709430404007E-13</v>
      </c>
      <c r="O173" s="13">
        <f>N173*VLOOKUP('Données projet'!$B$9,Paramètres!$A$1:$I$89,3,0)*VLOOKUP('Données projet'!$B$9,Paramètres!$A$1:$I$89,5,0)</f>
        <v>2.5715962692629546E-13</v>
      </c>
      <c r="P173" s="13">
        <f t="shared" si="141"/>
        <v>3.4610450122128953E-12</v>
      </c>
      <c r="Q173" s="20">
        <f t="shared" si="162"/>
        <v>6.4758730798340893E-12</v>
      </c>
      <c r="R173" s="59">
        <f t="shared" si="109"/>
        <v>293.33333333333979</v>
      </c>
      <c r="S173" s="59">
        <f ca="1">AVERAGE(OFFSET($R$3,0,0,'Données projet'!$E$9+1,1))-AVERAGE(OFFSET($H$3,0,0,'Données projet'!$E$9+1,1))</f>
        <v>346.35147716792028</v>
      </c>
      <c r="T173" s="59">
        <f t="shared" si="142"/>
        <v>231.36959598460686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6.483218901275636E-21</v>
      </c>
      <c r="AC173" s="22">
        <f t="shared" si="163"/>
        <v>6.483218901275636E-21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2.8421709430404007E-13</v>
      </c>
      <c r="AJ173" s="13">
        <f>AI173*VLOOKUP('Données projet'!$B$10,Paramètres!$A$1:$I$89,3,0)*VLOOKUP('Données projet'!$B$10,Paramètres!$A$1:$I$89,5,0)</f>
        <v>2.5715962692629546E-13</v>
      </c>
      <c r="AK173" s="13">
        <f t="shared" si="164"/>
        <v>3.4610450122128953E-12</v>
      </c>
      <c r="AL173" s="20">
        <f t="shared" si="165"/>
        <v>6.4758730798340893E-12</v>
      </c>
      <c r="AM173" s="59">
        <f t="shared" si="113"/>
        <v>293.33333333333979</v>
      </c>
      <c r="AN173" s="59">
        <f ca="1">AVERAGE(OFFSET($AM$3,0,0,'Données projet'!$E$10+1,1))-AVERAGE(OFFSET($H$3,0,0,'Données projet'!$E$10+1,1))</f>
        <v>346.35147716792028</v>
      </c>
      <c r="AO173" s="59">
        <f t="shared" si="144"/>
        <v>231.36959598460686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6.483218901275636E-21</v>
      </c>
      <c r="AX173" s="21">
        <f t="shared" si="166"/>
        <v>6.483218901275636E-21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1.1368683772161603E-13</v>
      </c>
      <c r="BE173" s="13">
        <f>BD173*VLOOKUP('Données projet'!$B$11,Paramètres!$A$1:$I$89,3,0)*VLOOKUP('Données projet'!$B$11,Paramètres!$A$1:$I$89,5,0)</f>
        <v>6.7984728957526396E-14</v>
      </c>
      <c r="BF173" s="13">
        <f t="shared" si="167"/>
        <v>1.0682447123141398E-12</v>
      </c>
      <c r="BG173" s="20">
        <f t="shared" si="168"/>
        <v>1.978932943548152E-12</v>
      </c>
      <c r="BH173" s="59">
        <f t="shared" si="116"/>
        <v>293.3333333333353</v>
      </c>
      <c r="BI173" s="59">
        <f ca="1">AVERAGE(OFFSET($BH$3,0,0,'Données projet'!$E$11+1,1))-AVERAGE(OFFSET($H$3,0,0,'Données projet'!$E$11+1,1))</f>
        <v>257.80952690600492</v>
      </c>
      <c r="BJ173" s="59">
        <f t="shared" si="146"/>
        <v>269.95358755269427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#VALUE!</v>
      </c>
      <c r="BQ173" s="21" t="e">
        <f>EXP(-LN(2)/25)*BQ172+(1-EXP(-LN(2)/25))/(LN(2)/25)*Calculateur!BL173*Calculateur!BN173*VLOOKUP('Données projet'!$B$11,Paramètres!$A$1:$I$89,3,0)*0.475*44/12</f>
        <v>#VALUE!</v>
      </c>
      <c r="BR173" s="21" t="e">
        <f>EXP(-LN(2)/2)*BR172+(1-EXP(-LN(2)/2))/(LN(2)/2)*BL173*BO173*VLOOKUP('Données projet'!$B$11,Paramètres!$A$1:$I$89,3,0)*0.475*44/12</f>
        <v>#VALUE!</v>
      </c>
      <c r="BS173" s="22" t="e">
        <f t="shared" si="169"/>
        <v>#VALUE!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-275.00000000000028</v>
      </c>
      <c r="BZ173" s="13">
        <f>BY173*VLOOKUP('Données projet'!$B$12,Paramètres!$A$1:$I$89,3,0)*VLOOKUP('Données projet'!$B$12,Paramètres!$A$1:$I$89,5,0)</f>
        <v>-214.50000000000023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286.5685205631126</v>
      </c>
      <c r="CE173" s="59">
        <f t="shared" si="148"/>
        <v>264.17357326498581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0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0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2.8421709430404007E-13</v>
      </c>
      <c r="O174" s="13">
        <f>N174*VLOOKUP('Données projet'!$B$9,Paramètres!$A$1:$I$89,3,0)*VLOOKUP('Données projet'!$B$9,Paramètres!$A$1:$I$89,5,0)</f>
        <v>2.5715962692629546E-13</v>
      </c>
      <c r="P174" s="13">
        <f t="shared" si="141"/>
        <v>3.4610450122128953E-12</v>
      </c>
      <c r="Q174" s="20">
        <f t="shared" si="162"/>
        <v>6.4758730798340893E-12</v>
      </c>
      <c r="R174" s="59">
        <f t="shared" si="109"/>
        <v>293.33333333333979</v>
      </c>
      <c r="S174" s="59">
        <f ca="1">AVERAGE(OFFSET($R$3,0,0,'Données projet'!$E$9+1,1))-AVERAGE(OFFSET($H$3,0,0,'Données projet'!$E$9+1,1))</f>
        <v>346.35147716792028</v>
      </c>
      <c r="T174" s="59">
        <f t="shared" si="142"/>
        <v>231.36959598460686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4.5843280490088001E-21</v>
      </c>
      <c r="AC174" s="22">
        <f t="shared" si="163"/>
        <v>4.5843280490088001E-21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2.8421709430404007E-13</v>
      </c>
      <c r="AJ174" s="13">
        <f>AI174*VLOOKUP('Données projet'!$B$10,Paramètres!$A$1:$I$89,3,0)*VLOOKUP('Données projet'!$B$10,Paramètres!$A$1:$I$89,5,0)</f>
        <v>2.5715962692629546E-13</v>
      </c>
      <c r="AK174" s="13">
        <f t="shared" si="164"/>
        <v>3.4610450122128953E-12</v>
      </c>
      <c r="AL174" s="20">
        <f t="shared" si="165"/>
        <v>6.4758730798340893E-12</v>
      </c>
      <c r="AM174" s="59">
        <f t="shared" si="113"/>
        <v>293.33333333333979</v>
      </c>
      <c r="AN174" s="59">
        <f ca="1">AVERAGE(OFFSET($AM$3,0,0,'Données projet'!$E$10+1,1))-AVERAGE(OFFSET($H$3,0,0,'Données projet'!$E$10+1,1))</f>
        <v>346.35147716792028</v>
      </c>
      <c r="AO174" s="59">
        <f t="shared" si="144"/>
        <v>231.36959598460686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4.5843280490088001E-21</v>
      </c>
      <c r="AX174" s="21">
        <f t="shared" si="166"/>
        <v>4.5843280490088001E-21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1.1368683772161603E-13</v>
      </c>
      <c r="BE174" s="13">
        <f>BD174*VLOOKUP('Données projet'!$B$11,Paramètres!$A$1:$I$89,3,0)*VLOOKUP('Données projet'!$B$11,Paramètres!$A$1:$I$89,5,0)</f>
        <v>6.7984728957526396E-14</v>
      </c>
      <c r="BF174" s="13">
        <f t="shared" si="167"/>
        <v>1.0682447123141398E-12</v>
      </c>
      <c r="BG174" s="20">
        <f t="shared" si="168"/>
        <v>1.978932943548152E-12</v>
      </c>
      <c r="BH174" s="59">
        <f t="shared" si="116"/>
        <v>293.3333333333353</v>
      </c>
      <c r="BI174" s="59">
        <f ca="1">AVERAGE(OFFSET($BH$3,0,0,'Données projet'!$E$11+1,1))-AVERAGE(OFFSET($H$3,0,0,'Données projet'!$E$11+1,1))</f>
        <v>257.80952690600492</v>
      </c>
      <c r="BJ174" s="59">
        <f t="shared" si="146"/>
        <v>269.95358755269427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#VALUE!</v>
      </c>
      <c r="BQ174" s="21" t="e">
        <f>EXP(-LN(2)/25)*BQ173+(1-EXP(-LN(2)/25))/(LN(2)/25)*Calculateur!BL174*Calculateur!BN174*VLOOKUP('Données projet'!$B$11,Paramètres!$A$1:$I$89,3,0)*0.475*44/12</f>
        <v>#VALUE!</v>
      </c>
      <c r="BR174" s="21" t="e">
        <f>EXP(-LN(2)/2)*BR173+(1-EXP(-LN(2)/2))/(LN(2)/2)*BL174*BO174*VLOOKUP('Données projet'!$B$11,Paramètres!$A$1:$I$89,3,0)*0.475*44/12</f>
        <v>#VALUE!</v>
      </c>
      <c r="BS174" s="22" t="e">
        <f t="shared" si="169"/>
        <v>#VALUE!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-275.00000000000028</v>
      </c>
      <c r="BZ174" s="13">
        <f>BY174*VLOOKUP('Données projet'!$B$12,Paramètres!$A$1:$I$89,3,0)*VLOOKUP('Données projet'!$B$12,Paramètres!$A$1:$I$89,5,0)</f>
        <v>-214.50000000000023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286.5685205631126</v>
      </c>
      <c r="CE174" s="59">
        <f t="shared" si="148"/>
        <v>264.17357326498581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0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0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2.8421709430404007E-13</v>
      </c>
      <c r="O175" s="13">
        <f>N175*VLOOKUP('Données projet'!$B$9,Paramètres!$A$1:$I$89,3,0)*VLOOKUP('Données projet'!$B$9,Paramètres!$A$1:$I$89,5,0)</f>
        <v>2.5715962692629546E-13</v>
      </c>
      <c r="P175" s="13">
        <f t="shared" si="141"/>
        <v>3.4610450122128953E-12</v>
      </c>
      <c r="Q175" s="20">
        <f t="shared" si="162"/>
        <v>6.4758730798340893E-12</v>
      </c>
      <c r="R175" s="59">
        <f t="shared" si="109"/>
        <v>293.33333333333979</v>
      </c>
      <c r="S175" s="59">
        <f ca="1">AVERAGE(OFFSET($R$3,0,0,'Données projet'!$E$9+1,1))-AVERAGE(OFFSET($H$3,0,0,'Données projet'!$E$9+1,1))</f>
        <v>346.35147716792028</v>
      </c>
      <c r="T175" s="59">
        <f t="shared" si="142"/>
        <v>231.36959598460686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3.241609450637818E-21</v>
      </c>
      <c r="AC175" s="22">
        <f t="shared" si="163"/>
        <v>3.241609450637818E-21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2.8421709430404007E-13</v>
      </c>
      <c r="AJ175" s="13">
        <f>AI175*VLOOKUP('Données projet'!$B$10,Paramètres!$A$1:$I$89,3,0)*VLOOKUP('Données projet'!$B$10,Paramètres!$A$1:$I$89,5,0)</f>
        <v>2.5715962692629546E-13</v>
      </c>
      <c r="AK175" s="13">
        <f t="shared" si="164"/>
        <v>3.4610450122128953E-12</v>
      </c>
      <c r="AL175" s="20">
        <f t="shared" si="165"/>
        <v>6.4758730798340893E-12</v>
      </c>
      <c r="AM175" s="59">
        <f t="shared" si="113"/>
        <v>293.33333333333979</v>
      </c>
      <c r="AN175" s="59">
        <f ca="1">AVERAGE(OFFSET($AM$3,0,0,'Données projet'!$E$10+1,1))-AVERAGE(OFFSET($H$3,0,0,'Données projet'!$E$10+1,1))</f>
        <v>346.35147716792028</v>
      </c>
      <c r="AO175" s="59">
        <f t="shared" si="144"/>
        <v>231.36959598460686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3.241609450637818E-21</v>
      </c>
      <c r="AX175" s="21">
        <f t="shared" si="166"/>
        <v>3.241609450637818E-21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1.1368683772161603E-13</v>
      </c>
      <c r="BE175" s="13">
        <f>BD175*VLOOKUP('Données projet'!$B$11,Paramètres!$A$1:$I$89,3,0)*VLOOKUP('Données projet'!$B$11,Paramètres!$A$1:$I$89,5,0)</f>
        <v>6.7984728957526396E-14</v>
      </c>
      <c r="BF175" s="13">
        <f t="shared" si="167"/>
        <v>1.0682447123141398E-12</v>
      </c>
      <c r="BG175" s="20">
        <f t="shared" si="168"/>
        <v>1.978932943548152E-12</v>
      </c>
      <c r="BH175" s="59">
        <f t="shared" si="116"/>
        <v>293.3333333333353</v>
      </c>
      <c r="BI175" s="59">
        <f ca="1">AVERAGE(OFFSET($BH$3,0,0,'Données projet'!$E$11+1,1))-AVERAGE(OFFSET($H$3,0,0,'Données projet'!$E$11+1,1))</f>
        <v>257.80952690600492</v>
      </c>
      <c r="BJ175" s="59">
        <f t="shared" si="146"/>
        <v>269.95358755269427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#VALUE!</v>
      </c>
      <c r="BQ175" s="21" t="e">
        <f>EXP(-LN(2)/25)*BQ174+(1-EXP(-LN(2)/25))/(LN(2)/25)*Calculateur!BL175*Calculateur!BN175*VLOOKUP('Données projet'!$B$11,Paramètres!$A$1:$I$89,3,0)*0.475*44/12</f>
        <v>#VALUE!</v>
      </c>
      <c r="BR175" s="21" t="e">
        <f>EXP(-LN(2)/2)*BR174+(1-EXP(-LN(2)/2))/(LN(2)/2)*BL175*BO175*VLOOKUP('Données projet'!$B$11,Paramètres!$A$1:$I$89,3,0)*0.475*44/12</f>
        <v>#VALUE!</v>
      </c>
      <c r="BS175" s="22" t="e">
        <f t="shared" si="169"/>
        <v>#VALUE!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-275.00000000000028</v>
      </c>
      <c r="BZ175" s="13">
        <f>BY175*VLOOKUP('Données projet'!$B$12,Paramètres!$A$1:$I$89,3,0)*VLOOKUP('Données projet'!$B$12,Paramètres!$A$1:$I$89,5,0)</f>
        <v>-214.50000000000023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286.5685205631126</v>
      </c>
      <c r="CE175" s="59">
        <f t="shared" si="148"/>
        <v>264.17357326498581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0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0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2.8421709430404007E-13</v>
      </c>
      <c r="O176" s="13">
        <f>N176*VLOOKUP('Données projet'!$B$9,Paramètres!$A$1:$I$89,3,0)*VLOOKUP('Données projet'!$B$9,Paramètres!$A$1:$I$89,5,0)</f>
        <v>2.5715962692629546E-13</v>
      </c>
      <c r="P176" s="13">
        <f t="shared" si="141"/>
        <v>3.4610450122128953E-12</v>
      </c>
      <c r="Q176" s="20">
        <f t="shared" si="162"/>
        <v>6.4758730798340893E-12</v>
      </c>
      <c r="R176" s="59">
        <f t="shared" si="109"/>
        <v>293.33333333333979</v>
      </c>
      <c r="S176" s="59">
        <f ca="1">AVERAGE(OFFSET($R$3,0,0,'Données projet'!$E$9+1,1))-AVERAGE(OFFSET($H$3,0,0,'Données projet'!$E$9+1,1))</f>
        <v>346.35147716792028</v>
      </c>
      <c r="T176" s="59">
        <f t="shared" si="142"/>
        <v>231.36959598460686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2.2921640245044001E-21</v>
      </c>
      <c r="AC176" s="22">
        <f t="shared" si="163"/>
        <v>2.2921640245044001E-21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2.8421709430404007E-13</v>
      </c>
      <c r="AJ176" s="13">
        <f>AI176*VLOOKUP('Données projet'!$B$10,Paramètres!$A$1:$I$89,3,0)*VLOOKUP('Données projet'!$B$10,Paramètres!$A$1:$I$89,5,0)</f>
        <v>2.5715962692629546E-13</v>
      </c>
      <c r="AK176" s="13">
        <f t="shared" si="164"/>
        <v>3.4610450122128953E-12</v>
      </c>
      <c r="AL176" s="20">
        <f t="shared" si="165"/>
        <v>6.4758730798340893E-12</v>
      </c>
      <c r="AM176" s="59">
        <f t="shared" si="113"/>
        <v>293.33333333333979</v>
      </c>
      <c r="AN176" s="59">
        <f ca="1">AVERAGE(OFFSET($AM$3,0,0,'Données projet'!$E$10+1,1))-AVERAGE(OFFSET($H$3,0,0,'Données projet'!$E$10+1,1))</f>
        <v>346.35147716792028</v>
      </c>
      <c r="AO176" s="59">
        <f t="shared" si="144"/>
        <v>231.36959598460686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2.2921640245044001E-21</v>
      </c>
      <c r="AX176" s="21">
        <f t="shared" si="166"/>
        <v>2.2921640245044001E-21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1.1368683772161603E-13</v>
      </c>
      <c r="BE176" s="13">
        <f>BD176*VLOOKUP('Données projet'!$B$11,Paramètres!$A$1:$I$89,3,0)*VLOOKUP('Données projet'!$B$11,Paramètres!$A$1:$I$89,5,0)</f>
        <v>6.7984728957526396E-14</v>
      </c>
      <c r="BF176" s="13">
        <f t="shared" si="167"/>
        <v>1.0682447123141398E-12</v>
      </c>
      <c r="BG176" s="20">
        <f t="shared" si="168"/>
        <v>1.978932943548152E-12</v>
      </c>
      <c r="BH176" s="59">
        <f t="shared" si="116"/>
        <v>293.3333333333353</v>
      </c>
      <c r="BI176" s="59">
        <f ca="1">AVERAGE(OFFSET($BH$3,0,0,'Données projet'!$E$11+1,1))-AVERAGE(OFFSET($H$3,0,0,'Données projet'!$E$11+1,1))</f>
        <v>257.80952690600492</v>
      </c>
      <c r="BJ176" s="59">
        <f t="shared" si="146"/>
        <v>269.95358755269427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#VALUE!</v>
      </c>
      <c r="BQ176" s="21" t="e">
        <f>EXP(-LN(2)/25)*BQ175+(1-EXP(-LN(2)/25))/(LN(2)/25)*Calculateur!BL176*Calculateur!BN176*VLOOKUP('Données projet'!$B$11,Paramètres!$A$1:$I$89,3,0)*0.475*44/12</f>
        <v>#VALUE!</v>
      </c>
      <c r="BR176" s="21" t="e">
        <f>EXP(-LN(2)/2)*BR175+(1-EXP(-LN(2)/2))/(LN(2)/2)*BL176*BO176*VLOOKUP('Données projet'!$B$11,Paramètres!$A$1:$I$89,3,0)*0.475*44/12</f>
        <v>#VALUE!</v>
      </c>
      <c r="BS176" s="22" t="e">
        <f t="shared" si="169"/>
        <v>#VALUE!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-275.00000000000028</v>
      </c>
      <c r="BZ176" s="13">
        <f>BY176*VLOOKUP('Données projet'!$B$12,Paramètres!$A$1:$I$89,3,0)*VLOOKUP('Données projet'!$B$12,Paramètres!$A$1:$I$89,5,0)</f>
        <v>-214.50000000000023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286.5685205631126</v>
      </c>
      <c r="CE176" s="59">
        <f t="shared" si="148"/>
        <v>264.17357326498581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0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0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2.8421709430404007E-13</v>
      </c>
      <c r="O177" s="13">
        <f>N177*VLOOKUP('Données projet'!$B$9,Paramètres!$A$1:$I$89,3,0)*VLOOKUP('Données projet'!$B$9,Paramètres!$A$1:$I$89,5,0)</f>
        <v>2.5715962692629546E-13</v>
      </c>
      <c r="P177" s="13">
        <f t="shared" si="141"/>
        <v>3.4610450122128953E-12</v>
      </c>
      <c r="Q177" s="20">
        <f t="shared" si="162"/>
        <v>6.4758730798340893E-12</v>
      </c>
      <c r="R177" s="59">
        <f t="shared" si="109"/>
        <v>293.33333333333979</v>
      </c>
      <c r="S177" s="59">
        <f ca="1">AVERAGE(OFFSET($R$3,0,0,'Données projet'!$E$9+1,1))-AVERAGE(OFFSET($H$3,0,0,'Données projet'!$E$9+1,1))</f>
        <v>346.35147716792028</v>
      </c>
      <c r="T177" s="59">
        <f t="shared" si="142"/>
        <v>231.36959598460686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1.620804725318909E-21</v>
      </c>
      <c r="AC177" s="22">
        <f t="shared" si="163"/>
        <v>1.620804725318909E-21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2.8421709430404007E-13</v>
      </c>
      <c r="AJ177" s="13">
        <f>AI177*VLOOKUP('Données projet'!$B$10,Paramètres!$A$1:$I$89,3,0)*VLOOKUP('Données projet'!$B$10,Paramètres!$A$1:$I$89,5,0)</f>
        <v>2.5715962692629546E-13</v>
      </c>
      <c r="AK177" s="13">
        <f t="shared" si="164"/>
        <v>3.4610450122128953E-12</v>
      </c>
      <c r="AL177" s="20">
        <f t="shared" si="165"/>
        <v>6.4758730798340893E-12</v>
      </c>
      <c r="AM177" s="59">
        <f t="shared" si="113"/>
        <v>293.33333333333979</v>
      </c>
      <c r="AN177" s="59">
        <f ca="1">AVERAGE(OFFSET($AM$3,0,0,'Données projet'!$E$10+1,1))-AVERAGE(OFFSET($H$3,0,0,'Données projet'!$E$10+1,1))</f>
        <v>346.35147716792028</v>
      </c>
      <c r="AO177" s="59">
        <f t="shared" si="144"/>
        <v>231.36959598460686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1.620804725318909E-21</v>
      </c>
      <c r="AX177" s="21">
        <f t="shared" si="166"/>
        <v>1.620804725318909E-21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1.1368683772161603E-13</v>
      </c>
      <c r="BE177" s="13">
        <f>BD177*VLOOKUP('Données projet'!$B$11,Paramètres!$A$1:$I$89,3,0)*VLOOKUP('Données projet'!$B$11,Paramètres!$A$1:$I$89,5,0)</f>
        <v>6.7984728957526396E-14</v>
      </c>
      <c r="BF177" s="13">
        <f t="shared" si="167"/>
        <v>1.0682447123141398E-12</v>
      </c>
      <c r="BG177" s="20">
        <f t="shared" si="168"/>
        <v>1.978932943548152E-12</v>
      </c>
      <c r="BH177" s="59">
        <f t="shared" si="116"/>
        <v>293.3333333333353</v>
      </c>
      <c r="BI177" s="59">
        <f ca="1">AVERAGE(OFFSET($BH$3,0,0,'Données projet'!$E$11+1,1))-AVERAGE(OFFSET($H$3,0,0,'Données projet'!$E$11+1,1))</f>
        <v>257.80952690600492</v>
      </c>
      <c r="BJ177" s="59">
        <f t="shared" si="146"/>
        <v>269.95358755269427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#VALUE!</v>
      </c>
      <c r="BQ177" s="21" t="e">
        <f>EXP(-LN(2)/25)*BQ176+(1-EXP(-LN(2)/25))/(LN(2)/25)*Calculateur!BL177*Calculateur!BN177*VLOOKUP('Données projet'!$B$11,Paramètres!$A$1:$I$89,3,0)*0.475*44/12</f>
        <v>#VALUE!</v>
      </c>
      <c r="BR177" s="21" t="e">
        <f>EXP(-LN(2)/2)*BR176+(1-EXP(-LN(2)/2))/(LN(2)/2)*BL177*BO177*VLOOKUP('Données projet'!$B$11,Paramètres!$A$1:$I$89,3,0)*0.475*44/12</f>
        <v>#VALUE!</v>
      </c>
      <c r="BS177" s="22" t="e">
        <f t="shared" si="169"/>
        <v>#VALUE!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-275.00000000000028</v>
      </c>
      <c r="BZ177" s="13">
        <f>BY177*VLOOKUP('Données projet'!$B$12,Paramètres!$A$1:$I$89,3,0)*VLOOKUP('Données projet'!$B$12,Paramètres!$A$1:$I$89,5,0)</f>
        <v>-214.50000000000023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286.5685205631126</v>
      </c>
      <c r="CE177" s="59">
        <f t="shared" si="148"/>
        <v>264.17357326498581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0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0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2.8421709430404007E-13</v>
      </c>
      <c r="O178" s="13">
        <f>N178*VLOOKUP('Données projet'!$B$9,Paramètres!$A$1:$I$89,3,0)*VLOOKUP('Données projet'!$B$9,Paramètres!$A$1:$I$89,5,0)</f>
        <v>2.5715962692629546E-13</v>
      </c>
      <c r="P178" s="13">
        <f t="shared" si="141"/>
        <v>3.4610450122128953E-12</v>
      </c>
      <c r="Q178" s="20">
        <f t="shared" si="162"/>
        <v>6.4758730798340893E-12</v>
      </c>
      <c r="R178" s="59">
        <f t="shared" si="109"/>
        <v>293.33333333333979</v>
      </c>
      <c r="S178" s="59">
        <f ca="1">AVERAGE(OFFSET($R$3,0,0,'Données projet'!$E$9+1,1))-AVERAGE(OFFSET($H$3,0,0,'Données projet'!$E$9+1,1))</f>
        <v>346.35147716792028</v>
      </c>
      <c r="T178" s="59">
        <f t="shared" si="142"/>
        <v>231.36959598460686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1.1460820122522E-21</v>
      </c>
      <c r="AC178" s="22">
        <f t="shared" si="163"/>
        <v>1.1460820122522E-21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2.8421709430404007E-13</v>
      </c>
      <c r="AJ178" s="13">
        <f>AI178*VLOOKUP('Données projet'!$B$10,Paramètres!$A$1:$I$89,3,0)*VLOOKUP('Données projet'!$B$10,Paramètres!$A$1:$I$89,5,0)</f>
        <v>2.5715962692629546E-13</v>
      </c>
      <c r="AK178" s="13">
        <f t="shared" si="164"/>
        <v>3.4610450122128953E-12</v>
      </c>
      <c r="AL178" s="20">
        <f t="shared" si="165"/>
        <v>6.4758730798340893E-12</v>
      </c>
      <c r="AM178" s="59">
        <f t="shared" si="113"/>
        <v>293.33333333333979</v>
      </c>
      <c r="AN178" s="59">
        <f ca="1">AVERAGE(OFFSET($AM$3,0,0,'Données projet'!$E$10+1,1))-AVERAGE(OFFSET($H$3,0,0,'Données projet'!$E$10+1,1))</f>
        <v>346.35147716792028</v>
      </c>
      <c r="AO178" s="59">
        <f t="shared" si="144"/>
        <v>231.36959598460686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1.1460820122522E-21</v>
      </c>
      <c r="AX178" s="21">
        <f t="shared" si="166"/>
        <v>1.1460820122522E-21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1.1368683772161603E-13</v>
      </c>
      <c r="BE178" s="13">
        <f>BD178*VLOOKUP('Données projet'!$B$11,Paramètres!$A$1:$I$89,3,0)*VLOOKUP('Données projet'!$B$11,Paramètres!$A$1:$I$89,5,0)</f>
        <v>6.7984728957526396E-14</v>
      </c>
      <c r="BF178" s="13">
        <f t="shared" si="167"/>
        <v>1.0682447123141398E-12</v>
      </c>
      <c r="BG178" s="20">
        <f t="shared" si="168"/>
        <v>1.978932943548152E-12</v>
      </c>
      <c r="BH178" s="59">
        <f t="shared" si="116"/>
        <v>293.3333333333353</v>
      </c>
      <c r="BI178" s="59">
        <f ca="1">AVERAGE(OFFSET($BH$3,0,0,'Données projet'!$E$11+1,1))-AVERAGE(OFFSET($H$3,0,0,'Données projet'!$E$11+1,1))</f>
        <v>257.80952690600492</v>
      </c>
      <c r="BJ178" s="59">
        <f t="shared" si="146"/>
        <v>269.95358755269427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#VALUE!</v>
      </c>
      <c r="BQ178" s="21" t="e">
        <f>EXP(-LN(2)/25)*BQ177+(1-EXP(-LN(2)/25))/(LN(2)/25)*Calculateur!BL178*Calculateur!BN178*VLOOKUP('Données projet'!$B$11,Paramètres!$A$1:$I$89,3,0)*0.475*44/12</f>
        <v>#VALUE!</v>
      </c>
      <c r="BR178" s="21" t="e">
        <f>EXP(-LN(2)/2)*BR177+(1-EXP(-LN(2)/2))/(LN(2)/2)*BL178*BO178*VLOOKUP('Données projet'!$B$11,Paramètres!$A$1:$I$89,3,0)*0.475*44/12</f>
        <v>#VALUE!</v>
      </c>
      <c r="BS178" s="22" t="e">
        <f t="shared" si="169"/>
        <v>#VALUE!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-275.00000000000028</v>
      </c>
      <c r="BZ178" s="13">
        <f>BY178*VLOOKUP('Données projet'!$B$12,Paramètres!$A$1:$I$89,3,0)*VLOOKUP('Données projet'!$B$12,Paramètres!$A$1:$I$89,5,0)</f>
        <v>-214.50000000000023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286.5685205631126</v>
      </c>
      <c r="CE178" s="59">
        <f t="shared" si="148"/>
        <v>264.17357326498581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0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0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2.8421709430404007E-13</v>
      </c>
      <c r="O179" s="13">
        <f>N179*VLOOKUP('Données projet'!$B$9,Paramètres!$A$1:$I$89,3,0)*VLOOKUP('Données projet'!$B$9,Paramètres!$A$1:$I$89,5,0)</f>
        <v>2.5715962692629546E-13</v>
      </c>
      <c r="P179" s="13">
        <f t="shared" si="141"/>
        <v>3.4610450122128953E-12</v>
      </c>
      <c r="Q179" s="20">
        <f t="shared" si="162"/>
        <v>6.4758730798340893E-12</v>
      </c>
      <c r="R179" s="59">
        <f t="shared" si="109"/>
        <v>293.33333333333979</v>
      </c>
      <c r="S179" s="59">
        <f ca="1">AVERAGE(OFFSET($R$3,0,0,'Données projet'!$E$9+1,1))-AVERAGE(OFFSET($H$3,0,0,'Données projet'!$E$9+1,1))</f>
        <v>346.35147716792028</v>
      </c>
      <c r="T179" s="59">
        <f t="shared" si="142"/>
        <v>231.36959598460686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8.104023626594545E-22</v>
      </c>
      <c r="AC179" s="22">
        <f t="shared" si="163"/>
        <v>8.104023626594545E-22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2.8421709430404007E-13</v>
      </c>
      <c r="AJ179" s="13">
        <f>AI179*VLOOKUP('Données projet'!$B$10,Paramètres!$A$1:$I$89,3,0)*VLOOKUP('Données projet'!$B$10,Paramètres!$A$1:$I$89,5,0)</f>
        <v>2.5715962692629546E-13</v>
      </c>
      <c r="AK179" s="13">
        <f t="shared" si="164"/>
        <v>3.4610450122128953E-12</v>
      </c>
      <c r="AL179" s="20">
        <f t="shared" si="165"/>
        <v>6.4758730798340893E-12</v>
      </c>
      <c r="AM179" s="59">
        <f t="shared" si="113"/>
        <v>293.33333333333979</v>
      </c>
      <c r="AN179" s="59">
        <f ca="1">AVERAGE(OFFSET($AM$3,0,0,'Données projet'!$E$10+1,1))-AVERAGE(OFFSET($H$3,0,0,'Données projet'!$E$10+1,1))</f>
        <v>346.35147716792028</v>
      </c>
      <c r="AO179" s="59">
        <f t="shared" si="144"/>
        <v>231.36959598460686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8.104023626594545E-22</v>
      </c>
      <c r="AX179" s="21">
        <f t="shared" si="166"/>
        <v>8.104023626594545E-22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1.1368683772161603E-13</v>
      </c>
      <c r="BE179" s="13">
        <f>BD179*VLOOKUP('Données projet'!$B$11,Paramètres!$A$1:$I$89,3,0)*VLOOKUP('Données projet'!$B$11,Paramètres!$A$1:$I$89,5,0)</f>
        <v>6.7984728957526396E-14</v>
      </c>
      <c r="BF179" s="13">
        <f t="shared" si="167"/>
        <v>1.0682447123141398E-12</v>
      </c>
      <c r="BG179" s="20">
        <f t="shared" si="168"/>
        <v>1.978932943548152E-12</v>
      </c>
      <c r="BH179" s="59">
        <f t="shared" si="116"/>
        <v>293.3333333333353</v>
      </c>
      <c r="BI179" s="59">
        <f ca="1">AVERAGE(OFFSET($BH$3,0,0,'Données projet'!$E$11+1,1))-AVERAGE(OFFSET($H$3,0,0,'Données projet'!$E$11+1,1))</f>
        <v>257.80952690600492</v>
      </c>
      <c r="BJ179" s="59">
        <f t="shared" si="146"/>
        <v>269.95358755269427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#VALUE!</v>
      </c>
      <c r="BQ179" s="21" t="e">
        <f>EXP(-LN(2)/25)*BQ178+(1-EXP(-LN(2)/25))/(LN(2)/25)*Calculateur!BL179*Calculateur!BN179*VLOOKUP('Données projet'!$B$11,Paramètres!$A$1:$I$89,3,0)*0.475*44/12</f>
        <v>#VALUE!</v>
      </c>
      <c r="BR179" s="21" t="e">
        <f>EXP(-LN(2)/2)*BR178+(1-EXP(-LN(2)/2))/(LN(2)/2)*BL179*BO179*VLOOKUP('Données projet'!$B$11,Paramètres!$A$1:$I$89,3,0)*0.475*44/12</f>
        <v>#VALUE!</v>
      </c>
      <c r="BS179" s="22" t="e">
        <f t="shared" si="169"/>
        <v>#VALUE!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-275.00000000000028</v>
      </c>
      <c r="BZ179" s="13">
        <f>BY179*VLOOKUP('Données projet'!$B$12,Paramètres!$A$1:$I$89,3,0)*VLOOKUP('Données projet'!$B$12,Paramètres!$A$1:$I$89,5,0)</f>
        <v>-214.50000000000023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286.5685205631126</v>
      </c>
      <c r="CE179" s="59">
        <f t="shared" si="148"/>
        <v>264.17357326498581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0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0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2.8421709430404007E-13</v>
      </c>
      <c r="O180" s="13">
        <f>N180*VLOOKUP('Données projet'!$B$9,Paramètres!$A$1:$I$89,3,0)*VLOOKUP('Données projet'!$B$9,Paramètres!$A$1:$I$89,5,0)</f>
        <v>2.5715962692629546E-13</v>
      </c>
      <c r="P180" s="13">
        <f t="shared" si="141"/>
        <v>3.4610450122128953E-12</v>
      </c>
      <c r="Q180" s="20">
        <f t="shared" si="162"/>
        <v>6.4758730798340893E-12</v>
      </c>
      <c r="R180" s="59">
        <f t="shared" si="109"/>
        <v>293.33333333333979</v>
      </c>
      <c r="S180" s="59">
        <f ca="1">AVERAGE(OFFSET($R$3,0,0,'Données projet'!$E$9+1,1))-AVERAGE(OFFSET($H$3,0,0,'Données projet'!$E$9+1,1))</f>
        <v>346.35147716792028</v>
      </c>
      <c r="T180" s="59">
        <f t="shared" si="142"/>
        <v>231.36959598460686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5.7304100612610002E-22</v>
      </c>
      <c r="AC180" s="22">
        <f t="shared" si="163"/>
        <v>5.7304100612610002E-22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2.8421709430404007E-13</v>
      </c>
      <c r="AJ180" s="13">
        <f>AI180*VLOOKUP('Données projet'!$B$10,Paramètres!$A$1:$I$89,3,0)*VLOOKUP('Données projet'!$B$10,Paramètres!$A$1:$I$89,5,0)</f>
        <v>2.5715962692629546E-13</v>
      </c>
      <c r="AK180" s="13">
        <f t="shared" si="164"/>
        <v>3.4610450122128953E-12</v>
      </c>
      <c r="AL180" s="20">
        <f t="shared" si="165"/>
        <v>6.4758730798340893E-12</v>
      </c>
      <c r="AM180" s="59">
        <f t="shared" si="113"/>
        <v>293.33333333333979</v>
      </c>
      <c r="AN180" s="59">
        <f ca="1">AVERAGE(OFFSET($AM$3,0,0,'Données projet'!$E$10+1,1))-AVERAGE(OFFSET($H$3,0,0,'Données projet'!$E$10+1,1))</f>
        <v>346.35147716792028</v>
      </c>
      <c r="AO180" s="59">
        <f t="shared" si="144"/>
        <v>231.36959598460686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5.7304100612610002E-22</v>
      </c>
      <c r="AX180" s="21">
        <f t="shared" si="166"/>
        <v>5.7304100612610002E-22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1.1368683772161603E-13</v>
      </c>
      <c r="BE180" s="13">
        <f>BD180*VLOOKUP('Données projet'!$B$11,Paramètres!$A$1:$I$89,3,0)*VLOOKUP('Données projet'!$B$11,Paramètres!$A$1:$I$89,5,0)</f>
        <v>6.7984728957526396E-14</v>
      </c>
      <c r="BF180" s="13">
        <f t="shared" si="167"/>
        <v>1.0682447123141398E-12</v>
      </c>
      <c r="BG180" s="20">
        <f t="shared" si="168"/>
        <v>1.978932943548152E-12</v>
      </c>
      <c r="BH180" s="59">
        <f t="shared" si="116"/>
        <v>293.3333333333353</v>
      </c>
      <c r="BI180" s="59">
        <f ca="1">AVERAGE(OFFSET($BH$3,0,0,'Données projet'!$E$11+1,1))-AVERAGE(OFFSET($H$3,0,0,'Données projet'!$E$11+1,1))</f>
        <v>257.80952690600492</v>
      </c>
      <c r="BJ180" s="59">
        <f t="shared" si="146"/>
        <v>269.95358755269427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#VALUE!</v>
      </c>
      <c r="BQ180" s="21" t="e">
        <f>EXP(-LN(2)/25)*BQ179+(1-EXP(-LN(2)/25))/(LN(2)/25)*Calculateur!BL180*Calculateur!BN180*VLOOKUP('Données projet'!$B$11,Paramètres!$A$1:$I$89,3,0)*0.475*44/12</f>
        <v>#VALUE!</v>
      </c>
      <c r="BR180" s="21" t="e">
        <f>EXP(-LN(2)/2)*BR179+(1-EXP(-LN(2)/2))/(LN(2)/2)*BL180*BO180*VLOOKUP('Données projet'!$B$11,Paramètres!$A$1:$I$89,3,0)*0.475*44/12</f>
        <v>#VALUE!</v>
      </c>
      <c r="BS180" s="22" t="e">
        <f t="shared" si="169"/>
        <v>#VALUE!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-275.00000000000028</v>
      </c>
      <c r="BZ180" s="13">
        <f>BY180*VLOOKUP('Données projet'!$B$12,Paramètres!$A$1:$I$89,3,0)*VLOOKUP('Données projet'!$B$12,Paramètres!$A$1:$I$89,5,0)</f>
        <v>-214.50000000000023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286.5685205631126</v>
      </c>
      <c r="CE180" s="59">
        <f t="shared" si="148"/>
        <v>264.17357326498581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0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0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2.8421709430404007E-13</v>
      </c>
      <c r="O181" s="13">
        <f>N181*VLOOKUP('Données projet'!$B$9,Paramètres!$A$1:$I$89,3,0)*VLOOKUP('Données projet'!$B$9,Paramètres!$A$1:$I$89,5,0)</f>
        <v>2.5715962692629546E-13</v>
      </c>
      <c r="P181" s="13">
        <f t="shared" si="141"/>
        <v>3.4610450122128953E-12</v>
      </c>
      <c r="Q181" s="20">
        <f t="shared" si="162"/>
        <v>6.4758730798340893E-12</v>
      </c>
      <c r="R181" s="59">
        <f t="shared" si="109"/>
        <v>293.33333333333979</v>
      </c>
      <c r="S181" s="59">
        <f ca="1">AVERAGE(OFFSET($R$3,0,0,'Données projet'!$E$9+1,1))-AVERAGE(OFFSET($H$3,0,0,'Données projet'!$E$9+1,1))</f>
        <v>346.35147716792028</v>
      </c>
      <c r="T181" s="59">
        <f t="shared" si="142"/>
        <v>231.36959598460686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4.0520118132972725E-22</v>
      </c>
      <c r="AC181" s="22">
        <f t="shared" si="163"/>
        <v>4.0520118132972725E-22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2.8421709430404007E-13</v>
      </c>
      <c r="AJ181" s="13">
        <f>AI181*VLOOKUP('Données projet'!$B$10,Paramètres!$A$1:$I$89,3,0)*VLOOKUP('Données projet'!$B$10,Paramètres!$A$1:$I$89,5,0)</f>
        <v>2.5715962692629546E-13</v>
      </c>
      <c r="AK181" s="13">
        <f t="shared" si="164"/>
        <v>3.4610450122128953E-12</v>
      </c>
      <c r="AL181" s="20">
        <f t="shared" si="165"/>
        <v>6.4758730798340893E-12</v>
      </c>
      <c r="AM181" s="59">
        <f t="shared" si="113"/>
        <v>293.33333333333979</v>
      </c>
      <c r="AN181" s="59">
        <f ca="1">AVERAGE(OFFSET($AM$3,0,0,'Données projet'!$E$10+1,1))-AVERAGE(OFFSET($H$3,0,0,'Données projet'!$E$10+1,1))</f>
        <v>346.35147716792028</v>
      </c>
      <c r="AO181" s="59">
        <f t="shared" si="144"/>
        <v>231.36959598460686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4.0520118132972725E-22</v>
      </c>
      <c r="AX181" s="21">
        <f t="shared" si="166"/>
        <v>4.0520118132972725E-22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1.1368683772161603E-13</v>
      </c>
      <c r="BE181" s="13">
        <f>BD181*VLOOKUP('Données projet'!$B$11,Paramètres!$A$1:$I$89,3,0)*VLOOKUP('Données projet'!$B$11,Paramètres!$A$1:$I$89,5,0)</f>
        <v>6.7984728957526396E-14</v>
      </c>
      <c r="BF181" s="13">
        <f t="shared" si="167"/>
        <v>1.0682447123141398E-12</v>
      </c>
      <c r="BG181" s="20">
        <f t="shared" si="168"/>
        <v>1.978932943548152E-12</v>
      </c>
      <c r="BH181" s="59">
        <f t="shared" si="116"/>
        <v>293.3333333333353</v>
      </c>
      <c r="BI181" s="59">
        <f ca="1">AVERAGE(OFFSET($BH$3,0,0,'Données projet'!$E$11+1,1))-AVERAGE(OFFSET($H$3,0,0,'Données projet'!$E$11+1,1))</f>
        <v>257.80952690600492</v>
      </c>
      <c r="BJ181" s="59">
        <f t="shared" si="146"/>
        <v>269.95358755269427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#VALUE!</v>
      </c>
      <c r="BQ181" s="21" t="e">
        <f>EXP(-LN(2)/25)*BQ180+(1-EXP(-LN(2)/25))/(LN(2)/25)*Calculateur!BL181*Calculateur!BN181*VLOOKUP('Données projet'!$B$11,Paramètres!$A$1:$I$89,3,0)*0.475*44/12</f>
        <v>#VALUE!</v>
      </c>
      <c r="BR181" s="21" t="e">
        <f>EXP(-LN(2)/2)*BR180+(1-EXP(-LN(2)/2))/(LN(2)/2)*BL181*BO181*VLOOKUP('Données projet'!$B$11,Paramètres!$A$1:$I$89,3,0)*0.475*44/12</f>
        <v>#VALUE!</v>
      </c>
      <c r="BS181" s="22" t="e">
        <f t="shared" si="169"/>
        <v>#VALUE!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-275.00000000000028</v>
      </c>
      <c r="BZ181" s="13">
        <f>BY181*VLOOKUP('Données projet'!$B$12,Paramètres!$A$1:$I$89,3,0)*VLOOKUP('Données projet'!$B$12,Paramètres!$A$1:$I$89,5,0)</f>
        <v>-214.50000000000023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286.5685205631126</v>
      </c>
      <c r="CE181" s="59">
        <f t="shared" si="148"/>
        <v>264.17357326498581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0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0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2.8421709430404007E-13</v>
      </c>
      <c r="O182" s="13">
        <f>N182*VLOOKUP('Données projet'!$B$9,Paramètres!$A$1:$I$89,3,0)*VLOOKUP('Données projet'!$B$9,Paramètres!$A$1:$I$89,5,0)</f>
        <v>2.5715962692629546E-13</v>
      </c>
      <c r="P182" s="13">
        <f t="shared" si="141"/>
        <v>3.4610450122128953E-12</v>
      </c>
      <c r="Q182" s="20">
        <f t="shared" si="162"/>
        <v>6.4758730798340893E-12</v>
      </c>
      <c r="R182" s="59">
        <f t="shared" si="109"/>
        <v>293.33333333333979</v>
      </c>
      <c r="S182" s="59">
        <f ca="1">AVERAGE(OFFSET($R$3,0,0,'Données projet'!$E$9+1,1))-AVERAGE(OFFSET($H$3,0,0,'Données projet'!$E$9+1,1))</f>
        <v>346.35147716792028</v>
      </c>
      <c r="T182" s="59">
        <f t="shared" si="142"/>
        <v>231.36959598460686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2.8652050306305001E-22</v>
      </c>
      <c r="AC182" s="22">
        <f t="shared" si="163"/>
        <v>2.8652050306305001E-22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2.8421709430404007E-13</v>
      </c>
      <c r="AJ182" s="13">
        <f>AI182*VLOOKUP('Données projet'!$B$10,Paramètres!$A$1:$I$89,3,0)*VLOOKUP('Données projet'!$B$10,Paramètres!$A$1:$I$89,5,0)</f>
        <v>2.5715962692629546E-13</v>
      </c>
      <c r="AK182" s="13">
        <f t="shared" si="164"/>
        <v>3.4610450122128953E-12</v>
      </c>
      <c r="AL182" s="20">
        <f t="shared" si="165"/>
        <v>6.4758730798340893E-12</v>
      </c>
      <c r="AM182" s="59">
        <f t="shared" si="113"/>
        <v>293.33333333333979</v>
      </c>
      <c r="AN182" s="59">
        <f ca="1">AVERAGE(OFFSET($AM$3,0,0,'Données projet'!$E$10+1,1))-AVERAGE(OFFSET($H$3,0,0,'Données projet'!$E$10+1,1))</f>
        <v>346.35147716792028</v>
      </c>
      <c r="AO182" s="59">
        <f t="shared" si="144"/>
        <v>231.36959598460686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2.8652050306305001E-22</v>
      </c>
      <c r="AX182" s="21">
        <f t="shared" si="166"/>
        <v>2.8652050306305001E-22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1.1368683772161603E-13</v>
      </c>
      <c r="BE182" s="13">
        <f>BD182*VLOOKUP('Données projet'!$B$11,Paramètres!$A$1:$I$89,3,0)*VLOOKUP('Données projet'!$B$11,Paramètres!$A$1:$I$89,5,0)</f>
        <v>6.7984728957526396E-14</v>
      </c>
      <c r="BF182" s="13">
        <f t="shared" si="167"/>
        <v>1.0682447123141398E-12</v>
      </c>
      <c r="BG182" s="20">
        <f t="shared" si="168"/>
        <v>1.978932943548152E-12</v>
      </c>
      <c r="BH182" s="59">
        <f t="shared" si="116"/>
        <v>293.3333333333353</v>
      </c>
      <c r="BI182" s="59">
        <f ca="1">AVERAGE(OFFSET($BH$3,0,0,'Données projet'!$E$11+1,1))-AVERAGE(OFFSET($H$3,0,0,'Données projet'!$E$11+1,1))</f>
        <v>257.80952690600492</v>
      </c>
      <c r="BJ182" s="59">
        <f t="shared" si="146"/>
        <v>269.95358755269427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#VALUE!</v>
      </c>
      <c r="BQ182" s="21" t="e">
        <f>EXP(-LN(2)/25)*BQ181+(1-EXP(-LN(2)/25))/(LN(2)/25)*Calculateur!BL182*Calculateur!BN182*VLOOKUP('Données projet'!$B$11,Paramètres!$A$1:$I$89,3,0)*0.475*44/12</f>
        <v>#VALUE!</v>
      </c>
      <c r="BR182" s="21" t="e">
        <f>EXP(-LN(2)/2)*BR181+(1-EXP(-LN(2)/2))/(LN(2)/2)*BL182*BO182*VLOOKUP('Données projet'!$B$11,Paramètres!$A$1:$I$89,3,0)*0.475*44/12</f>
        <v>#VALUE!</v>
      </c>
      <c r="BS182" s="22" t="e">
        <f t="shared" si="169"/>
        <v>#VALUE!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-275.00000000000028</v>
      </c>
      <c r="BZ182" s="13">
        <f>BY182*VLOOKUP('Données projet'!$B$12,Paramètres!$A$1:$I$89,3,0)*VLOOKUP('Données projet'!$B$12,Paramètres!$A$1:$I$89,5,0)</f>
        <v>-214.50000000000023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286.5685205631126</v>
      </c>
      <c r="CE182" s="59">
        <f t="shared" si="148"/>
        <v>264.17357326498581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0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0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2.8421709430404007E-13</v>
      </c>
      <c r="O183" s="13">
        <f>N183*VLOOKUP('Données projet'!$B$9,Paramètres!$A$1:$I$89,3,0)*VLOOKUP('Données projet'!$B$9,Paramètres!$A$1:$I$89,5,0)</f>
        <v>2.5715962692629546E-13</v>
      </c>
      <c r="P183" s="13">
        <f t="shared" si="141"/>
        <v>3.4610450122128953E-12</v>
      </c>
      <c r="Q183" s="20">
        <f t="shared" si="162"/>
        <v>6.4758730798340893E-12</v>
      </c>
      <c r="R183" s="59">
        <f t="shared" si="109"/>
        <v>293.33333333333979</v>
      </c>
      <c r="S183" s="59">
        <f ca="1">AVERAGE(OFFSET($R$3,0,0,'Données projet'!$E$9+1,1))-AVERAGE(OFFSET($H$3,0,0,'Données projet'!$E$9+1,1))</f>
        <v>346.35147716792028</v>
      </c>
      <c r="T183" s="59">
        <f t="shared" si="142"/>
        <v>231.36959598460686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2.0260059066486362E-22</v>
      </c>
      <c r="AC183" s="22">
        <f t="shared" si="163"/>
        <v>2.0260059066486362E-22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2.8421709430404007E-13</v>
      </c>
      <c r="AJ183" s="13">
        <f>AI183*VLOOKUP('Données projet'!$B$10,Paramètres!$A$1:$I$89,3,0)*VLOOKUP('Données projet'!$B$10,Paramètres!$A$1:$I$89,5,0)</f>
        <v>2.5715962692629546E-13</v>
      </c>
      <c r="AK183" s="13">
        <f t="shared" si="164"/>
        <v>3.4610450122128953E-12</v>
      </c>
      <c r="AL183" s="20">
        <f t="shared" si="165"/>
        <v>6.4758730798340893E-12</v>
      </c>
      <c r="AM183" s="59">
        <f t="shared" si="113"/>
        <v>293.33333333333979</v>
      </c>
      <c r="AN183" s="59">
        <f ca="1">AVERAGE(OFFSET($AM$3,0,0,'Données projet'!$E$10+1,1))-AVERAGE(OFFSET($H$3,0,0,'Données projet'!$E$10+1,1))</f>
        <v>346.35147716792028</v>
      </c>
      <c r="AO183" s="59">
        <f t="shared" si="144"/>
        <v>231.36959598460686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2.0260059066486362E-22</v>
      </c>
      <c r="AX183" s="21">
        <f t="shared" si="166"/>
        <v>2.0260059066486362E-22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1.1368683772161603E-13</v>
      </c>
      <c r="BE183" s="13">
        <f>BD183*VLOOKUP('Données projet'!$B$11,Paramètres!$A$1:$I$89,3,0)*VLOOKUP('Données projet'!$B$11,Paramètres!$A$1:$I$89,5,0)</f>
        <v>6.7984728957526396E-14</v>
      </c>
      <c r="BF183" s="13">
        <f t="shared" si="167"/>
        <v>1.0682447123141398E-12</v>
      </c>
      <c r="BG183" s="20">
        <f t="shared" si="168"/>
        <v>1.978932943548152E-12</v>
      </c>
      <c r="BH183" s="59">
        <f t="shared" si="116"/>
        <v>293.3333333333353</v>
      </c>
      <c r="BI183" s="59">
        <f ca="1">AVERAGE(OFFSET($BH$3,0,0,'Données projet'!$E$11+1,1))-AVERAGE(OFFSET($H$3,0,0,'Données projet'!$E$11+1,1))</f>
        <v>257.80952690600492</v>
      </c>
      <c r="BJ183" s="59">
        <f t="shared" si="146"/>
        <v>269.95358755269427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#VALUE!</v>
      </c>
      <c r="BQ183" s="21" t="e">
        <f>EXP(-LN(2)/25)*BQ182+(1-EXP(-LN(2)/25))/(LN(2)/25)*Calculateur!BL183*Calculateur!BN183*VLOOKUP('Données projet'!$B$11,Paramètres!$A$1:$I$89,3,0)*0.475*44/12</f>
        <v>#VALUE!</v>
      </c>
      <c r="BR183" s="21" t="e">
        <f>EXP(-LN(2)/2)*BR182+(1-EXP(-LN(2)/2))/(LN(2)/2)*BL183*BO183*VLOOKUP('Données projet'!$B$11,Paramètres!$A$1:$I$89,3,0)*0.475*44/12</f>
        <v>#VALUE!</v>
      </c>
      <c r="BS183" s="22" t="e">
        <f t="shared" si="169"/>
        <v>#VALUE!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-275.00000000000028</v>
      </c>
      <c r="BZ183" s="13">
        <f>BY183*VLOOKUP('Données projet'!$B$12,Paramètres!$A$1:$I$89,3,0)*VLOOKUP('Données projet'!$B$12,Paramètres!$A$1:$I$89,5,0)</f>
        <v>-214.50000000000023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286.5685205631126</v>
      </c>
      <c r="CE183" s="59">
        <f t="shared" si="148"/>
        <v>264.17357326498581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0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0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2.8421709430404007E-13</v>
      </c>
      <c r="O184" s="13">
        <f>N184*VLOOKUP('Données projet'!$B$9,Paramètres!$A$1:$I$89,3,0)*VLOOKUP('Données projet'!$B$9,Paramètres!$A$1:$I$89,5,0)</f>
        <v>2.5715962692629546E-13</v>
      </c>
      <c r="P184" s="13">
        <f t="shared" si="141"/>
        <v>3.4610450122128953E-12</v>
      </c>
      <c r="Q184" s="20">
        <f t="shared" si="162"/>
        <v>6.4758730798340893E-12</v>
      </c>
      <c r="R184" s="59">
        <f t="shared" si="109"/>
        <v>293.33333333333979</v>
      </c>
      <c r="S184" s="59">
        <f ca="1">AVERAGE(OFFSET($R$3,0,0,'Données projet'!$E$9+1,1))-AVERAGE(OFFSET($H$3,0,0,'Données projet'!$E$9+1,1))</f>
        <v>346.35147716792028</v>
      </c>
      <c r="T184" s="59">
        <f t="shared" si="142"/>
        <v>231.36959598460686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1.43260251531525E-22</v>
      </c>
      <c r="AC184" s="22">
        <f t="shared" si="163"/>
        <v>1.43260251531525E-22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2.8421709430404007E-13</v>
      </c>
      <c r="AJ184" s="13">
        <f>AI184*VLOOKUP('Données projet'!$B$10,Paramètres!$A$1:$I$89,3,0)*VLOOKUP('Données projet'!$B$10,Paramètres!$A$1:$I$89,5,0)</f>
        <v>2.5715962692629546E-13</v>
      </c>
      <c r="AK184" s="13">
        <f t="shared" si="164"/>
        <v>3.4610450122128953E-12</v>
      </c>
      <c r="AL184" s="20">
        <f t="shared" si="165"/>
        <v>6.4758730798340893E-12</v>
      </c>
      <c r="AM184" s="59">
        <f t="shared" si="113"/>
        <v>293.33333333333979</v>
      </c>
      <c r="AN184" s="59">
        <f ca="1">AVERAGE(OFFSET($AM$3,0,0,'Données projet'!$E$10+1,1))-AVERAGE(OFFSET($H$3,0,0,'Données projet'!$E$10+1,1))</f>
        <v>346.35147716792028</v>
      </c>
      <c r="AO184" s="59">
        <f t="shared" si="144"/>
        <v>231.36959598460686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1.43260251531525E-22</v>
      </c>
      <c r="AX184" s="21">
        <f t="shared" si="166"/>
        <v>1.43260251531525E-22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1.1368683772161603E-13</v>
      </c>
      <c r="BE184" s="13">
        <f>BD184*VLOOKUP('Données projet'!$B$11,Paramètres!$A$1:$I$89,3,0)*VLOOKUP('Données projet'!$B$11,Paramètres!$A$1:$I$89,5,0)</f>
        <v>6.7984728957526396E-14</v>
      </c>
      <c r="BF184" s="13">
        <f t="shared" si="167"/>
        <v>1.0682447123141398E-12</v>
      </c>
      <c r="BG184" s="20">
        <f t="shared" si="168"/>
        <v>1.978932943548152E-12</v>
      </c>
      <c r="BH184" s="59">
        <f t="shared" si="116"/>
        <v>293.3333333333353</v>
      </c>
      <c r="BI184" s="59">
        <f ca="1">AVERAGE(OFFSET($BH$3,0,0,'Données projet'!$E$11+1,1))-AVERAGE(OFFSET($H$3,0,0,'Données projet'!$E$11+1,1))</f>
        <v>257.80952690600492</v>
      </c>
      <c r="BJ184" s="59">
        <f t="shared" si="146"/>
        <v>269.95358755269427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#VALUE!</v>
      </c>
      <c r="BQ184" s="21" t="e">
        <f>EXP(-LN(2)/25)*BQ183+(1-EXP(-LN(2)/25))/(LN(2)/25)*Calculateur!BL184*Calculateur!BN184*VLOOKUP('Données projet'!$B$11,Paramètres!$A$1:$I$89,3,0)*0.475*44/12</f>
        <v>#VALUE!</v>
      </c>
      <c r="BR184" s="21" t="e">
        <f>EXP(-LN(2)/2)*BR183+(1-EXP(-LN(2)/2))/(LN(2)/2)*BL184*BO184*VLOOKUP('Données projet'!$B$11,Paramètres!$A$1:$I$89,3,0)*0.475*44/12</f>
        <v>#VALUE!</v>
      </c>
      <c r="BS184" s="22" t="e">
        <f t="shared" si="169"/>
        <v>#VALUE!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-275.00000000000028</v>
      </c>
      <c r="BZ184" s="13">
        <f>BY184*VLOOKUP('Données projet'!$B$12,Paramètres!$A$1:$I$89,3,0)*VLOOKUP('Données projet'!$B$12,Paramètres!$A$1:$I$89,5,0)</f>
        <v>-214.50000000000023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286.5685205631126</v>
      </c>
      <c r="CE184" s="59">
        <f t="shared" si="148"/>
        <v>264.17357326498581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0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0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2.8421709430404007E-13</v>
      </c>
      <c r="O185" s="13">
        <f>N185*VLOOKUP('Données projet'!$B$9,Paramètres!$A$1:$I$89,3,0)*VLOOKUP('Données projet'!$B$9,Paramètres!$A$1:$I$89,5,0)</f>
        <v>2.5715962692629546E-13</v>
      </c>
      <c r="P185" s="13">
        <f t="shared" si="141"/>
        <v>3.4610450122128953E-12</v>
      </c>
      <c r="Q185" s="20">
        <f t="shared" si="162"/>
        <v>6.4758730798340893E-12</v>
      </c>
      <c r="R185" s="59">
        <f t="shared" si="109"/>
        <v>293.33333333333979</v>
      </c>
      <c r="S185" s="59">
        <f ca="1">AVERAGE(OFFSET($R$3,0,0,'Données projet'!$E$9+1,1))-AVERAGE(OFFSET($H$3,0,0,'Données projet'!$E$9+1,1))</f>
        <v>346.35147716792028</v>
      </c>
      <c r="T185" s="59">
        <f t="shared" si="142"/>
        <v>231.36959598460686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1.0130029533243181E-22</v>
      </c>
      <c r="AC185" s="22">
        <f t="shared" si="163"/>
        <v>1.0130029533243181E-22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2.8421709430404007E-13</v>
      </c>
      <c r="AJ185" s="13">
        <f>AI185*VLOOKUP('Données projet'!$B$10,Paramètres!$A$1:$I$89,3,0)*VLOOKUP('Données projet'!$B$10,Paramètres!$A$1:$I$89,5,0)</f>
        <v>2.5715962692629546E-13</v>
      </c>
      <c r="AK185" s="13">
        <f t="shared" si="164"/>
        <v>3.4610450122128953E-12</v>
      </c>
      <c r="AL185" s="20">
        <f t="shared" si="165"/>
        <v>6.4758730798340893E-12</v>
      </c>
      <c r="AM185" s="59">
        <f t="shared" si="113"/>
        <v>293.33333333333979</v>
      </c>
      <c r="AN185" s="59">
        <f ca="1">AVERAGE(OFFSET($AM$3,0,0,'Données projet'!$E$10+1,1))-AVERAGE(OFFSET($H$3,0,0,'Données projet'!$E$10+1,1))</f>
        <v>346.35147716792028</v>
      </c>
      <c r="AO185" s="59">
        <f t="shared" si="144"/>
        <v>231.36959598460686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1.0130029533243181E-22</v>
      </c>
      <c r="AX185" s="21">
        <f t="shared" si="166"/>
        <v>1.0130029533243181E-22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1.1368683772161603E-13</v>
      </c>
      <c r="BE185" s="13">
        <f>BD185*VLOOKUP('Données projet'!$B$11,Paramètres!$A$1:$I$89,3,0)*VLOOKUP('Données projet'!$B$11,Paramètres!$A$1:$I$89,5,0)</f>
        <v>6.7984728957526396E-14</v>
      </c>
      <c r="BF185" s="13">
        <f t="shared" si="167"/>
        <v>1.0682447123141398E-12</v>
      </c>
      <c r="BG185" s="20">
        <f t="shared" si="168"/>
        <v>1.978932943548152E-12</v>
      </c>
      <c r="BH185" s="59">
        <f t="shared" si="116"/>
        <v>293.3333333333353</v>
      </c>
      <c r="BI185" s="59">
        <f ca="1">AVERAGE(OFFSET($BH$3,0,0,'Données projet'!$E$11+1,1))-AVERAGE(OFFSET($H$3,0,0,'Données projet'!$E$11+1,1))</f>
        <v>257.80952690600492</v>
      </c>
      <c r="BJ185" s="59">
        <f t="shared" si="146"/>
        <v>269.95358755269427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#VALUE!</v>
      </c>
      <c r="BQ185" s="21" t="e">
        <f>EXP(-LN(2)/25)*BQ184+(1-EXP(-LN(2)/25))/(LN(2)/25)*Calculateur!BL185*Calculateur!BN185*VLOOKUP('Données projet'!$B$11,Paramètres!$A$1:$I$89,3,0)*0.475*44/12</f>
        <v>#VALUE!</v>
      </c>
      <c r="BR185" s="21" t="e">
        <f>EXP(-LN(2)/2)*BR184+(1-EXP(-LN(2)/2))/(LN(2)/2)*BL185*BO185*VLOOKUP('Données projet'!$B$11,Paramètres!$A$1:$I$89,3,0)*0.475*44/12</f>
        <v>#VALUE!</v>
      </c>
      <c r="BS185" s="22" t="e">
        <f t="shared" si="169"/>
        <v>#VALUE!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-275.00000000000028</v>
      </c>
      <c r="BZ185" s="13">
        <f>BY185*VLOOKUP('Données projet'!$B$12,Paramètres!$A$1:$I$89,3,0)*VLOOKUP('Données projet'!$B$12,Paramètres!$A$1:$I$89,5,0)</f>
        <v>-214.50000000000023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286.5685205631126</v>
      </c>
      <c r="CE185" s="59">
        <f t="shared" si="148"/>
        <v>264.17357326498581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0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0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2.8421709430404007E-13</v>
      </c>
      <c r="O186" s="13">
        <f>N186*VLOOKUP('Données projet'!$B$9,Paramètres!$A$1:$I$89,3,0)*VLOOKUP('Données projet'!$B$9,Paramètres!$A$1:$I$89,5,0)</f>
        <v>2.5715962692629546E-13</v>
      </c>
      <c r="P186" s="13">
        <f t="shared" si="141"/>
        <v>3.4610450122128953E-12</v>
      </c>
      <c r="Q186" s="20">
        <f t="shared" si="162"/>
        <v>6.4758730798340893E-12</v>
      </c>
      <c r="R186" s="59">
        <f t="shared" si="109"/>
        <v>293.33333333333979</v>
      </c>
      <c r="S186" s="59">
        <f ca="1">AVERAGE(OFFSET($R$3,0,0,'Données projet'!$E$9+1,1))-AVERAGE(OFFSET($H$3,0,0,'Données projet'!$E$9+1,1))</f>
        <v>346.35147716792028</v>
      </c>
      <c r="T186" s="59">
        <f t="shared" si="142"/>
        <v>231.36959598460686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7.1630125765762502E-23</v>
      </c>
      <c r="AC186" s="22">
        <f t="shared" si="163"/>
        <v>7.1630125765762502E-23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2.8421709430404007E-13</v>
      </c>
      <c r="AJ186" s="13">
        <f>AI186*VLOOKUP('Données projet'!$B$10,Paramètres!$A$1:$I$89,3,0)*VLOOKUP('Données projet'!$B$10,Paramètres!$A$1:$I$89,5,0)</f>
        <v>2.5715962692629546E-13</v>
      </c>
      <c r="AK186" s="13">
        <f t="shared" si="164"/>
        <v>3.4610450122128953E-12</v>
      </c>
      <c r="AL186" s="20">
        <f t="shared" si="165"/>
        <v>6.4758730798340893E-12</v>
      </c>
      <c r="AM186" s="59">
        <f t="shared" si="113"/>
        <v>293.33333333333979</v>
      </c>
      <c r="AN186" s="59">
        <f ca="1">AVERAGE(OFFSET($AM$3,0,0,'Données projet'!$E$10+1,1))-AVERAGE(OFFSET($H$3,0,0,'Données projet'!$E$10+1,1))</f>
        <v>346.35147716792028</v>
      </c>
      <c r="AO186" s="59">
        <f t="shared" si="144"/>
        <v>231.36959598460686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7.1630125765762502E-23</v>
      </c>
      <c r="AX186" s="21">
        <f t="shared" si="166"/>
        <v>7.1630125765762502E-23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1.1368683772161603E-13</v>
      </c>
      <c r="BE186" s="13">
        <f>BD186*VLOOKUP('Données projet'!$B$11,Paramètres!$A$1:$I$89,3,0)*VLOOKUP('Données projet'!$B$11,Paramètres!$A$1:$I$89,5,0)</f>
        <v>6.7984728957526396E-14</v>
      </c>
      <c r="BF186" s="13">
        <f t="shared" si="167"/>
        <v>1.0682447123141398E-12</v>
      </c>
      <c r="BG186" s="20">
        <f t="shared" si="168"/>
        <v>1.978932943548152E-12</v>
      </c>
      <c r="BH186" s="59">
        <f t="shared" si="116"/>
        <v>293.3333333333353</v>
      </c>
      <c r="BI186" s="59">
        <f ca="1">AVERAGE(OFFSET($BH$3,0,0,'Données projet'!$E$11+1,1))-AVERAGE(OFFSET($H$3,0,0,'Données projet'!$E$11+1,1))</f>
        <v>257.80952690600492</v>
      </c>
      <c r="BJ186" s="59">
        <f t="shared" si="146"/>
        <v>269.95358755269427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#VALUE!</v>
      </c>
      <c r="BQ186" s="21" t="e">
        <f>EXP(-LN(2)/25)*BQ185+(1-EXP(-LN(2)/25))/(LN(2)/25)*Calculateur!BL186*Calculateur!BN186*VLOOKUP('Données projet'!$B$11,Paramètres!$A$1:$I$89,3,0)*0.475*44/12</f>
        <v>#VALUE!</v>
      </c>
      <c r="BR186" s="21" t="e">
        <f>EXP(-LN(2)/2)*BR185+(1-EXP(-LN(2)/2))/(LN(2)/2)*BL186*BO186*VLOOKUP('Données projet'!$B$11,Paramètres!$A$1:$I$89,3,0)*0.475*44/12</f>
        <v>#VALUE!</v>
      </c>
      <c r="BS186" s="22" t="e">
        <f t="shared" si="169"/>
        <v>#VALUE!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-275.00000000000028</v>
      </c>
      <c r="BZ186" s="13">
        <f>BY186*VLOOKUP('Données projet'!$B$12,Paramètres!$A$1:$I$89,3,0)*VLOOKUP('Données projet'!$B$12,Paramètres!$A$1:$I$89,5,0)</f>
        <v>-214.50000000000023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286.5685205631126</v>
      </c>
      <c r="CE186" s="59">
        <f t="shared" si="148"/>
        <v>264.17357326498581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0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0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2.8421709430404007E-13</v>
      </c>
      <c r="O187" s="13">
        <f>N187*VLOOKUP('Données projet'!$B$9,Paramètres!$A$1:$I$89,3,0)*VLOOKUP('Données projet'!$B$9,Paramètres!$A$1:$I$89,5,0)</f>
        <v>2.5715962692629546E-13</v>
      </c>
      <c r="P187" s="13">
        <f t="shared" si="141"/>
        <v>3.4610450122128953E-12</v>
      </c>
      <c r="Q187" s="20">
        <f t="shared" si="162"/>
        <v>6.4758730798340893E-12</v>
      </c>
      <c r="R187" s="59">
        <f t="shared" si="109"/>
        <v>293.33333333333979</v>
      </c>
      <c r="S187" s="59">
        <f ca="1">AVERAGE(OFFSET($R$3,0,0,'Données projet'!$E$9+1,1))-AVERAGE(OFFSET($H$3,0,0,'Données projet'!$E$9+1,1))</f>
        <v>346.35147716792028</v>
      </c>
      <c r="T187" s="59">
        <f t="shared" si="142"/>
        <v>231.36959598460686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5.0650147666215906E-23</v>
      </c>
      <c r="AC187" s="22">
        <f t="shared" si="163"/>
        <v>5.0650147666215906E-23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2.8421709430404007E-13</v>
      </c>
      <c r="AJ187" s="13">
        <f>AI187*VLOOKUP('Données projet'!$B$10,Paramètres!$A$1:$I$89,3,0)*VLOOKUP('Données projet'!$B$10,Paramètres!$A$1:$I$89,5,0)</f>
        <v>2.5715962692629546E-13</v>
      </c>
      <c r="AK187" s="13">
        <f t="shared" si="164"/>
        <v>3.4610450122128953E-12</v>
      </c>
      <c r="AL187" s="20">
        <f t="shared" si="165"/>
        <v>6.4758730798340893E-12</v>
      </c>
      <c r="AM187" s="59">
        <f t="shared" si="113"/>
        <v>293.33333333333979</v>
      </c>
      <c r="AN187" s="59">
        <f ca="1">AVERAGE(OFFSET($AM$3,0,0,'Données projet'!$E$10+1,1))-AVERAGE(OFFSET($H$3,0,0,'Données projet'!$E$10+1,1))</f>
        <v>346.35147716792028</v>
      </c>
      <c r="AO187" s="59">
        <f t="shared" si="144"/>
        <v>231.36959598460686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5.0650147666215906E-23</v>
      </c>
      <c r="AX187" s="21">
        <f t="shared" si="166"/>
        <v>5.0650147666215906E-23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1.1368683772161603E-13</v>
      </c>
      <c r="BE187" s="13">
        <f>BD187*VLOOKUP('Données projet'!$B$11,Paramètres!$A$1:$I$89,3,0)*VLOOKUP('Données projet'!$B$11,Paramètres!$A$1:$I$89,5,0)</f>
        <v>6.7984728957526396E-14</v>
      </c>
      <c r="BF187" s="13">
        <f t="shared" si="167"/>
        <v>1.0682447123141398E-12</v>
      </c>
      <c r="BG187" s="20">
        <f t="shared" si="168"/>
        <v>1.978932943548152E-12</v>
      </c>
      <c r="BH187" s="59">
        <f t="shared" si="116"/>
        <v>293.3333333333353</v>
      </c>
      <c r="BI187" s="59">
        <f ca="1">AVERAGE(OFFSET($BH$3,0,0,'Données projet'!$E$11+1,1))-AVERAGE(OFFSET($H$3,0,0,'Données projet'!$E$11+1,1))</f>
        <v>257.80952690600492</v>
      </c>
      <c r="BJ187" s="59">
        <f t="shared" si="146"/>
        <v>269.95358755269427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#VALUE!</v>
      </c>
      <c r="BQ187" s="21" t="e">
        <f>EXP(-LN(2)/25)*BQ186+(1-EXP(-LN(2)/25))/(LN(2)/25)*Calculateur!BL187*Calculateur!BN187*VLOOKUP('Données projet'!$B$11,Paramètres!$A$1:$I$89,3,0)*0.475*44/12</f>
        <v>#VALUE!</v>
      </c>
      <c r="BR187" s="21" t="e">
        <f>EXP(-LN(2)/2)*BR186+(1-EXP(-LN(2)/2))/(LN(2)/2)*BL187*BO187*VLOOKUP('Données projet'!$B$11,Paramètres!$A$1:$I$89,3,0)*0.475*44/12</f>
        <v>#VALUE!</v>
      </c>
      <c r="BS187" s="22" t="e">
        <f t="shared" si="169"/>
        <v>#VALUE!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-275.00000000000028</v>
      </c>
      <c r="BZ187" s="13">
        <f>BY187*VLOOKUP('Données projet'!$B$12,Paramètres!$A$1:$I$89,3,0)*VLOOKUP('Données projet'!$B$12,Paramètres!$A$1:$I$89,5,0)</f>
        <v>-214.50000000000023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286.5685205631126</v>
      </c>
      <c r="CE187" s="59">
        <f t="shared" si="148"/>
        <v>264.17357326498581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0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0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2.8421709430404007E-13</v>
      </c>
      <c r="O188" s="13">
        <f>N188*VLOOKUP('Données projet'!$B$9,Paramètres!$A$1:$I$89,3,0)*VLOOKUP('Données projet'!$B$9,Paramètres!$A$1:$I$89,5,0)</f>
        <v>2.5715962692629546E-13</v>
      </c>
      <c r="P188" s="13">
        <f t="shared" si="141"/>
        <v>3.4610450122128953E-12</v>
      </c>
      <c r="Q188" s="20">
        <f t="shared" si="162"/>
        <v>6.4758730798340893E-12</v>
      </c>
      <c r="R188" s="59">
        <f t="shared" si="109"/>
        <v>293.33333333333979</v>
      </c>
      <c r="S188" s="59">
        <f ca="1">AVERAGE(OFFSET($R$3,0,0,'Données projet'!$E$9+1,1))-AVERAGE(OFFSET($H$3,0,0,'Données projet'!$E$9+1,1))</f>
        <v>346.35147716792028</v>
      </c>
      <c r="T188" s="59">
        <f t="shared" si="142"/>
        <v>231.36959598460686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3.5815062882881251E-23</v>
      </c>
      <c r="AC188" s="22">
        <f t="shared" si="163"/>
        <v>3.5815062882881251E-23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2.8421709430404007E-13</v>
      </c>
      <c r="AJ188" s="13">
        <f>AI188*VLOOKUP('Données projet'!$B$10,Paramètres!$A$1:$I$89,3,0)*VLOOKUP('Données projet'!$B$10,Paramètres!$A$1:$I$89,5,0)</f>
        <v>2.5715962692629546E-13</v>
      </c>
      <c r="AK188" s="13">
        <f t="shared" si="164"/>
        <v>3.4610450122128953E-12</v>
      </c>
      <c r="AL188" s="20">
        <f t="shared" si="165"/>
        <v>6.4758730798340893E-12</v>
      </c>
      <c r="AM188" s="59">
        <f t="shared" si="113"/>
        <v>293.33333333333979</v>
      </c>
      <c r="AN188" s="59">
        <f ca="1">AVERAGE(OFFSET($AM$3,0,0,'Données projet'!$E$10+1,1))-AVERAGE(OFFSET($H$3,0,0,'Données projet'!$E$10+1,1))</f>
        <v>346.35147716792028</v>
      </c>
      <c r="AO188" s="59">
        <f t="shared" si="144"/>
        <v>231.36959598460686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3.5815062882881251E-23</v>
      </c>
      <c r="AX188" s="21">
        <f t="shared" si="166"/>
        <v>3.5815062882881251E-23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1.1368683772161603E-13</v>
      </c>
      <c r="BE188" s="13">
        <f>BD188*VLOOKUP('Données projet'!$B$11,Paramètres!$A$1:$I$89,3,0)*VLOOKUP('Données projet'!$B$11,Paramètres!$A$1:$I$89,5,0)</f>
        <v>6.7984728957526396E-14</v>
      </c>
      <c r="BF188" s="13">
        <f t="shared" si="167"/>
        <v>1.0682447123141398E-12</v>
      </c>
      <c r="BG188" s="20">
        <f t="shared" si="168"/>
        <v>1.978932943548152E-12</v>
      </c>
      <c r="BH188" s="59">
        <f t="shared" si="116"/>
        <v>293.3333333333353</v>
      </c>
      <c r="BI188" s="59">
        <f ca="1">AVERAGE(OFFSET($BH$3,0,0,'Données projet'!$E$11+1,1))-AVERAGE(OFFSET($H$3,0,0,'Données projet'!$E$11+1,1))</f>
        <v>257.80952690600492</v>
      </c>
      <c r="BJ188" s="59">
        <f t="shared" si="146"/>
        <v>269.95358755269427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#VALUE!</v>
      </c>
      <c r="BQ188" s="21" t="e">
        <f>EXP(-LN(2)/25)*BQ187+(1-EXP(-LN(2)/25))/(LN(2)/25)*Calculateur!BL188*Calculateur!BN188*VLOOKUP('Données projet'!$B$11,Paramètres!$A$1:$I$89,3,0)*0.475*44/12</f>
        <v>#VALUE!</v>
      </c>
      <c r="BR188" s="21" t="e">
        <f>EXP(-LN(2)/2)*BR187+(1-EXP(-LN(2)/2))/(LN(2)/2)*BL188*BO188*VLOOKUP('Données projet'!$B$11,Paramètres!$A$1:$I$89,3,0)*0.475*44/12</f>
        <v>#VALUE!</v>
      </c>
      <c r="BS188" s="22" t="e">
        <f t="shared" si="169"/>
        <v>#VALUE!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-275.00000000000028</v>
      </c>
      <c r="BZ188" s="13">
        <f>BY188*VLOOKUP('Données projet'!$B$12,Paramètres!$A$1:$I$89,3,0)*VLOOKUP('Données projet'!$B$12,Paramètres!$A$1:$I$89,5,0)</f>
        <v>-214.50000000000023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286.5685205631126</v>
      </c>
      <c r="CE188" s="59">
        <f t="shared" si="148"/>
        <v>264.17357326498581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0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0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2.8421709430404007E-13</v>
      </c>
      <c r="O189" s="13">
        <f>N189*VLOOKUP('Données projet'!$B$9,Paramètres!$A$1:$I$89,3,0)*VLOOKUP('Données projet'!$B$9,Paramètres!$A$1:$I$89,5,0)</f>
        <v>2.5715962692629546E-13</v>
      </c>
      <c r="P189" s="13">
        <f t="shared" si="141"/>
        <v>3.4610450122128953E-12</v>
      </c>
      <c r="Q189" s="20">
        <f t="shared" si="162"/>
        <v>6.4758730798340893E-12</v>
      </c>
      <c r="R189" s="59">
        <f t="shared" si="109"/>
        <v>293.33333333333979</v>
      </c>
      <c r="S189" s="59">
        <f ca="1">AVERAGE(OFFSET($R$3,0,0,'Données projet'!$E$9+1,1))-AVERAGE(OFFSET($H$3,0,0,'Données projet'!$E$9+1,1))</f>
        <v>346.35147716792028</v>
      </c>
      <c r="T189" s="59">
        <f t="shared" si="142"/>
        <v>231.36959598460686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2.5325073833107953E-23</v>
      </c>
      <c r="AC189" s="22">
        <f t="shared" si="163"/>
        <v>2.5325073833107953E-23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2.8421709430404007E-13</v>
      </c>
      <c r="AJ189" s="13">
        <f>AI189*VLOOKUP('Données projet'!$B$10,Paramètres!$A$1:$I$89,3,0)*VLOOKUP('Données projet'!$B$10,Paramètres!$A$1:$I$89,5,0)</f>
        <v>2.5715962692629546E-13</v>
      </c>
      <c r="AK189" s="13">
        <f t="shared" si="164"/>
        <v>3.4610450122128953E-12</v>
      </c>
      <c r="AL189" s="20">
        <f t="shared" si="165"/>
        <v>6.4758730798340893E-12</v>
      </c>
      <c r="AM189" s="59">
        <f t="shared" si="113"/>
        <v>293.33333333333979</v>
      </c>
      <c r="AN189" s="59">
        <f ca="1">AVERAGE(OFFSET($AM$3,0,0,'Données projet'!$E$10+1,1))-AVERAGE(OFFSET($H$3,0,0,'Données projet'!$E$10+1,1))</f>
        <v>346.35147716792028</v>
      </c>
      <c r="AO189" s="59">
        <f t="shared" si="144"/>
        <v>231.36959598460686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2.5325073833107953E-23</v>
      </c>
      <c r="AX189" s="21">
        <f t="shared" si="166"/>
        <v>2.5325073833107953E-23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1.1368683772161603E-13</v>
      </c>
      <c r="BE189" s="13">
        <f>BD189*VLOOKUP('Données projet'!$B$11,Paramètres!$A$1:$I$89,3,0)*VLOOKUP('Données projet'!$B$11,Paramètres!$A$1:$I$89,5,0)</f>
        <v>6.7984728957526396E-14</v>
      </c>
      <c r="BF189" s="13">
        <f t="shared" si="167"/>
        <v>1.0682447123141398E-12</v>
      </c>
      <c r="BG189" s="20">
        <f t="shared" si="168"/>
        <v>1.978932943548152E-12</v>
      </c>
      <c r="BH189" s="59">
        <f t="shared" si="116"/>
        <v>293.3333333333353</v>
      </c>
      <c r="BI189" s="59">
        <f ca="1">AVERAGE(OFFSET($BH$3,0,0,'Données projet'!$E$11+1,1))-AVERAGE(OFFSET($H$3,0,0,'Données projet'!$E$11+1,1))</f>
        <v>257.80952690600492</v>
      </c>
      <c r="BJ189" s="59">
        <f t="shared" si="146"/>
        <v>269.95358755269427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#VALUE!</v>
      </c>
      <c r="BQ189" s="21" t="e">
        <f>EXP(-LN(2)/25)*BQ188+(1-EXP(-LN(2)/25))/(LN(2)/25)*Calculateur!BL189*Calculateur!BN189*VLOOKUP('Données projet'!$B$11,Paramètres!$A$1:$I$89,3,0)*0.475*44/12</f>
        <v>#VALUE!</v>
      </c>
      <c r="BR189" s="21" t="e">
        <f>EXP(-LN(2)/2)*BR188+(1-EXP(-LN(2)/2))/(LN(2)/2)*BL189*BO189*VLOOKUP('Données projet'!$B$11,Paramètres!$A$1:$I$89,3,0)*0.475*44/12</f>
        <v>#VALUE!</v>
      </c>
      <c r="BS189" s="22" t="e">
        <f t="shared" si="169"/>
        <v>#VALUE!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-275.00000000000028</v>
      </c>
      <c r="BZ189" s="13">
        <f>BY189*VLOOKUP('Données projet'!$B$12,Paramètres!$A$1:$I$89,3,0)*VLOOKUP('Données projet'!$B$12,Paramètres!$A$1:$I$89,5,0)</f>
        <v>-214.50000000000023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286.5685205631126</v>
      </c>
      <c r="CE189" s="59">
        <f t="shared" si="148"/>
        <v>264.17357326498581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0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0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2.8421709430404007E-13</v>
      </c>
      <c r="O190" s="13">
        <f>N190*VLOOKUP('Données projet'!$B$9,Paramètres!$A$1:$I$89,3,0)*VLOOKUP('Données projet'!$B$9,Paramètres!$A$1:$I$89,5,0)</f>
        <v>2.5715962692629546E-13</v>
      </c>
      <c r="P190" s="13">
        <f t="shared" si="141"/>
        <v>3.4610450122128953E-12</v>
      </c>
      <c r="Q190" s="20">
        <f t="shared" si="162"/>
        <v>6.4758730798340893E-12</v>
      </c>
      <c r="R190" s="59">
        <f t="shared" si="109"/>
        <v>293.33333333333979</v>
      </c>
      <c r="S190" s="59">
        <f ca="1">AVERAGE(OFFSET($R$3,0,0,'Données projet'!$E$9+1,1))-AVERAGE(OFFSET($H$3,0,0,'Données projet'!$E$9+1,1))</f>
        <v>346.35147716792028</v>
      </c>
      <c r="T190" s="59">
        <f t="shared" si="142"/>
        <v>231.36959598460686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1.7907531441440626E-23</v>
      </c>
      <c r="AC190" s="22">
        <f t="shared" si="163"/>
        <v>1.7907531441440626E-23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2.8421709430404007E-13</v>
      </c>
      <c r="AJ190" s="13">
        <f>AI190*VLOOKUP('Données projet'!$B$10,Paramètres!$A$1:$I$89,3,0)*VLOOKUP('Données projet'!$B$10,Paramètres!$A$1:$I$89,5,0)</f>
        <v>2.5715962692629546E-13</v>
      </c>
      <c r="AK190" s="13">
        <f t="shared" si="164"/>
        <v>3.4610450122128953E-12</v>
      </c>
      <c r="AL190" s="20">
        <f t="shared" si="165"/>
        <v>6.4758730798340893E-12</v>
      </c>
      <c r="AM190" s="59">
        <f t="shared" si="113"/>
        <v>293.33333333333979</v>
      </c>
      <c r="AN190" s="59">
        <f ca="1">AVERAGE(OFFSET($AM$3,0,0,'Données projet'!$E$10+1,1))-AVERAGE(OFFSET($H$3,0,0,'Données projet'!$E$10+1,1))</f>
        <v>346.35147716792028</v>
      </c>
      <c r="AO190" s="59">
        <f t="shared" si="144"/>
        <v>231.36959598460686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1.7907531441440626E-23</v>
      </c>
      <c r="AX190" s="21">
        <f t="shared" si="166"/>
        <v>1.7907531441440626E-23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1.1368683772161603E-13</v>
      </c>
      <c r="BE190" s="13">
        <f>BD190*VLOOKUP('Données projet'!$B$11,Paramètres!$A$1:$I$89,3,0)*VLOOKUP('Données projet'!$B$11,Paramètres!$A$1:$I$89,5,0)</f>
        <v>6.7984728957526396E-14</v>
      </c>
      <c r="BF190" s="13">
        <f t="shared" si="167"/>
        <v>1.0682447123141398E-12</v>
      </c>
      <c r="BG190" s="20">
        <f t="shared" si="168"/>
        <v>1.978932943548152E-12</v>
      </c>
      <c r="BH190" s="59">
        <f t="shared" si="116"/>
        <v>293.3333333333353</v>
      </c>
      <c r="BI190" s="59">
        <f ca="1">AVERAGE(OFFSET($BH$3,0,0,'Données projet'!$E$11+1,1))-AVERAGE(OFFSET($H$3,0,0,'Données projet'!$E$11+1,1))</f>
        <v>257.80952690600492</v>
      </c>
      <c r="BJ190" s="59">
        <f t="shared" si="146"/>
        <v>269.95358755269427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#VALUE!</v>
      </c>
      <c r="BQ190" s="21" t="e">
        <f>EXP(-LN(2)/25)*BQ189+(1-EXP(-LN(2)/25))/(LN(2)/25)*Calculateur!BL190*Calculateur!BN190*VLOOKUP('Données projet'!$B$11,Paramètres!$A$1:$I$89,3,0)*0.475*44/12</f>
        <v>#VALUE!</v>
      </c>
      <c r="BR190" s="21" t="e">
        <f>EXP(-LN(2)/2)*BR189+(1-EXP(-LN(2)/2))/(LN(2)/2)*BL190*BO190*VLOOKUP('Données projet'!$B$11,Paramètres!$A$1:$I$89,3,0)*0.475*44/12</f>
        <v>#VALUE!</v>
      </c>
      <c r="BS190" s="22" t="e">
        <f t="shared" si="169"/>
        <v>#VALUE!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-275.00000000000028</v>
      </c>
      <c r="BZ190" s="13">
        <f>BY190*VLOOKUP('Données projet'!$B$12,Paramètres!$A$1:$I$89,3,0)*VLOOKUP('Données projet'!$B$12,Paramètres!$A$1:$I$89,5,0)</f>
        <v>-214.50000000000023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286.5685205631126</v>
      </c>
      <c r="CE190" s="59">
        <f t="shared" si="148"/>
        <v>264.17357326498581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0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0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2.8421709430404007E-13</v>
      </c>
      <c r="O191" s="13">
        <f>N191*VLOOKUP('Données projet'!$B$9,Paramètres!$A$1:$I$89,3,0)*VLOOKUP('Données projet'!$B$9,Paramètres!$A$1:$I$89,5,0)</f>
        <v>2.5715962692629546E-13</v>
      </c>
      <c r="P191" s="13">
        <f t="shared" si="141"/>
        <v>3.4610450122128953E-12</v>
      </c>
      <c r="Q191" s="20">
        <f t="shared" si="162"/>
        <v>6.4758730798340893E-12</v>
      </c>
      <c r="R191" s="59">
        <f t="shared" si="109"/>
        <v>293.33333333333979</v>
      </c>
      <c r="S191" s="59">
        <f ca="1">AVERAGE(OFFSET($R$3,0,0,'Données projet'!$E$9+1,1))-AVERAGE(OFFSET($H$3,0,0,'Données projet'!$E$9+1,1))</f>
        <v>346.35147716792028</v>
      </c>
      <c r="T191" s="59">
        <f t="shared" si="142"/>
        <v>231.36959598460686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1.2662536916553977E-23</v>
      </c>
      <c r="AC191" s="22">
        <f t="shared" si="163"/>
        <v>1.2662536916553977E-23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2.8421709430404007E-13</v>
      </c>
      <c r="AJ191" s="13">
        <f>AI191*VLOOKUP('Données projet'!$B$10,Paramètres!$A$1:$I$89,3,0)*VLOOKUP('Données projet'!$B$10,Paramètres!$A$1:$I$89,5,0)</f>
        <v>2.5715962692629546E-13</v>
      </c>
      <c r="AK191" s="13">
        <f t="shared" si="164"/>
        <v>3.4610450122128953E-12</v>
      </c>
      <c r="AL191" s="20">
        <f t="shared" si="165"/>
        <v>6.4758730798340893E-12</v>
      </c>
      <c r="AM191" s="59">
        <f t="shared" si="113"/>
        <v>293.33333333333979</v>
      </c>
      <c r="AN191" s="59">
        <f ca="1">AVERAGE(OFFSET($AM$3,0,0,'Données projet'!$E$10+1,1))-AVERAGE(OFFSET($H$3,0,0,'Données projet'!$E$10+1,1))</f>
        <v>346.35147716792028</v>
      </c>
      <c r="AO191" s="59">
        <f t="shared" si="144"/>
        <v>231.36959598460686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1.2662536916553977E-23</v>
      </c>
      <c r="AX191" s="21">
        <f t="shared" si="166"/>
        <v>1.2662536916553977E-23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1.1368683772161603E-13</v>
      </c>
      <c r="BE191" s="13">
        <f>BD191*VLOOKUP('Données projet'!$B$11,Paramètres!$A$1:$I$89,3,0)*VLOOKUP('Données projet'!$B$11,Paramètres!$A$1:$I$89,5,0)</f>
        <v>6.7984728957526396E-14</v>
      </c>
      <c r="BF191" s="13">
        <f t="shared" si="167"/>
        <v>1.0682447123141398E-12</v>
      </c>
      <c r="BG191" s="20">
        <f t="shared" si="168"/>
        <v>1.978932943548152E-12</v>
      </c>
      <c r="BH191" s="59">
        <f t="shared" si="116"/>
        <v>293.3333333333353</v>
      </c>
      <c r="BI191" s="59">
        <f ca="1">AVERAGE(OFFSET($BH$3,0,0,'Données projet'!$E$11+1,1))-AVERAGE(OFFSET($H$3,0,0,'Données projet'!$E$11+1,1))</f>
        <v>257.80952690600492</v>
      </c>
      <c r="BJ191" s="59">
        <f t="shared" si="146"/>
        <v>269.95358755269427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#VALUE!</v>
      </c>
      <c r="BQ191" s="21" t="e">
        <f>EXP(-LN(2)/25)*BQ190+(1-EXP(-LN(2)/25))/(LN(2)/25)*Calculateur!BL191*Calculateur!BN191*VLOOKUP('Données projet'!$B$11,Paramètres!$A$1:$I$89,3,0)*0.475*44/12</f>
        <v>#VALUE!</v>
      </c>
      <c r="BR191" s="21" t="e">
        <f>EXP(-LN(2)/2)*BR190+(1-EXP(-LN(2)/2))/(LN(2)/2)*BL191*BO191*VLOOKUP('Données projet'!$B$11,Paramètres!$A$1:$I$89,3,0)*0.475*44/12</f>
        <v>#VALUE!</v>
      </c>
      <c r="BS191" s="22" t="e">
        <f t="shared" si="169"/>
        <v>#VALUE!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-275.00000000000028</v>
      </c>
      <c r="BZ191" s="13">
        <f>BY191*VLOOKUP('Données projet'!$B$12,Paramètres!$A$1:$I$89,3,0)*VLOOKUP('Données projet'!$B$12,Paramètres!$A$1:$I$89,5,0)</f>
        <v>-214.50000000000023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286.5685205631126</v>
      </c>
      <c r="CE191" s="59">
        <f t="shared" si="148"/>
        <v>264.17357326498581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0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0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2.8421709430404007E-13</v>
      </c>
      <c r="O192" s="13">
        <f>N192*VLOOKUP('Données projet'!$B$9,Paramètres!$A$1:$I$89,3,0)*VLOOKUP('Données projet'!$B$9,Paramètres!$A$1:$I$89,5,0)</f>
        <v>2.5715962692629546E-13</v>
      </c>
      <c r="P192" s="13">
        <f t="shared" si="141"/>
        <v>3.4610450122128953E-12</v>
      </c>
      <c r="Q192" s="20">
        <f t="shared" si="162"/>
        <v>6.4758730798340893E-12</v>
      </c>
      <c r="R192" s="59">
        <f t="shared" si="109"/>
        <v>293.33333333333979</v>
      </c>
      <c r="S192" s="59">
        <f ca="1">AVERAGE(OFFSET($R$3,0,0,'Données projet'!$E$9+1,1))-AVERAGE(OFFSET($H$3,0,0,'Données projet'!$E$9+1,1))</f>
        <v>346.35147716792028</v>
      </c>
      <c r="T192" s="59">
        <f t="shared" si="142"/>
        <v>231.36959598460686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8.9537657207203128E-24</v>
      </c>
      <c r="AC192" s="22">
        <f t="shared" si="163"/>
        <v>8.9537657207203128E-24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2.8421709430404007E-13</v>
      </c>
      <c r="AJ192" s="13">
        <f>AI192*VLOOKUP('Données projet'!$B$10,Paramètres!$A$1:$I$89,3,0)*VLOOKUP('Données projet'!$B$10,Paramètres!$A$1:$I$89,5,0)</f>
        <v>2.5715962692629546E-13</v>
      </c>
      <c r="AK192" s="13">
        <f t="shared" si="164"/>
        <v>3.4610450122128953E-12</v>
      </c>
      <c r="AL192" s="20">
        <f t="shared" si="165"/>
        <v>6.4758730798340893E-12</v>
      </c>
      <c r="AM192" s="59">
        <f t="shared" si="113"/>
        <v>293.33333333333979</v>
      </c>
      <c r="AN192" s="59">
        <f ca="1">AVERAGE(OFFSET($AM$3,0,0,'Données projet'!$E$10+1,1))-AVERAGE(OFFSET($H$3,0,0,'Données projet'!$E$10+1,1))</f>
        <v>346.35147716792028</v>
      </c>
      <c r="AO192" s="59">
        <f t="shared" si="144"/>
        <v>231.36959598460686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8.9537657207203128E-24</v>
      </c>
      <c r="AX192" s="21">
        <f t="shared" si="166"/>
        <v>8.9537657207203128E-24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1.1368683772161603E-13</v>
      </c>
      <c r="BE192" s="13">
        <f>BD192*VLOOKUP('Données projet'!$B$11,Paramètres!$A$1:$I$89,3,0)*VLOOKUP('Données projet'!$B$11,Paramètres!$A$1:$I$89,5,0)</f>
        <v>6.7984728957526396E-14</v>
      </c>
      <c r="BF192" s="13">
        <f t="shared" si="167"/>
        <v>1.0682447123141398E-12</v>
      </c>
      <c r="BG192" s="20">
        <f t="shared" si="168"/>
        <v>1.978932943548152E-12</v>
      </c>
      <c r="BH192" s="59">
        <f t="shared" si="116"/>
        <v>293.3333333333353</v>
      </c>
      <c r="BI192" s="59">
        <f ca="1">AVERAGE(OFFSET($BH$3,0,0,'Données projet'!$E$11+1,1))-AVERAGE(OFFSET($H$3,0,0,'Données projet'!$E$11+1,1))</f>
        <v>257.80952690600492</v>
      </c>
      <c r="BJ192" s="59">
        <f t="shared" si="146"/>
        <v>269.95358755269427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#VALUE!</v>
      </c>
      <c r="BQ192" s="21" t="e">
        <f>EXP(-LN(2)/25)*BQ191+(1-EXP(-LN(2)/25))/(LN(2)/25)*Calculateur!BL192*Calculateur!BN192*VLOOKUP('Données projet'!$B$11,Paramètres!$A$1:$I$89,3,0)*0.475*44/12</f>
        <v>#VALUE!</v>
      </c>
      <c r="BR192" s="21" t="e">
        <f>EXP(-LN(2)/2)*BR191+(1-EXP(-LN(2)/2))/(LN(2)/2)*BL192*BO192*VLOOKUP('Données projet'!$B$11,Paramètres!$A$1:$I$89,3,0)*0.475*44/12</f>
        <v>#VALUE!</v>
      </c>
      <c r="BS192" s="22" t="e">
        <f t="shared" si="169"/>
        <v>#VALUE!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-275.00000000000028</v>
      </c>
      <c r="BZ192" s="13">
        <f>BY192*VLOOKUP('Données projet'!$B$12,Paramètres!$A$1:$I$89,3,0)*VLOOKUP('Données projet'!$B$12,Paramètres!$A$1:$I$89,5,0)</f>
        <v>-214.50000000000023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286.5685205631126</v>
      </c>
      <c r="CE192" s="59">
        <f t="shared" si="148"/>
        <v>264.17357326498581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0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0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2.8421709430404007E-13</v>
      </c>
      <c r="O193" s="13">
        <f>N193*VLOOKUP('Données projet'!$B$9,Paramètres!$A$1:$I$89,3,0)*VLOOKUP('Données projet'!$B$9,Paramètres!$A$1:$I$89,5,0)</f>
        <v>2.5715962692629546E-13</v>
      </c>
      <c r="P193" s="13">
        <f t="shared" si="141"/>
        <v>3.4610450122128953E-12</v>
      </c>
      <c r="Q193" s="20">
        <f t="shared" si="162"/>
        <v>6.4758730798340893E-12</v>
      </c>
      <c r="R193" s="59">
        <f t="shared" si="109"/>
        <v>293.33333333333979</v>
      </c>
      <c r="S193" s="59">
        <f ca="1">AVERAGE(OFFSET($R$3,0,0,'Données projet'!$E$9+1,1))-AVERAGE(OFFSET($H$3,0,0,'Données projet'!$E$9+1,1))</f>
        <v>346.35147716792028</v>
      </c>
      <c r="T193" s="59">
        <f t="shared" si="142"/>
        <v>231.36959598460686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6.3312684582769883E-24</v>
      </c>
      <c r="AC193" s="22">
        <f t="shared" si="163"/>
        <v>6.3312684582769883E-24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2.8421709430404007E-13</v>
      </c>
      <c r="AJ193" s="13">
        <f>AI193*VLOOKUP('Données projet'!$B$10,Paramètres!$A$1:$I$89,3,0)*VLOOKUP('Données projet'!$B$10,Paramètres!$A$1:$I$89,5,0)</f>
        <v>2.5715962692629546E-13</v>
      </c>
      <c r="AK193" s="13">
        <f t="shared" si="164"/>
        <v>3.4610450122128953E-12</v>
      </c>
      <c r="AL193" s="20">
        <f t="shared" si="165"/>
        <v>6.4758730798340893E-12</v>
      </c>
      <c r="AM193" s="59">
        <f t="shared" si="113"/>
        <v>293.33333333333979</v>
      </c>
      <c r="AN193" s="59">
        <f ca="1">AVERAGE(OFFSET($AM$3,0,0,'Données projet'!$E$10+1,1))-AVERAGE(OFFSET($H$3,0,0,'Données projet'!$E$10+1,1))</f>
        <v>346.35147716792028</v>
      </c>
      <c r="AO193" s="59">
        <f t="shared" si="144"/>
        <v>231.36959598460686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6.3312684582769883E-24</v>
      </c>
      <c r="AX193" s="21">
        <f t="shared" si="166"/>
        <v>6.3312684582769883E-24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1.1368683772161603E-13</v>
      </c>
      <c r="BE193" s="13">
        <f>BD193*VLOOKUP('Données projet'!$B$11,Paramètres!$A$1:$I$89,3,0)*VLOOKUP('Données projet'!$B$11,Paramètres!$A$1:$I$89,5,0)</f>
        <v>6.7984728957526396E-14</v>
      </c>
      <c r="BF193" s="13">
        <f t="shared" si="167"/>
        <v>1.0682447123141398E-12</v>
      </c>
      <c r="BG193" s="20">
        <f t="shared" si="168"/>
        <v>1.978932943548152E-12</v>
      </c>
      <c r="BH193" s="59">
        <f t="shared" si="116"/>
        <v>293.3333333333353</v>
      </c>
      <c r="BI193" s="59">
        <f ca="1">AVERAGE(OFFSET($BH$3,0,0,'Données projet'!$E$11+1,1))-AVERAGE(OFFSET($H$3,0,0,'Données projet'!$E$11+1,1))</f>
        <v>257.80952690600492</v>
      </c>
      <c r="BJ193" s="59">
        <f t="shared" si="146"/>
        <v>269.95358755269427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#VALUE!</v>
      </c>
      <c r="BQ193" s="21" t="e">
        <f>EXP(-LN(2)/25)*BQ192+(1-EXP(-LN(2)/25))/(LN(2)/25)*Calculateur!BL193*Calculateur!BN193*VLOOKUP('Données projet'!$B$11,Paramètres!$A$1:$I$89,3,0)*0.475*44/12</f>
        <v>#VALUE!</v>
      </c>
      <c r="BR193" s="21" t="e">
        <f>EXP(-LN(2)/2)*BR192+(1-EXP(-LN(2)/2))/(LN(2)/2)*BL193*BO193*VLOOKUP('Données projet'!$B$11,Paramètres!$A$1:$I$89,3,0)*0.475*44/12</f>
        <v>#VALUE!</v>
      </c>
      <c r="BS193" s="22" t="e">
        <f t="shared" si="169"/>
        <v>#VALUE!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-275.00000000000028</v>
      </c>
      <c r="BZ193" s="13">
        <f>BY193*VLOOKUP('Données projet'!$B$12,Paramètres!$A$1:$I$89,3,0)*VLOOKUP('Données projet'!$B$12,Paramètres!$A$1:$I$89,5,0)</f>
        <v>-214.50000000000023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286.5685205631126</v>
      </c>
      <c r="CE193" s="59">
        <f t="shared" si="148"/>
        <v>264.17357326498581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0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0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2.8421709430404007E-13</v>
      </c>
      <c r="O194" s="13">
        <f>N194*VLOOKUP('Données projet'!$B$9,Paramètres!$A$1:$I$89,3,0)*VLOOKUP('Données projet'!$B$9,Paramètres!$A$1:$I$89,5,0)</f>
        <v>2.5715962692629546E-13</v>
      </c>
      <c r="P194" s="13">
        <f t="shared" si="141"/>
        <v>3.4610450122128953E-12</v>
      </c>
      <c r="Q194" s="20">
        <f t="shared" si="162"/>
        <v>6.4758730798340893E-12</v>
      </c>
      <c r="R194" s="59">
        <f t="shared" si="109"/>
        <v>293.33333333333979</v>
      </c>
      <c r="S194" s="59">
        <f ca="1">AVERAGE(OFFSET($R$3,0,0,'Données projet'!$E$9+1,1))-AVERAGE(OFFSET($H$3,0,0,'Données projet'!$E$9+1,1))</f>
        <v>346.35147716792028</v>
      </c>
      <c r="T194" s="59">
        <f t="shared" si="142"/>
        <v>231.36959598460686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4.4768828603601564E-24</v>
      </c>
      <c r="AC194" s="22">
        <f t="shared" si="163"/>
        <v>4.4768828603601564E-24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2.8421709430404007E-13</v>
      </c>
      <c r="AJ194" s="13">
        <f>AI194*VLOOKUP('Données projet'!$B$10,Paramètres!$A$1:$I$89,3,0)*VLOOKUP('Données projet'!$B$10,Paramètres!$A$1:$I$89,5,0)</f>
        <v>2.5715962692629546E-13</v>
      </c>
      <c r="AK194" s="13">
        <f t="shared" si="164"/>
        <v>3.4610450122128953E-12</v>
      </c>
      <c r="AL194" s="20">
        <f t="shared" si="165"/>
        <v>6.4758730798340893E-12</v>
      </c>
      <c r="AM194" s="59">
        <f t="shared" si="113"/>
        <v>293.33333333333979</v>
      </c>
      <c r="AN194" s="59">
        <f ca="1">AVERAGE(OFFSET($AM$3,0,0,'Données projet'!$E$10+1,1))-AVERAGE(OFFSET($H$3,0,0,'Données projet'!$E$10+1,1))</f>
        <v>346.35147716792028</v>
      </c>
      <c r="AO194" s="59">
        <f t="shared" si="144"/>
        <v>231.36959598460686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4.4768828603601564E-24</v>
      </c>
      <c r="AX194" s="21">
        <f t="shared" si="166"/>
        <v>4.4768828603601564E-24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1.1368683772161603E-13</v>
      </c>
      <c r="BE194" s="13">
        <f>BD194*VLOOKUP('Données projet'!$B$11,Paramètres!$A$1:$I$89,3,0)*VLOOKUP('Données projet'!$B$11,Paramètres!$A$1:$I$89,5,0)</f>
        <v>6.7984728957526396E-14</v>
      </c>
      <c r="BF194" s="13">
        <f t="shared" si="167"/>
        <v>1.0682447123141398E-12</v>
      </c>
      <c r="BG194" s="20">
        <f t="shared" si="168"/>
        <v>1.978932943548152E-12</v>
      </c>
      <c r="BH194" s="59">
        <f t="shared" si="116"/>
        <v>293.3333333333353</v>
      </c>
      <c r="BI194" s="59">
        <f ca="1">AVERAGE(OFFSET($BH$3,0,0,'Données projet'!$E$11+1,1))-AVERAGE(OFFSET($H$3,0,0,'Données projet'!$E$11+1,1))</f>
        <v>257.80952690600492</v>
      </c>
      <c r="BJ194" s="59">
        <f t="shared" si="146"/>
        <v>269.95358755269427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#VALUE!</v>
      </c>
      <c r="BQ194" s="21" t="e">
        <f>EXP(-LN(2)/25)*BQ193+(1-EXP(-LN(2)/25))/(LN(2)/25)*Calculateur!BL194*Calculateur!BN194*VLOOKUP('Données projet'!$B$11,Paramètres!$A$1:$I$89,3,0)*0.475*44/12</f>
        <v>#VALUE!</v>
      </c>
      <c r="BR194" s="21" t="e">
        <f>EXP(-LN(2)/2)*BR193+(1-EXP(-LN(2)/2))/(LN(2)/2)*BL194*BO194*VLOOKUP('Données projet'!$B$11,Paramètres!$A$1:$I$89,3,0)*0.475*44/12</f>
        <v>#VALUE!</v>
      </c>
      <c r="BS194" s="22" t="e">
        <f t="shared" si="169"/>
        <v>#VALUE!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-275.00000000000028</v>
      </c>
      <c r="BZ194" s="13">
        <f>BY194*VLOOKUP('Données projet'!$B$12,Paramètres!$A$1:$I$89,3,0)*VLOOKUP('Données projet'!$B$12,Paramètres!$A$1:$I$89,5,0)</f>
        <v>-214.50000000000023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286.5685205631126</v>
      </c>
      <c r="CE194" s="59">
        <f t="shared" si="148"/>
        <v>264.17357326498581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0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0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2.8421709430404007E-13</v>
      </c>
      <c r="O195" s="13">
        <f>N195*VLOOKUP('Données projet'!$B$9,Paramètres!$A$1:$I$89,3,0)*VLOOKUP('Données projet'!$B$9,Paramètres!$A$1:$I$89,5,0)</f>
        <v>2.5715962692629546E-13</v>
      </c>
      <c r="P195" s="13">
        <f t="shared" si="141"/>
        <v>3.4610450122128953E-12</v>
      </c>
      <c r="Q195" s="20">
        <f t="shared" si="162"/>
        <v>6.4758730798340893E-12</v>
      </c>
      <c r="R195" s="59">
        <f t="shared" ref="R195:R203" si="191">Q195+(I195+J195)*44/12</f>
        <v>293.33333333333979</v>
      </c>
      <c r="S195" s="59">
        <f ca="1">AVERAGE(OFFSET($R$3,0,0,'Données projet'!$E$9+1,1))-AVERAGE(OFFSET($H$3,0,0,'Données projet'!$E$9+1,1))</f>
        <v>346.35147716792028</v>
      </c>
      <c r="T195" s="59">
        <f t="shared" si="142"/>
        <v>231.36959598460686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3.1656342291384941E-24</v>
      </c>
      <c r="AC195" s="22">
        <f t="shared" si="163"/>
        <v>3.1656342291384941E-24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2.8421709430404007E-13</v>
      </c>
      <c r="AJ195" s="13">
        <f>AI195*VLOOKUP('Données projet'!$B$10,Paramètres!$A$1:$I$89,3,0)*VLOOKUP('Données projet'!$B$10,Paramètres!$A$1:$I$89,5,0)</f>
        <v>2.5715962692629546E-13</v>
      </c>
      <c r="AK195" s="13">
        <f t="shared" si="164"/>
        <v>3.4610450122128953E-12</v>
      </c>
      <c r="AL195" s="20">
        <f t="shared" si="165"/>
        <v>6.4758730798340893E-12</v>
      </c>
      <c r="AM195" s="59">
        <f t="shared" si="113"/>
        <v>293.33333333333979</v>
      </c>
      <c r="AN195" s="59">
        <f ca="1">AVERAGE(OFFSET($AM$3,0,0,'Données projet'!$E$10+1,1))-AVERAGE(OFFSET($H$3,0,0,'Données projet'!$E$10+1,1))</f>
        <v>346.35147716792028</v>
      </c>
      <c r="AO195" s="59">
        <f t="shared" si="144"/>
        <v>231.36959598460686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3.1656342291384941E-24</v>
      </c>
      <c r="AX195" s="21">
        <f t="shared" si="166"/>
        <v>3.1656342291384941E-24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1.1368683772161603E-13</v>
      </c>
      <c r="BE195" s="13">
        <f>BD195*VLOOKUP('Données projet'!$B$11,Paramètres!$A$1:$I$89,3,0)*VLOOKUP('Données projet'!$B$11,Paramètres!$A$1:$I$89,5,0)</f>
        <v>6.7984728957526396E-14</v>
      </c>
      <c r="BF195" s="13">
        <f t="shared" si="167"/>
        <v>1.0682447123141398E-12</v>
      </c>
      <c r="BG195" s="20">
        <f t="shared" si="168"/>
        <v>1.978932943548152E-12</v>
      </c>
      <c r="BH195" s="59">
        <f t="shared" si="116"/>
        <v>293.3333333333353</v>
      </c>
      <c r="BI195" s="59">
        <f ca="1">AVERAGE(OFFSET($BH$3,0,0,'Données projet'!$E$11+1,1))-AVERAGE(OFFSET($H$3,0,0,'Données projet'!$E$11+1,1))</f>
        <v>257.80952690600492</v>
      </c>
      <c r="BJ195" s="59">
        <f t="shared" si="146"/>
        <v>269.95358755269427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#VALUE!</v>
      </c>
      <c r="BQ195" s="21" t="e">
        <f>EXP(-LN(2)/25)*BQ194+(1-EXP(-LN(2)/25))/(LN(2)/25)*Calculateur!BL195*Calculateur!BN195*VLOOKUP('Données projet'!$B$11,Paramètres!$A$1:$I$89,3,0)*0.475*44/12</f>
        <v>#VALUE!</v>
      </c>
      <c r="BR195" s="21" t="e">
        <f>EXP(-LN(2)/2)*BR194+(1-EXP(-LN(2)/2))/(LN(2)/2)*BL195*BO195*VLOOKUP('Données projet'!$B$11,Paramètres!$A$1:$I$89,3,0)*0.475*44/12</f>
        <v>#VALUE!</v>
      </c>
      <c r="BS195" s="22" t="e">
        <f t="shared" si="169"/>
        <v>#VALUE!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-275.00000000000028</v>
      </c>
      <c r="BZ195" s="13">
        <f>BY195*VLOOKUP('Données projet'!$B$12,Paramètres!$A$1:$I$89,3,0)*VLOOKUP('Données projet'!$B$12,Paramètres!$A$1:$I$89,5,0)</f>
        <v>-214.50000000000023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286.5685205631126</v>
      </c>
      <c r="CE195" s="59">
        <f t="shared" si="148"/>
        <v>264.17357326498581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0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0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2.8421709430404007E-13</v>
      </c>
      <c r="O196" s="13">
        <f>N196*VLOOKUP('Données projet'!$B$9,Paramètres!$A$1:$I$89,3,0)*VLOOKUP('Données projet'!$B$9,Paramètres!$A$1:$I$89,5,0)</f>
        <v>2.5715962692629546E-13</v>
      </c>
      <c r="P196" s="13">
        <f t="shared" si="141"/>
        <v>3.4610450122128953E-12</v>
      </c>
      <c r="Q196" s="20">
        <f t="shared" si="162"/>
        <v>6.4758730798340893E-12</v>
      </c>
      <c r="R196" s="59">
        <f t="shared" si="191"/>
        <v>293.33333333333979</v>
      </c>
      <c r="S196" s="59">
        <f ca="1">AVERAGE(OFFSET($R$3,0,0,'Données projet'!$E$9+1,1))-AVERAGE(OFFSET($H$3,0,0,'Données projet'!$E$9+1,1))</f>
        <v>346.35147716792028</v>
      </c>
      <c r="T196" s="59">
        <f t="shared" si="142"/>
        <v>231.36959598460686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2.2384414301800782E-24</v>
      </c>
      <c r="AC196" s="22">
        <f t="shared" si="163"/>
        <v>2.2384414301800782E-24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2.8421709430404007E-13</v>
      </c>
      <c r="AJ196" s="13">
        <f>AI196*VLOOKUP('Données projet'!$B$10,Paramètres!$A$1:$I$89,3,0)*VLOOKUP('Données projet'!$B$10,Paramètres!$A$1:$I$89,5,0)</f>
        <v>2.5715962692629546E-13</v>
      </c>
      <c r="AK196" s="13">
        <f t="shared" si="164"/>
        <v>3.4610450122128953E-12</v>
      </c>
      <c r="AL196" s="20">
        <f t="shared" si="165"/>
        <v>6.4758730798340893E-12</v>
      </c>
      <c r="AM196" s="59">
        <f t="shared" ref="AM196:AM203" si="193">AL196+(AD196+AE196)*44/12</f>
        <v>293.33333333333979</v>
      </c>
      <c r="AN196" s="59">
        <f ca="1">AVERAGE(OFFSET($AM$3,0,0,'Données projet'!$E$10+1,1))-AVERAGE(OFFSET($H$3,0,0,'Données projet'!$E$10+1,1))</f>
        <v>346.35147716792028</v>
      </c>
      <c r="AO196" s="59">
        <f t="shared" si="144"/>
        <v>231.36959598460686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2.2384414301800782E-24</v>
      </c>
      <c r="AX196" s="21">
        <f t="shared" si="166"/>
        <v>2.2384414301800782E-24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1.1368683772161603E-13</v>
      </c>
      <c r="BE196" s="13">
        <f>BD196*VLOOKUP('Données projet'!$B$11,Paramètres!$A$1:$I$89,3,0)*VLOOKUP('Données projet'!$B$11,Paramètres!$A$1:$I$89,5,0)</f>
        <v>6.7984728957526396E-14</v>
      </c>
      <c r="BF196" s="13">
        <f t="shared" si="167"/>
        <v>1.0682447123141398E-12</v>
      </c>
      <c r="BG196" s="20">
        <f t="shared" si="168"/>
        <v>1.978932943548152E-12</v>
      </c>
      <c r="BH196" s="59">
        <f t="shared" ref="BH196:BH203" si="194">BG196+(AY196+AZ196)*44/12</f>
        <v>293.3333333333353</v>
      </c>
      <c r="BI196" s="59">
        <f ca="1">AVERAGE(OFFSET($BH$3,0,0,'Données projet'!$E$11+1,1))-AVERAGE(OFFSET($H$3,0,0,'Données projet'!$E$11+1,1))</f>
        <v>257.80952690600492</v>
      </c>
      <c r="BJ196" s="59">
        <f t="shared" si="146"/>
        <v>269.95358755269427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#VALUE!</v>
      </c>
      <c r="BQ196" s="21" t="e">
        <f>EXP(-LN(2)/25)*BQ195+(1-EXP(-LN(2)/25))/(LN(2)/25)*Calculateur!BL196*Calculateur!BN196*VLOOKUP('Données projet'!$B$11,Paramètres!$A$1:$I$89,3,0)*0.475*44/12</f>
        <v>#VALUE!</v>
      </c>
      <c r="BR196" s="21" t="e">
        <f>EXP(-LN(2)/2)*BR195+(1-EXP(-LN(2)/2))/(LN(2)/2)*BL196*BO196*VLOOKUP('Données projet'!$B$11,Paramètres!$A$1:$I$89,3,0)*0.475*44/12</f>
        <v>#VALUE!</v>
      </c>
      <c r="BS196" s="22" t="e">
        <f t="shared" si="169"/>
        <v>#VALUE!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-275.00000000000028</v>
      </c>
      <c r="BZ196" s="13">
        <f>BY196*VLOOKUP('Données projet'!$B$12,Paramètres!$A$1:$I$89,3,0)*VLOOKUP('Données projet'!$B$12,Paramètres!$A$1:$I$89,5,0)</f>
        <v>-214.50000000000023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286.5685205631126</v>
      </c>
      <c r="CE196" s="59">
        <f t="shared" si="148"/>
        <v>264.17357326498581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0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0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2.8421709430404007E-13</v>
      </c>
      <c r="O197" s="13">
        <f>N197*VLOOKUP('Données projet'!$B$9,Paramètres!$A$1:$I$89,3,0)*VLOOKUP('Données projet'!$B$9,Paramètres!$A$1:$I$89,5,0)</f>
        <v>2.5715962692629546E-13</v>
      </c>
      <c r="P197" s="13">
        <f t="shared" ref="P197:P203" si="203">EXP(-1.0587+0.8836*LN(O197)+0.284)</f>
        <v>3.4610450122128953E-12</v>
      </c>
      <c r="Q197" s="20">
        <f t="shared" si="162"/>
        <v>6.4758730798340893E-12</v>
      </c>
      <c r="R197" s="59">
        <f t="shared" si="191"/>
        <v>293.33333333333979</v>
      </c>
      <c r="S197" s="59">
        <f ca="1">AVERAGE(OFFSET($R$3,0,0,'Données projet'!$E$9+1,1))-AVERAGE(OFFSET($H$3,0,0,'Données projet'!$E$9+1,1))</f>
        <v>346.35147716792028</v>
      </c>
      <c r="T197" s="59">
        <f t="shared" ref="T197:T203" si="204">$T$3</f>
        <v>231.36959598460686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1.5828171145692471E-24</v>
      </c>
      <c r="AC197" s="22">
        <f t="shared" si="163"/>
        <v>1.5828171145692471E-24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2.8421709430404007E-13</v>
      </c>
      <c r="AJ197" s="13">
        <f>AI197*VLOOKUP('Données projet'!$B$10,Paramètres!$A$1:$I$89,3,0)*VLOOKUP('Données projet'!$B$10,Paramètres!$A$1:$I$89,5,0)</f>
        <v>2.5715962692629546E-13</v>
      </c>
      <c r="AK197" s="13">
        <f t="shared" si="164"/>
        <v>3.4610450122128953E-12</v>
      </c>
      <c r="AL197" s="20">
        <f t="shared" si="165"/>
        <v>6.4758730798340893E-12</v>
      </c>
      <c r="AM197" s="59">
        <f t="shared" si="193"/>
        <v>293.33333333333979</v>
      </c>
      <c r="AN197" s="59">
        <f ca="1">AVERAGE(OFFSET($AM$3,0,0,'Données projet'!$E$10+1,1))-AVERAGE(OFFSET($H$3,0,0,'Données projet'!$E$10+1,1))</f>
        <v>346.35147716792028</v>
      </c>
      <c r="AO197" s="59">
        <f t="shared" ref="AO197:AO203" si="205">$AO$3</f>
        <v>231.36959598460686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1.5828171145692471E-24</v>
      </c>
      <c r="AX197" s="21">
        <f t="shared" si="166"/>
        <v>1.5828171145692471E-24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1.1368683772161603E-13</v>
      </c>
      <c r="BE197" s="13">
        <f>BD197*VLOOKUP('Données projet'!$B$11,Paramètres!$A$1:$I$89,3,0)*VLOOKUP('Données projet'!$B$11,Paramètres!$A$1:$I$89,5,0)</f>
        <v>6.7984728957526396E-14</v>
      </c>
      <c r="BF197" s="13">
        <f t="shared" si="167"/>
        <v>1.0682447123141398E-12</v>
      </c>
      <c r="BG197" s="20">
        <f t="shared" si="168"/>
        <v>1.978932943548152E-12</v>
      </c>
      <c r="BH197" s="59">
        <f t="shared" si="194"/>
        <v>293.3333333333353</v>
      </c>
      <c r="BI197" s="59">
        <f ca="1">AVERAGE(OFFSET($BH$3,0,0,'Données projet'!$E$11+1,1))-AVERAGE(OFFSET($H$3,0,0,'Données projet'!$E$11+1,1))</f>
        <v>257.80952690600492</v>
      </c>
      <c r="BJ197" s="59">
        <f t="shared" ref="BJ197:BJ203" si="206">$BJ$3</f>
        <v>269.95358755269427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#VALUE!</v>
      </c>
      <c r="BQ197" s="21" t="e">
        <f>EXP(-LN(2)/25)*BQ196+(1-EXP(-LN(2)/25))/(LN(2)/25)*Calculateur!BL197*Calculateur!BN197*VLOOKUP('Données projet'!$B$11,Paramètres!$A$1:$I$89,3,0)*0.475*44/12</f>
        <v>#VALUE!</v>
      </c>
      <c r="BR197" s="21" t="e">
        <f>EXP(-LN(2)/2)*BR196+(1-EXP(-LN(2)/2))/(LN(2)/2)*BL197*BO197*VLOOKUP('Données projet'!$B$11,Paramètres!$A$1:$I$89,3,0)*0.475*44/12</f>
        <v>#VALUE!</v>
      </c>
      <c r="BS197" s="22" t="e">
        <f t="shared" si="169"/>
        <v>#VALUE!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-275.00000000000028</v>
      </c>
      <c r="BZ197" s="13">
        <f>BY197*VLOOKUP('Données projet'!$B$12,Paramètres!$A$1:$I$89,3,0)*VLOOKUP('Données projet'!$B$12,Paramètres!$A$1:$I$89,5,0)</f>
        <v>-214.50000000000023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286.5685205631126</v>
      </c>
      <c r="CE197" s="59">
        <f t="shared" ref="CE197:CE203" si="207">$CE$3</f>
        <v>264.17357326498581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0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0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2.8421709430404007E-13</v>
      </c>
      <c r="O198" s="13">
        <f>N198*VLOOKUP('Données projet'!$B$9,Paramètres!$A$1:$I$89,3,0)*VLOOKUP('Données projet'!$B$9,Paramètres!$A$1:$I$89,5,0)</f>
        <v>2.5715962692629546E-13</v>
      </c>
      <c r="P198" s="13">
        <f t="shared" si="203"/>
        <v>3.4610450122128953E-12</v>
      </c>
      <c r="Q198" s="20">
        <f t="shared" si="162"/>
        <v>6.4758730798340893E-12</v>
      </c>
      <c r="R198" s="59">
        <f t="shared" si="191"/>
        <v>293.33333333333979</v>
      </c>
      <c r="S198" s="59">
        <f ca="1">AVERAGE(OFFSET($R$3,0,0,'Données projet'!$E$9+1,1))-AVERAGE(OFFSET($H$3,0,0,'Données projet'!$E$9+1,1))</f>
        <v>346.35147716792028</v>
      </c>
      <c r="T198" s="59">
        <f t="shared" si="204"/>
        <v>231.36959598460686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1.1192207150900391E-24</v>
      </c>
      <c r="AC198" s="22">
        <f t="shared" si="163"/>
        <v>1.1192207150900391E-24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2.8421709430404007E-13</v>
      </c>
      <c r="AJ198" s="13">
        <f>AI198*VLOOKUP('Données projet'!$B$10,Paramètres!$A$1:$I$89,3,0)*VLOOKUP('Données projet'!$B$10,Paramètres!$A$1:$I$89,5,0)</f>
        <v>2.5715962692629546E-13</v>
      </c>
      <c r="AK198" s="13">
        <f t="shared" si="164"/>
        <v>3.4610450122128953E-12</v>
      </c>
      <c r="AL198" s="20">
        <f t="shared" si="165"/>
        <v>6.4758730798340893E-12</v>
      </c>
      <c r="AM198" s="59">
        <f t="shared" si="193"/>
        <v>293.33333333333979</v>
      </c>
      <c r="AN198" s="59">
        <f ca="1">AVERAGE(OFFSET($AM$3,0,0,'Données projet'!$E$10+1,1))-AVERAGE(OFFSET($H$3,0,0,'Données projet'!$E$10+1,1))</f>
        <v>346.35147716792028</v>
      </c>
      <c r="AO198" s="59">
        <f t="shared" si="205"/>
        <v>231.36959598460686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1.1192207150900391E-24</v>
      </c>
      <c r="AX198" s="21">
        <f t="shared" si="166"/>
        <v>1.1192207150900391E-24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1.1368683772161603E-13</v>
      </c>
      <c r="BE198" s="13">
        <f>BD198*VLOOKUP('Données projet'!$B$11,Paramètres!$A$1:$I$89,3,0)*VLOOKUP('Données projet'!$B$11,Paramètres!$A$1:$I$89,5,0)</f>
        <v>6.7984728957526396E-14</v>
      </c>
      <c r="BF198" s="13">
        <f t="shared" si="167"/>
        <v>1.0682447123141398E-12</v>
      </c>
      <c r="BG198" s="20">
        <f t="shared" si="168"/>
        <v>1.978932943548152E-12</v>
      </c>
      <c r="BH198" s="59">
        <f t="shared" si="194"/>
        <v>293.3333333333353</v>
      </c>
      <c r="BI198" s="59">
        <f ca="1">AVERAGE(OFFSET($BH$3,0,0,'Données projet'!$E$11+1,1))-AVERAGE(OFFSET($H$3,0,0,'Données projet'!$E$11+1,1))</f>
        <v>257.80952690600492</v>
      </c>
      <c r="BJ198" s="59">
        <f t="shared" si="206"/>
        <v>269.95358755269427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#VALUE!</v>
      </c>
      <c r="BQ198" s="21" t="e">
        <f>EXP(-LN(2)/25)*BQ197+(1-EXP(-LN(2)/25))/(LN(2)/25)*Calculateur!BL198*Calculateur!BN198*VLOOKUP('Données projet'!$B$11,Paramètres!$A$1:$I$89,3,0)*0.475*44/12</f>
        <v>#VALUE!</v>
      </c>
      <c r="BR198" s="21" t="e">
        <f>EXP(-LN(2)/2)*BR197+(1-EXP(-LN(2)/2))/(LN(2)/2)*BL198*BO198*VLOOKUP('Données projet'!$B$11,Paramètres!$A$1:$I$89,3,0)*0.475*44/12</f>
        <v>#VALUE!</v>
      </c>
      <c r="BS198" s="22" t="e">
        <f t="shared" si="169"/>
        <v>#VALUE!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-275.00000000000028</v>
      </c>
      <c r="BZ198" s="13">
        <f>BY198*VLOOKUP('Données projet'!$B$12,Paramètres!$A$1:$I$89,3,0)*VLOOKUP('Données projet'!$B$12,Paramètres!$A$1:$I$89,5,0)</f>
        <v>-214.50000000000023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286.5685205631126</v>
      </c>
      <c r="CE198" s="59">
        <f t="shared" si="207"/>
        <v>264.17357326498581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0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0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2.8421709430404007E-13</v>
      </c>
      <c r="O199" s="13">
        <f>N199*VLOOKUP('Données projet'!$B$9,Paramètres!$A$1:$I$89,3,0)*VLOOKUP('Données projet'!$B$9,Paramètres!$A$1:$I$89,5,0)</f>
        <v>2.5715962692629546E-13</v>
      </c>
      <c r="P199" s="13">
        <f t="shared" si="203"/>
        <v>3.4610450122128953E-12</v>
      </c>
      <c r="Q199" s="20">
        <f t="shared" si="162"/>
        <v>6.4758730798340893E-12</v>
      </c>
      <c r="R199" s="59">
        <f t="shared" si="191"/>
        <v>293.33333333333979</v>
      </c>
      <c r="S199" s="59">
        <f ca="1">AVERAGE(OFFSET($R$3,0,0,'Données projet'!$E$9+1,1))-AVERAGE(OFFSET($H$3,0,0,'Données projet'!$E$9+1,1))</f>
        <v>346.35147716792028</v>
      </c>
      <c r="T199" s="59">
        <f t="shared" si="204"/>
        <v>231.36959598460686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7.9140855728462353E-25</v>
      </c>
      <c r="AC199" s="22">
        <f t="shared" si="163"/>
        <v>7.9140855728462353E-25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2.8421709430404007E-13</v>
      </c>
      <c r="AJ199" s="13">
        <f>AI199*VLOOKUP('Données projet'!$B$10,Paramètres!$A$1:$I$89,3,0)*VLOOKUP('Données projet'!$B$10,Paramètres!$A$1:$I$89,5,0)</f>
        <v>2.5715962692629546E-13</v>
      </c>
      <c r="AK199" s="13">
        <f t="shared" si="164"/>
        <v>3.4610450122128953E-12</v>
      </c>
      <c r="AL199" s="20">
        <f t="shared" si="165"/>
        <v>6.4758730798340893E-12</v>
      </c>
      <c r="AM199" s="59">
        <f t="shared" si="193"/>
        <v>293.33333333333979</v>
      </c>
      <c r="AN199" s="59">
        <f ca="1">AVERAGE(OFFSET($AM$3,0,0,'Données projet'!$E$10+1,1))-AVERAGE(OFFSET($H$3,0,0,'Données projet'!$E$10+1,1))</f>
        <v>346.35147716792028</v>
      </c>
      <c r="AO199" s="59">
        <f t="shared" si="205"/>
        <v>231.36959598460686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7.9140855728462353E-25</v>
      </c>
      <c r="AX199" s="21">
        <f t="shared" si="166"/>
        <v>7.9140855728462353E-25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1.1368683772161603E-13</v>
      </c>
      <c r="BE199" s="13">
        <f>BD199*VLOOKUP('Données projet'!$B$11,Paramètres!$A$1:$I$89,3,0)*VLOOKUP('Données projet'!$B$11,Paramètres!$A$1:$I$89,5,0)</f>
        <v>6.7984728957526396E-14</v>
      </c>
      <c r="BF199" s="13">
        <f t="shared" si="167"/>
        <v>1.0682447123141398E-12</v>
      </c>
      <c r="BG199" s="20">
        <f t="shared" si="168"/>
        <v>1.978932943548152E-12</v>
      </c>
      <c r="BH199" s="59">
        <f t="shared" si="194"/>
        <v>293.3333333333353</v>
      </c>
      <c r="BI199" s="59">
        <f ca="1">AVERAGE(OFFSET($BH$3,0,0,'Données projet'!$E$11+1,1))-AVERAGE(OFFSET($H$3,0,0,'Données projet'!$E$11+1,1))</f>
        <v>257.80952690600492</v>
      </c>
      <c r="BJ199" s="59">
        <f t="shared" si="206"/>
        <v>269.95358755269427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#VALUE!</v>
      </c>
      <c r="BQ199" s="21" t="e">
        <f>EXP(-LN(2)/25)*BQ198+(1-EXP(-LN(2)/25))/(LN(2)/25)*Calculateur!BL199*Calculateur!BN199*VLOOKUP('Données projet'!$B$11,Paramètres!$A$1:$I$89,3,0)*0.475*44/12</f>
        <v>#VALUE!</v>
      </c>
      <c r="BR199" s="21" t="e">
        <f>EXP(-LN(2)/2)*BR198+(1-EXP(-LN(2)/2))/(LN(2)/2)*BL199*BO199*VLOOKUP('Données projet'!$B$11,Paramètres!$A$1:$I$89,3,0)*0.475*44/12</f>
        <v>#VALUE!</v>
      </c>
      <c r="BS199" s="22" t="e">
        <f t="shared" si="169"/>
        <v>#VALUE!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-275.00000000000028</v>
      </c>
      <c r="BZ199" s="13">
        <f>BY199*VLOOKUP('Données projet'!$B$12,Paramètres!$A$1:$I$89,3,0)*VLOOKUP('Données projet'!$B$12,Paramètres!$A$1:$I$89,5,0)</f>
        <v>-214.50000000000023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286.5685205631126</v>
      </c>
      <c r="CE199" s="59">
        <f t="shared" si="207"/>
        <v>264.17357326498581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0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0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2.8421709430404007E-13</v>
      </c>
      <c r="O200" s="13">
        <f>N200*VLOOKUP('Données projet'!$B$9,Paramètres!$A$1:$I$89,3,0)*VLOOKUP('Données projet'!$B$9,Paramètres!$A$1:$I$89,5,0)</f>
        <v>2.5715962692629546E-13</v>
      </c>
      <c r="P200" s="13">
        <f t="shared" si="203"/>
        <v>3.4610450122128953E-12</v>
      </c>
      <c r="Q200" s="20">
        <f t="shared" si="162"/>
        <v>6.4758730798340893E-12</v>
      </c>
      <c r="R200" s="59">
        <f t="shared" si="191"/>
        <v>293.33333333333979</v>
      </c>
      <c r="S200" s="59">
        <f ca="1">AVERAGE(OFFSET($R$3,0,0,'Données projet'!$E$9+1,1))-AVERAGE(OFFSET($H$3,0,0,'Données projet'!$E$9+1,1))</f>
        <v>346.35147716792028</v>
      </c>
      <c r="T200" s="59">
        <f t="shared" si="204"/>
        <v>231.36959598460686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5.5961035754501955E-25</v>
      </c>
      <c r="AC200" s="22">
        <f t="shared" si="163"/>
        <v>5.5961035754501955E-25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2.8421709430404007E-13</v>
      </c>
      <c r="AJ200" s="13">
        <f>AI200*VLOOKUP('Données projet'!$B$10,Paramètres!$A$1:$I$89,3,0)*VLOOKUP('Données projet'!$B$10,Paramètres!$A$1:$I$89,5,0)</f>
        <v>2.5715962692629546E-13</v>
      </c>
      <c r="AK200" s="13">
        <f t="shared" si="164"/>
        <v>3.4610450122128953E-12</v>
      </c>
      <c r="AL200" s="20">
        <f t="shared" si="165"/>
        <v>6.4758730798340893E-12</v>
      </c>
      <c r="AM200" s="59">
        <f t="shared" si="193"/>
        <v>293.33333333333979</v>
      </c>
      <c r="AN200" s="59">
        <f ca="1">AVERAGE(OFFSET($AM$3,0,0,'Données projet'!$E$10+1,1))-AVERAGE(OFFSET($H$3,0,0,'Données projet'!$E$10+1,1))</f>
        <v>346.35147716792028</v>
      </c>
      <c r="AO200" s="59">
        <f t="shared" si="205"/>
        <v>231.36959598460686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5.5961035754501955E-25</v>
      </c>
      <c r="AX200" s="21">
        <f t="shared" si="166"/>
        <v>5.5961035754501955E-25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1.1368683772161603E-13</v>
      </c>
      <c r="BE200" s="13">
        <f>BD200*VLOOKUP('Données projet'!$B$11,Paramètres!$A$1:$I$89,3,0)*VLOOKUP('Données projet'!$B$11,Paramètres!$A$1:$I$89,5,0)</f>
        <v>6.7984728957526396E-14</v>
      </c>
      <c r="BF200" s="13">
        <f t="shared" si="167"/>
        <v>1.0682447123141398E-12</v>
      </c>
      <c r="BG200" s="20">
        <f t="shared" si="168"/>
        <v>1.978932943548152E-12</v>
      </c>
      <c r="BH200" s="59">
        <f t="shared" si="194"/>
        <v>293.3333333333353</v>
      </c>
      <c r="BI200" s="59">
        <f ca="1">AVERAGE(OFFSET($BH$3,0,0,'Données projet'!$E$11+1,1))-AVERAGE(OFFSET($H$3,0,0,'Données projet'!$E$11+1,1))</f>
        <v>257.80952690600492</v>
      </c>
      <c r="BJ200" s="59">
        <f t="shared" si="206"/>
        <v>269.95358755269427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#VALUE!</v>
      </c>
      <c r="BQ200" s="21" t="e">
        <f>EXP(-LN(2)/25)*BQ199+(1-EXP(-LN(2)/25))/(LN(2)/25)*Calculateur!BL200*Calculateur!BN200*VLOOKUP('Données projet'!$B$11,Paramètres!$A$1:$I$89,3,0)*0.475*44/12</f>
        <v>#VALUE!</v>
      </c>
      <c r="BR200" s="21" t="e">
        <f>EXP(-LN(2)/2)*BR199+(1-EXP(-LN(2)/2))/(LN(2)/2)*BL200*BO200*VLOOKUP('Données projet'!$B$11,Paramètres!$A$1:$I$89,3,0)*0.475*44/12</f>
        <v>#VALUE!</v>
      </c>
      <c r="BS200" s="22" t="e">
        <f t="shared" si="169"/>
        <v>#VALUE!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-275.00000000000028</v>
      </c>
      <c r="BZ200" s="13">
        <f>BY200*VLOOKUP('Données projet'!$B$12,Paramètres!$A$1:$I$89,3,0)*VLOOKUP('Données projet'!$B$12,Paramètres!$A$1:$I$89,5,0)</f>
        <v>-214.50000000000023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286.5685205631126</v>
      </c>
      <c r="CE200" s="59">
        <f t="shared" si="207"/>
        <v>264.17357326498581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0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0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2.8421709430404007E-13</v>
      </c>
      <c r="O201" s="13">
        <f>N201*VLOOKUP('Données projet'!$B$9,Paramètres!$A$1:$I$89,3,0)*VLOOKUP('Données projet'!$B$9,Paramètres!$A$1:$I$89,5,0)</f>
        <v>2.5715962692629546E-13</v>
      </c>
      <c r="P201" s="13">
        <f t="shared" si="203"/>
        <v>3.4610450122128953E-12</v>
      </c>
      <c r="Q201" s="20">
        <f t="shared" si="162"/>
        <v>6.4758730798340893E-12</v>
      </c>
      <c r="R201" s="59">
        <f t="shared" si="191"/>
        <v>293.33333333333979</v>
      </c>
      <c r="S201" s="59">
        <f ca="1">AVERAGE(OFFSET($R$3,0,0,'Données projet'!$E$9+1,1))-AVERAGE(OFFSET($H$3,0,0,'Données projet'!$E$9+1,1))</f>
        <v>346.35147716792028</v>
      </c>
      <c r="T201" s="59">
        <f t="shared" si="204"/>
        <v>231.36959598460686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3.9570427864231177E-25</v>
      </c>
      <c r="AC201" s="22">
        <f t="shared" si="163"/>
        <v>3.9570427864231177E-25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2.8421709430404007E-13</v>
      </c>
      <c r="AJ201" s="13">
        <f>AI201*VLOOKUP('Données projet'!$B$10,Paramètres!$A$1:$I$89,3,0)*VLOOKUP('Données projet'!$B$10,Paramètres!$A$1:$I$89,5,0)</f>
        <v>2.5715962692629546E-13</v>
      </c>
      <c r="AK201" s="13">
        <f t="shared" si="164"/>
        <v>3.4610450122128953E-12</v>
      </c>
      <c r="AL201" s="20">
        <f t="shared" si="165"/>
        <v>6.4758730798340893E-12</v>
      </c>
      <c r="AM201" s="59">
        <f t="shared" si="193"/>
        <v>293.33333333333979</v>
      </c>
      <c r="AN201" s="59">
        <f ca="1">AVERAGE(OFFSET($AM$3,0,0,'Données projet'!$E$10+1,1))-AVERAGE(OFFSET($H$3,0,0,'Données projet'!$E$10+1,1))</f>
        <v>346.35147716792028</v>
      </c>
      <c r="AO201" s="59">
        <f t="shared" si="205"/>
        <v>231.36959598460686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3.9570427864231177E-25</v>
      </c>
      <c r="AX201" s="21">
        <f t="shared" si="166"/>
        <v>3.9570427864231177E-25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1.1368683772161603E-13</v>
      </c>
      <c r="BE201" s="13">
        <f>BD201*VLOOKUP('Données projet'!$B$11,Paramètres!$A$1:$I$89,3,0)*VLOOKUP('Données projet'!$B$11,Paramètres!$A$1:$I$89,5,0)</f>
        <v>6.7984728957526396E-14</v>
      </c>
      <c r="BF201" s="13">
        <f t="shared" si="167"/>
        <v>1.0682447123141398E-12</v>
      </c>
      <c r="BG201" s="20">
        <f t="shared" si="168"/>
        <v>1.978932943548152E-12</v>
      </c>
      <c r="BH201" s="59">
        <f t="shared" si="194"/>
        <v>293.3333333333353</v>
      </c>
      <c r="BI201" s="59">
        <f ca="1">AVERAGE(OFFSET($BH$3,0,0,'Données projet'!$E$11+1,1))-AVERAGE(OFFSET($H$3,0,0,'Données projet'!$E$11+1,1))</f>
        <v>257.80952690600492</v>
      </c>
      <c r="BJ201" s="59">
        <f t="shared" si="206"/>
        <v>269.95358755269427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#VALUE!</v>
      </c>
      <c r="BQ201" s="21" t="e">
        <f>EXP(-LN(2)/25)*BQ200+(1-EXP(-LN(2)/25))/(LN(2)/25)*Calculateur!BL201*Calculateur!BN201*VLOOKUP('Données projet'!$B$11,Paramètres!$A$1:$I$89,3,0)*0.475*44/12</f>
        <v>#VALUE!</v>
      </c>
      <c r="BR201" s="21" t="e">
        <f>EXP(-LN(2)/2)*BR200+(1-EXP(-LN(2)/2))/(LN(2)/2)*BL201*BO201*VLOOKUP('Données projet'!$B$11,Paramètres!$A$1:$I$89,3,0)*0.475*44/12</f>
        <v>#VALUE!</v>
      </c>
      <c r="BS201" s="22" t="e">
        <f t="shared" si="169"/>
        <v>#VALUE!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-275.00000000000028</v>
      </c>
      <c r="BZ201" s="13">
        <f>BY201*VLOOKUP('Données projet'!$B$12,Paramètres!$A$1:$I$89,3,0)*VLOOKUP('Données projet'!$B$12,Paramètres!$A$1:$I$89,5,0)</f>
        <v>-214.50000000000023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286.5685205631126</v>
      </c>
      <c r="CE201" s="59">
        <f t="shared" si="207"/>
        <v>264.17357326498581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0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0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2.8421709430404007E-13</v>
      </c>
      <c r="O202" s="13">
        <f>N202*VLOOKUP('Données projet'!$B$9,Paramètres!$A$1:$I$89,3,0)*VLOOKUP('Données projet'!$B$9,Paramètres!$A$1:$I$89,5,0)</f>
        <v>2.5715962692629546E-13</v>
      </c>
      <c r="P202" s="13">
        <f t="shared" si="203"/>
        <v>3.4610450122128953E-12</v>
      </c>
      <c r="Q202" s="20">
        <f t="shared" si="162"/>
        <v>6.4758730798340893E-12</v>
      </c>
      <c r="R202" s="59">
        <f t="shared" si="191"/>
        <v>293.33333333333979</v>
      </c>
      <c r="S202" s="59">
        <f ca="1">AVERAGE(OFFSET($R$3,0,0,'Données projet'!$E$9+1,1))-AVERAGE(OFFSET($H$3,0,0,'Données projet'!$E$9+1,1))</f>
        <v>346.35147716792028</v>
      </c>
      <c r="T202" s="59">
        <f t="shared" si="204"/>
        <v>231.36959598460686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2.7980517877250977E-25</v>
      </c>
      <c r="AC202" s="22">
        <f t="shared" si="163"/>
        <v>2.7980517877250977E-25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2.8421709430404007E-13</v>
      </c>
      <c r="AJ202" s="13">
        <f>AI202*VLOOKUP('Données projet'!$B$10,Paramètres!$A$1:$I$89,3,0)*VLOOKUP('Données projet'!$B$10,Paramètres!$A$1:$I$89,5,0)</f>
        <v>2.5715962692629546E-13</v>
      </c>
      <c r="AK202" s="13">
        <f t="shared" si="164"/>
        <v>3.4610450122128953E-12</v>
      </c>
      <c r="AL202" s="20">
        <f t="shared" si="165"/>
        <v>6.4758730798340893E-12</v>
      </c>
      <c r="AM202" s="59">
        <f t="shared" si="193"/>
        <v>293.33333333333979</v>
      </c>
      <c r="AN202" s="59">
        <f ca="1">AVERAGE(OFFSET($AM$3,0,0,'Données projet'!$E$10+1,1))-AVERAGE(OFFSET($H$3,0,0,'Données projet'!$E$10+1,1))</f>
        <v>346.35147716792028</v>
      </c>
      <c r="AO202" s="59">
        <f t="shared" si="205"/>
        <v>231.36959598460686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2.7980517877250977E-25</v>
      </c>
      <c r="AX202" s="21">
        <f t="shared" si="166"/>
        <v>2.7980517877250977E-25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1.1368683772161603E-13</v>
      </c>
      <c r="BE202" s="13">
        <f>BD202*VLOOKUP('Données projet'!$B$11,Paramètres!$A$1:$I$89,3,0)*VLOOKUP('Données projet'!$B$11,Paramètres!$A$1:$I$89,5,0)</f>
        <v>6.7984728957526396E-14</v>
      </c>
      <c r="BF202" s="13">
        <f t="shared" si="167"/>
        <v>1.0682447123141398E-12</v>
      </c>
      <c r="BG202" s="20">
        <f t="shared" si="168"/>
        <v>1.978932943548152E-12</v>
      </c>
      <c r="BH202" s="59">
        <f t="shared" si="194"/>
        <v>293.3333333333353</v>
      </c>
      <c r="BI202" s="59">
        <f ca="1">AVERAGE(OFFSET($BH$3,0,0,'Données projet'!$E$11+1,1))-AVERAGE(OFFSET($H$3,0,0,'Données projet'!$E$11+1,1))</f>
        <v>257.80952690600492</v>
      </c>
      <c r="BJ202" s="59">
        <f t="shared" si="206"/>
        <v>269.95358755269427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#VALUE!</v>
      </c>
      <c r="BQ202" s="21" t="e">
        <f>EXP(-LN(2)/25)*BQ201+(1-EXP(-LN(2)/25))/(LN(2)/25)*Calculateur!BL202*Calculateur!BN202*VLOOKUP('Données projet'!$B$11,Paramètres!$A$1:$I$89,3,0)*0.475*44/12</f>
        <v>#VALUE!</v>
      </c>
      <c r="BR202" s="21" t="e">
        <f>EXP(-LN(2)/2)*BR201+(1-EXP(-LN(2)/2))/(LN(2)/2)*BL202*BO202*VLOOKUP('Données projet'!$B$11,Paramètres!$A$1:$I$89,3,0)*0.475*44/12</f>
        <v>#VALUE!</v>
      </c>
      <c r="BS202" s="22" t="e">
        <f t="shared" si="169"/>
        <v>#VALUE!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-275.00000000000028</v>
      </c>
      <c r="BZ202" s="13">
        <f>BY202*VLOOKUP('Données projet'!$B$12,Paramètres!$A$1:$I$89,3,0)*VLOOKUP('Données projet'!$B$12,Paramètres!$A$1:$I$89,5,0)</f>
        <v>-214.50000000000023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286.5685205631126</v>
      </c>
      <c r="CE202" s="59">
        <f t="shared" si="207"/>
        <v>264.17357326498581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0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0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2.8421709430404007E-13</v>
      </c>
      <c r="O203" s="13">
        <f>N203*VLOOKUP('Données projet'!$B$9,Paramètres!$A$1:$I$89,3,0)*VLOOKUP('Données projet'!$B$9,Paramètres!$A$1:$I$89,5,0)</f>
        <v>2.5715962692629546E-13</v>
      </c>
      <c r="P203" s="13">
        <f t="shared" si="203"/>
        <v>3.4610450122128953E-12</v>
      </c>
      <c r="Q203" s="20">
        <f t="shared" si="162"/>
        <v>6.4758730798340893E-12</v>
      </c>
      <c r="R203" s="59">
        <f t="shared" si="191"/>
        <v>293.33333333333979</v>
      </c>
      <c r="S203" s="59">
        <f ca="1">AVERAGE(OFFSET($R$3,0,0,'Données projet'!$E$9+1,1))-AVERAGE(OFFSET($H$3,0,0,'Données projet'!$E$9+1,1))</f>
        <v>346.35147716792028</v>
      </c>
      <c r="T203" s="59">
        <f t="shared" si="204"/>
        <v>231.36959598460686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1.9785213932115588E-25</v>
      </c>
      <c r="AC203" s="22">
        <f t="shared" si="163"/>
        <v>1.9785213932115588E-25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2.8421709430404007E-13</v>
      </c>
      <c r="AJ203" s="13">
        <f>AI203*VLOOKUP('Données projet'!$B$10,Paramètres!$A$1:$I$89,3,0)*VLOOKUP('Données projet'!$B$10,Paramètres!$A$1:$I$89,5,0)</f>
        <v>2.5715962692629546E-13</v>
      </c>
      <c r="AK203" s="13">
        <f t="shared" si="164"/>
        <v>3.4610450122128953E-12</v>
      </c>
      <c r="AL203" s="20">
        <f t="shared" si="165"/>
        <v>6.4758730798340893E-12</v>
      </c>
      <c r="AM203" s="59">
        <f t="shared" si="193"/>
        <v>293.33333333333979</v>
      </c>
      <c r="AN203" s="59">
        <f ca="1">AVERAGE(OFFSET($AM$3,0,0,'Données projet'!$E$10+1,1))-AVERAGE(OFFSET($H$3,0,0,'Données projet'!$E$10+1,1))</f>
        <v>346.35147716792028</v>
      </c>
      <c r="AO203" s="59">
        <f t="shared" si="205"/>
        <v>231.36959598460686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1.9785213932115588E-25</v>
      </c>
      <c r="AX203" s="21">
        <f t="shared" si="166"/>
        <v>1.9785213932115588E-25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1.1368683772161603E-13</v>
      </c>
      <c r="BE203" s="13">
        <f>BD203*VLOOKUP('Données projet'!$B$11,Paramètres!$A$1:$I$89,3,0)*VLOOKUP('Données projet'!$B$11,Paramètres!$A$1:$I$89,5,0)</f>
        <v>6.7984728957526396E-14</v>
      </c>
      <c r="BF203" s="13">
        <f t="shared" si="167"/>
        <v>1.0682447123141398E-12</v>
      </c>
      <c r="BG203" s="20">
        <f t="shared" si="168"/>
        <v>1.978932943548152E-12</v>
      </c>
      <c r="BH203" s="59">
        <f t="shared" si="194"/>
        <v>293.3333333333353</v>
      </c>
      <c r="BI203" s="59">
        <f ca="1">AVERAGE(OFFSET($BH$3,0,0,'Données projet'!$E$11+1,1))-AVERAGE(OFFSET($H$3,0,0,'Données projet'!$E$11+1,1))</f>
        <v>257.80952690600492</v>
      </c>
      <c r="BJ203" s="59">
        <f t="shared" si="206"/>
        <v>269.95358755269427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#VALUE!</v>
      </c>
      <c r="BQ203" s="21" t="e">
        <f>EXP(-LN(2)/25)*BQ202+(1-EXP(-LN(2)/25))/(LN(2)/25)*Calculateur!BL203*Calculateur!BN203*VLOOKUP('Données projet'!$B$11,Paramètres!$A$1:$I$89,3,0)*0.475*44/12</f>
        <v>#VALUE!</v>
      </c>
      <c r="BR203" s="21" t="e">
        <f>EXP(-LN(2)/2)*BR202+(1-EXP(-LN(2)/2))/(LN(2)/2)*BL203*BO203*VLOOKUP('Données projet'!$B$11,Paramètres!$A$1:$I$89,3,0)*0.475*44/12</f>
        <v>#VALUE!</v>
      </c>
      <c r="BS203" s="22" t="e">
        <f t="shared" si="169"/>
        <v>#VALUE!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-275.00000000000028</v>
      </c>
      <c r="BZ203" s="13">
        <f>BY203*VLOOKUP('Données projet'!$B$12,Paramètres!$A$1:$I$89,3,0)*VLOOKUP('Données projet'!$B$12,Paramètres!$A$1:$I$89,5,0)</f>
        <v>-214.50000000000023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286.5685205631126</v>
      </c>
      <c r="CE203" s="59">
        <f t="shared" si="207"/>
        <v>264.17357326498581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0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0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1.2054868146447177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1.2054868146447177</v>
      </c>
      <c r="BA205" s="82">
        <f>EXP(LN('Données projet'!B88)/'Données projet'!A88)</f>
        <v>1.3292852468636394</v>
      </c>
      <c r="BV205" s="82">
        <f>EXP(LN('Données projet'!B114)/'Données projet'!A114)</f>
        <v>1.1966732973638288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K25" sqref="K25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Chêne sessile</v>
      </c>
      <c r="B6" s="146">
        <f>'Données projet'!D9</f>
        <v>1.1200000000000001</v>
      </c>
      <c r="C6" s="147">
        <f ca="1">IF(OR('Données projet'!B9="",'Données projet'!C9="",'Données projet'!C9=0%),0,Calculateur!S3)</f>
        <v>346.35147716792028</v>
      </c>
      <c r="D6" s="147">
        <f>IF(OR('Données projet'!B9="",'Données projet'!C9="",'Données projet'!C9=0%),0,Calculateur!T3)</f>
        <v>231.36959598460686</v>
      </c>
      <c r="E6" s="147">
        <f ca="1">MIN(C6,D6)</f>
        <v>231.36959598460686</v>
      </c>
      <c r="F6" s="147">
        <f ca="1">E6*B6</f>
        <v>259.13394750275972</v>
      </c>
      <c r="G6" s="147">
        <f ca="1">F6*(100%-'Données projet'!$C$24)*(100%-'Données projet'!$C$25)*(100%-'Données projet'!$C$26)*(100%-'Données projet'!$C$27)</f>
        <v>233.22055275248377</v>
      </c>
      <c r="H6" s="148">
        <f>IF(OR('Données projet'!B9="",'Données projet'!C9="",'Données projet'!C9=0%),0,AVERAGE(Calculateur!$AC$3:$AC$33)*B6)</f>
        <v>0.55394246721946683</v>
      </c>
      <c r="I6" s="149">
        <f>H6*(100%-'Données projet'!$C$24)*(100%-'Données projet'!$C$25)*(100%-'Données projet'!$C$26)*(100%-'Données projet'!$C$27)</f>
        <v>0.49854822049752018</v>
      </c>
      <c r="J6" s="150">
        <f>IF(OR('Données projet'!B9="",'Données projet'!C9="",'Données projet'!C9=0%),0,SUM(Calculateur!$V$3:$V$33)*VLOOKUP('Données projet'!$B$9,Paramètres!$A$1:$I$89,9,0)*B6)</f>
        <v>8.120000000000001</v>
      </c>
      <c r="K6" s="151">
        <f>J6*(100%-'Données projet'!$C$24)*(100%-'Données projet'!$C$25)*(100%-'Données projet'!$C$26)*(100%-'Données projet'!$C$27)</f>
        <v>7.3080000000000007</v>
      </c>
      <c r="L6" s="152">
        <f ca="1">G6+I6+K6</f>
        <v>241.02710097298129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Chêne sessile</v>
      </c>
      <c r="B7" s="154">
        <f>'Données projet'!D10</f>
        <v>1.1200000000000001</v>
      </c>
      <c r="C7" s="147">
        <f ca="1">IF(OR('Données projet'!B10="",'Données projet'!C10="",'Données projet'!C10=0%),0,Calculateur!AN3)</f>
        <v>346.35147716792028</v>
      </c>
      <c r="D7" s="147">
        <f>IF(OR('Données projet'!B10="",'Données projet'!C10="",'Données projet'!C10=0%),0,Calculateur!AO3)</f>
        <v>231.36959598460686</v>
      </c>
      <c r="E7" s="147">
        <f t="shared" ref="E7:E15" ca="1" si="0">MIN(C7,D7)</f>
        <v>231.36959598460686</v>
      </c>
      <c r="F7" s="147">
        <f t="shared" ref="F7:F15" ca="1" si="1">E7*B7</f>
        <v>259.13394750275972</v>
      </c>
      <c r="G7" s="147">
        <f ca="1">F7*(100%-'Données projet'!$C$24)*(100%-'Données projet'!$C$25)*(100%-'Données projet'!$C$26)*(100%-'Données projet'!$C$27)</f>
        <v>233.22055275248377</v>
      </c>
      <c r="H7" s="155">
        <f>IF(OR('Données projet'!B10="",'Données projet'!C10="",'Données projet'!C10=0%),0,AVERAGE(Calculateur!$AX$3:$AX$33)*B7)</f>
        <v>0.55394246721946683</v>
      </c>
      <c r="I7" s="149">
        <f>H7*(100%-'Données projet'!$C$24)*(100%-'Données projet'!$C$25)*(100%-'Données projet'!$C$26)*(100%-'Données projet'!$C$27)</f>
        <v>0.49854822049752018</v>
      </c>
      <c r="J7" s="150">
        <f>IF(OR('Données projet'!B10="",'Données projet'!C10="",'Données projet'!C10=0%),0,SUM(Calculateur!$AQ$3:$AQ$33)*VLOOKUP('Données projet'!$B$10,Paramètres!$A$1:$I$89,9,0)*B7)</f>
        <v>8.120000000000001</v>
      </c>
      <c r="K7" s="151">
        <f>J7*(100%-'Données projet'!$C$24)*(100%-'Données projet'!$C$25)*(100%-'Données projet'!$C$26)*(100%-'Données projet'!$C$27)</f>
        <v>7.3080000000000007</v>
      </c>
      <c r="L7" s="152">
        <f t="shared" ref="L7:L15" ca="1" si="2">G7+I7+K7</f>
        <v>241.02710097298129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Pin maritime</v>
      </c>
      <c r="B8" s="154">
        <f>'Données projet'!D11</f>
        <v>1.05</v>
      </c>
      <c r="C8" s="147">
        <f ca="1">IF(OR('Données projet'!B11="",'Données projet'!C11="",'Données projet'!C11=0%),0,Calculateur!BI3)</f>
        <v>257.80952690600492</v>
      </c>
      <c r="D8" s="147">
        <f>IF(OR('Données projet'!B11="",'Données projet'!C11="",'Données projet'!C11=0%),0,Calculateur!BJ3)</f>
        <v>269.95358755269427</v>
      </c>
      <c r="E8" s="147">
        <f t="shared" ca="1" si="0"/>
        <v>257.80952690600492</v>
      </c>
      <c r="F8" s="147">
        <f t="shared" ca="1" si="1"/>
        <v>270.70000325130519</v>
      </c>
      <c r="G8" s="147">
        <f ca="1">F8*(100%-'Données projet'!$C$24)*(100%-'Données projet'!$C$25)*(100%-'Données projet'!$C$26)*(100%-'Données projet'!$C$27)</f>
        <v>243.63000292617468</v>
      </c>
      <c r="H8" s="155">
        <f>IF(OR('Données projet'!B11="",'Données projet'!C11="",'Données projet'!C11=0%),0,AVERAGE(Calculateur!$BS$3:$BS$33)*B8)</f>
        <v>10.357222550367563</v>
      </c>
      <c r="I8" s="149">
        <f>H8*(100%-'Données projet'!$C$24)*(100%-'Données projet'!$C$25)*(100%-'Données projet'!$C$26)*(100%-'Données projet'!$C$27)</f>
        <v>9.3215002953308073</v>
      </c>
      <c r="J8" s="150">
        <f>IF(OR('Données projet'!B11="",'Données projet'!C11="",'Données projet'!C11=0%),0,SUM(Calculateur!$BL$3:$BL$33)*VLOOKUP('Données projet'!$B$11,Paramètres!$A$1:$I$89,9,0)*B8)</f>
        <v>89.112692307692313</v>
      </c>
      <c r="K8" s="151">
        <f>J8*(100%-'Données projet'!$C$24)*(100%-'Données projet'!$C$25)*(100%-'Données projet'!$C$26)*(100%-'Données projet'!$C$27)</f>
        <v>80.201423076923078</v>
      </c>
      <c r="L8" s="152">
        <f t="shared" ca="1" si="2"/>
        <v>333.15292629842861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>Merisier</v>
      </c>
      <c r="B9" s="154">
        <f>'Données projet'!D12</f>
        <v>0.105</v>
      </c>
      <c r="C9" s="147">
        <f ca="1">IF(OR('Données projet'!B12="",'Données projet'!C12="",'Données projet'!C12=0%),0,Calculateur!CD3)</f>
        <v>286.5685205631126</v>
      </c>
      <c r="D9" s="147">
        <f>IF(OR('Données projet'!B12="",'Données projet'!C12="",'Données projet'!C12=0%),0,Calculateur!CE3)</f>
        <v>264.17357326498581</v>
      </c>
      <c r="E9" s="147">
        <f t="shared" ca="1" si="0"/>
        <v>264.17357326498581</v>
      </c>
      <c r="F9" s="147">
        <f t="shared" ca="1" si="1"/>
        <v>27.73822519282351</v>
      </c>
      <c r="G9" s="147">
        <f ca="1">F9*(100%-'Données projet'!$C$24)*(100%-'Données projet'!$C$25)*(100%-'Données projet'!$C$26)*(100%-'Données projet'!$C$27)</f>
        <v>24.964402673541159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1.365</v>
      </c>
      <c r="K9" s="151">
        <f>J9*(100%-'Données projet'!$C$24)*(100%-'Données projet'!$C$25)*(100%-'Données projet'!$C$26)*(100%-'Données projet'!$C$27)</f>
        <v>1.2284999999999999</v>
      </c>
      <c r="L9" s="152">
        <f t="shared" ca="1" si="2"/>
        <v>26.192902673541159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816.70612344964809</v>
      </c>
      <c r="G16" s="166">
        <f t="shared" ca="1" si="3"/>
        <v>735.03551110468334</v>
      </c>
      <c r="H16" s="167">
        <f t="shared" si="3"/>
        <v>11.465107484806497</v>
      </c>
      <c r="I16" s="167">
        <f t="shared" si="3"/>
        <v>10.318596736325848</v>
      </c>
      <c r="J16" s="168">
        <f t="shared" si="3"/>
        <v>106.7176923076923</v>
      </c>
      <c r="K16" s="168">
        <f t="shared" si="3"/>
        <v>96.045923076923074</v>
      </c>
      <c r="L16" s="169">
        <f t="shared" ca="1" si="3"/>
        <v>841.40003091793244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Chêne sessile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Pin maritime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>Merisier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I3" zoomScale="80" zoomScaleNormal="80" workbookViewId="0">
      <selection activeCell="I28" sqref="I28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1" t="s">
        <v>315</v>
      </c>
      <c r="I4" s="261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sessile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1025.1465191079303</v>
      </c>
      <c r="U10" s="178">
        <f>'Données projet'!D9</f>
        <v>1.1200000000000001</v>
      </c>
      <c r="V10" s="177">
        <f>U10*T10</f>
        <v>1148.1641014008821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sessile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834.4688308272988</v>
      </c>
      <c r="U11" s="178">
        <f>'Données projet'!D10</f>
        <v>1.1200000000000001</v>
      </c>
      <c r="V11" s="177">
        <f t="shared" ref="V11" si="0">U11*T11</f>
        <v>934.60509052657471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Pin maritime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2695.174452859158</v>
      </c>
      <c r="U12" s="178">
        <f>'Données projet'!D11</f>
        <v>1.05</v>
      </c>
      <c r="V12" s="177">
        <f t="shared" ref="V12:V19" si="1">U12*T12</f>
        <v>2829.9331755021162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Merisier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1402.9999219087513</v>
      </c>
      <c r="U13" s="178">
        <f>'Données projet'!D12</f>
        <v>0.105</v>
      </c>
      <c r="V13" s="177">
        <f t="shared" si="1"/>
        <v>147.31499180041888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Chêne sessile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289"/>
      <c r="J17" s="202"/>
      <c r="K17" s="208"/>
      <c r="L17" s="258" t="s">
        <v>289</v>
      </c>
      <c r="M17" s="260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58" t="s">
        <v>255</v>
      </c>
      <c r="M18" s="260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>
        <v>1</v>
      </c>
      <c r="I20" s="191">
        <v>3276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v>3276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v>3276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20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>
        <v>4</v>
      </c>
      <c r="I23" s="191">
        <v>3276</v>
      </c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-45275.4559923958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25</v>
      </c>
      <c r="B24" s="181">
        <f>'Données projet'!D37</f>
        <v>8</v>
      </c>
      <c r="C24" s="193">
        <v>2</v>
      </c>
      <c r="D24" s="182">
        <f t="shared" ref="D24:D42" si="2">B24*C24</f>
        <v>16</v>
      </c>
      <c r="E24" s="193"/>
      <c r="F24" s="233"/>
      <c r="H24" s="190">
        <v>5</v>
      </c>
      <c r="I24" s="191">
        <v>3276</v>
      </c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30</v>
      </c>
      <c r="B25" s="181">
        <f>'Données projet'!D38</f>
        <v>21</v>
      </c>
      <c r="C25" s="193">
        <v>3</v>
      </c>
      <c r="D25" s="182">
        <f t="shared" si="2"/>
        <v>63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>
        <v>0</v>
      </c>
      <c r="Q25" s="234"/>
      <c r="R25" s="23"/>
      <c r="S25" s="186" t="s">
        <v>266</v>
      </c>
      <c r="T25" s="303">
        <f ca="1">T23-T24</f>
        <v>-45275.4559923958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40</v>
      </c>
      <c r="B26" s="181">
        <f>'Données projet'!D39</f>
        <v>42</v>
      </c>
      <c r="C26" s="193">
        <v>6</v>
      </c>
      <c r="D26" s="182">
        <f t="shared" si="2"/>
        <v>252</v>
      </c>
      <c r="E26" s="193"/>
      <c r="F26" s="233"/>
      <c r="G26" s="229"/>
      <c r="H26" s="190"/>
      <c r="I26" s="191"/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50</v>
      </c>
      <c r="B27" s="181">
        <f>'Données projet'!D40</f>
        <v>42</v>
      </c>
      <c r="C27" s="193">
        <v>20</v>
      </c>
      <c r="D27" s="182">
        <f t="shared" si="2"/>
        <v>840</v>
      </c>
      <c r="E27" s="193"/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60</v>
      </c>
      <c r="B28" s="181">
        <f>'Données projet'!D41</f>
        <v>42</v>
      </c>
      <c r="C28" s="193">
        <v>35</v>
      </c>
      <c r="D28" s="182">
        <f t="shared" si="2"/>
        <v>1470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70</v>
      </c>
      <c r="B29" s="181">
        <f>'Données projet'!D42</f>
        <v>42</v>
      </c>
      <c r="C29" s="193">
        <v>55</v>
      </c>
      <c r="D29" s="182">
        <f t="shared" si="2"/>
        <v>2310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80</v>
      </c>
      <c r="B30" s="181">
        <f>'Données projet'!D43</f>
        <v>42</v>
      </c>
      <c r="C30" s="193">
        <v>75</v>
      </c>
      <c r="D30" s="182">
        <f t="shared" si="2"/>
        <v>3150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90</v>
      </c>
      <c r="B31" s="181">
        <f>'Données projet'!D44</f>
        <v>42</v>
      </c>
      <c r="C31" s="193">
        <v>100</v>
      </c>
      <c r="D31" s="182">
        <f t="shared" si="2"/>
        <v>4200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100</v>
      </c>
      <c r="B32" s="181">
        <f>'Données projet'!D45</f>
        <v>303</v>
      </c>
      <c r="C32" s="193">
        <v>130</v>
      </c>
      <c r="D32" s="182">
        <f t="shared" si="2"/>
        <v>39390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Chêne sessile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20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25</v>
      </c>
      <c r="B55" s="181">
        <f>'Données projet'!D63</f>
        <v>8</v>
      </c>
      <c r="C55" s="191">
        <v>2</v>
      </c>
      <c r="D55" s="179">
        <f t="shared" ref="D55:D73" si="4">B55*C55</f>
        <v>16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30</v>
      </c>
      <c r="B56" s="181">
        <f>'Données projet'!D64</f>
        <v>21</v>
      </c>
      <c r="C56" s="191">
        <v>3</v>
      </c>
      <c r="D56" s="179">
        <f t="shared" si="4"/>
        <v>63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40</v>
      </c>
      <c r="B57" s="181">
        <f>'Données projet'!D65</f>
        <v>42</v>
      </c>
      <c r="C57" s="191">
        <v>6</v>
      </c>
      <c r="D57" s="179">
        <f t="shared" si="4"/>
        <v>252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50</v>
      </c>
      <c r="B58" s="181">
        <f>'Données projet'!D66</f>
        <v>42</v>
      </c>
      <c r="C58" s="191">
        <v>15</v>
      </c>
      <c r="D58" s="179">
        <f t="shared" si="4"/>
        <v>630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60</v>
      </c>
      <c r="B59" s="181">
        <f>'Données projet'!D67</f>
        <v>42</v>
      </c>
      <c r="C59" s="191">
        <v>25</v>
      </c>
      <c r="D59" s="179">
        <f t="shared" si="4"/>
        <v>1050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70</v>
      </c>
      <c r="B60" s="181">
        <f>'Données projet'!D68</f>
        <v>42</v>
      </c>
      <c r="C60" s="191">
        <v>45</v>
      </c>
      <c r="D60" s="179">
        <f t="shared" si="4"/>
        <v>1890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80</v>
      </c>
      <c r="B61" s="181">
        <f>'Données projet'!D69</f>
        <v>42</v>
      </c>
      <c r="C61" s="191">
        <v>60</v>
      </c>
      <c r="D61" s="179">
        <f t="shared" si="4"/>
        <v>2520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90</v>
      </c>
      <c r="B62" s="181">
        <f>'Données projet'!D70</f>
        <v>42</v>
      </c>
      <c r="C62" s="191">
        <v>75</v>
      </c>
      <c r="D62" s="179">
        <f t="shared" si="4"/>
        <v>3150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100</v>
      </c>
      <c r="B63" s="181">
        <f>'Données projet'!D71</f>
        <v>303</v>
      </c>
      <c r="C63" s="191">
        <v>110</v>
      </c>
      <c r="D63" s="179">
        <f t="shared" si="4"/>
        <v>33330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>Pin maritime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17</v>
      </c>
      <c r="B85" s="181">
        <f>'Données projet'!D88</f>
        <v>42.084615384615383</v>
      </c>
      <c r="C85" s="191">
        <v>13</v>
      </c>
      <c r="D85" s="179">
        <f>B85*C85</f>
        <v>547.1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23</v>
      </c>
      <c r="B86" s="181">
        <f>'Données projet'!D89</f>
        <v>54.099999999999994</v>
      </c>
      <c r="C86" s="191">
        <v>20</v>
      </c>
      <c r="D86" s="179">
        <f t="shared" ref="D86:D104" si="6">B86*C86</f>
        <v>1082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25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29</v>
      </c>
      <c r="B88" s="181">
        <f>'Données projet'!D91</f>
        <v>47.661538461538463</v>
      </c>
      <c r="C88" s="191">
        <v>20</v>
      </c>
      <c r="D88" s="179">
        <f t="shared" si="6"/>
        <v>953.23076923076928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34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36</v>
      </c>
      <c r="B90" s="181">
        <f>'Données projet'!D93</f>
        <v>64.553846153846152</v>
      </c>
      <c r="C90" s="191">
        <v>30</v>
      </c>
      <c r="D90" s="179">
        <f t="shared" si="6"/>
        <v>1936.6153846153845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44</v>
      </c>
      <c r="B91" s="181">
        <f>'Données projet'!D94</f>
        <v>64.476923076923072</v>
      </c>
      <c r="C91" s="191">
        <v>30</v>
      </c>
      <c r="D91" s="179">
        <f t="shared" si="6"/>
        <v>1934.3076923076922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52</v>
      </c>
      <c r="B92" s="181">
        <f>'Données projet'!D95</f>
        <v>61.784615384615378</v>
      </c>
      <c r="C92" s="191">
        <v>35</v>
      </c>
      <c r="D92" s="179">
        <f t="shared" si="6"/>
        <v>2162.4615384615381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60</v>
      </c>
      <c r="B93" s="181">
        <f>'Données projet'!D96</f>
        <v>353.5</v>
      </c>
      <c r="C93" s="191">
        <v>35</v>
      </c>
      <c r="D93" s="179">
        <f t="shared" si="6"/>
        <v>12372.5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0</v>
      </c>
      <c r="B94" s="181">
        <f>'Données projet'!D97</f>
        <v>0</v>
      </c>
      <c r="C94" s="191">
        <v>0</v>
      </c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str">
        <f>IF(O93+1&lt;=MIN('Données projet'!$E$9:$E$18),O93+1,"STOP")</f>
        <v>STOP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>Merisier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25</v>
      </c>
      <c r="B116" s="181">
        <f>'Données projet'!D114</f>
        <v>28</v>
      </c>
      <c r="C116" s="191">
        <v>7</v>
      </c>
      <c r="D116" s="179">
        <f>B116*C116</f>
        <v>196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30</v>
      </c>
      <c r="B117" s="181">
        <f>'Données projet'!D115</f>
        <v>24</v>
      </c>
      <c r="C117" s="191">
        <v>8</v>
      </c>
      <c r="D117" s="179">
        <f t="shared" ref="D117:D135" si="8">B117*C117</f>
        <v>192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35</v>
      </c>
      <c r="B118" s="181">
        <f>'Données projet'!D116</f>
        <v>27</v>
      </c>
      <c r="C118" s="191">
        <v>10</v>
      </c>
      <c r="D118" s="179">
        <f t="shared" si="8"/>
        <v>270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40</v>
      </c>
      <c r="B119" s="181">
        <f>'Données projet'!D117</f>
        <v>32</v>
      </c>
      <c r="C119" s="191">
        <v>15</v>
      </c>
      <c r="D119" s="179">
        <f t="shared" si="8"/>
        <v>480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45</v>
      </c>
      <c r="B120" s="181">
        <f>'Données projet'!D118</f>
        <v>31</v>
      </c>
      <c r="C120" s="191">
        <v>18</v>
      </c>
      <c r="D120" s="179">
        <f t="shared" si="8"/>
        <v>558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50</v>
      </c>
      <c r="B121" s="181">
        <f>'Données projet'!D119</f>
        <v>30</v>
      </c>
      <c r="C121" s="191">
        <v>18</v>
      </c>
      <c r="D121" s="179">
        <f t="shared" si="8"/>
        <v>540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55</v>
      </c>
      <c r="B122" s="181">
        <f>'Données projet'!D120</f>
        <v>30</v>
      </c>
      <c r="C122" s="191">
        <v>20</v>
      </c>
      <c r="D122" s="179">
        <f t="shared" si="8"/>
        <v>600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60</v>
      </c>
      <c r="B123" s="181">
        <f>'Données projet'!D121</f>
        <v>27</v>
      </c>
      <c r="C123" s="191">
        <v>25</v>
      </c>
      <c r="D123" s="179">
        <f t="shared" si="8"/>
        <v>675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65</v>
      </c>
      <c r="B124" s="181">
        <f>'Données projet'!D122</f>
        <v>26</v>
      </c>
      <c r="C124" s="191">
        <v>30</v>
      </c>
      <c r="D124" s="179">
        <f t="shared" si="8"/>
        <v>780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70</v>
      </c>
      <c r="B125" s="181">
        <f>'Données projet'!D123</f>
        <v>20</v>
      </c>
      <c r="C125" s="191">
        <v>40</v>
      </c>
      <c r="D125" s="179">
        <f t="shared" si="8"/>
        <v>800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75</v>
      </c>
      <c r="B126" s="181">
        <f>'Données projet'!D124</f>
        <v>561</v>
      </c>
      <c r="C126" s="191">
        <v>40</v>
      </c>
      <c r="D126" s="179">
        <f t="shared" si="8"/>
        <v>22440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Sixte du CREST</cp:lastModifiedBy>
  <dcterms:created xsi:type="dcterms:W3CDTF">2021-02-01T08:22:39Z</dcterms:created>
  <dcterms:modified xsi:type="dcterms:W3CDTF">2026-05-06T10:18:07Z</dcterms:modified>
</cp:coreProperties>
</file>