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Formulaire Boisement 1\"/>
    </mc:Choice>
  </mc:AlternateContent>
  <bookViews>
    <workbookView xWindow="0" yWindow="0" windowWidth="24000" windowHeight="9735"/>
  </bookViews>
  <sheets>
    <sheet name="Sommaire" sheetId="1" r:id="rId1"/>
    <sheet name="1" sheetId="2" r:id="rId2"/>
    <sheet name="2" sheetId="3" r:id="rId3"/>
    <sheet name="3" sheetId="4" r:id="rId4"/>
    <sheet name="4" sheetId="5" r:id="rId5"/>
    <sheet name="5" sheetId="6" r:id="rId6"/>
    <sheet name="7" sheetId="7" r:id="rId7"/>
    <sheet name="9" sheetId="8" r:id="rId8"/>
    <sheet name="10" sheetId="9" r:id="rId9"/>
    <sheet name="11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K4" i="10" l="1"/>
  <c r="K3" i="10"/>
  <c r="B11" i="10"/>
  <c r="E5" i="10"/>
  <c r="C5" i="10"/>
  <c r="G4" i="10"/>
  <c r="F4" i="10"/>
  <c r="D4" i="10"/>
  <c r="D5" i="10" s="1"/>
  <c r="B4" i="10"/>
  <c r="G3" i="10"/>
  <c r="F3" i="10"/>
  <c r="B3" i="10"/>
  <c r="F11" i="9"/>
  <c r="G11" i="9" s="1"/>
  <c r="F9" i="1" s="1"/>
  <c r="B11" i="9"/>
  <c r="G3" i="9"/>
  <c r="J11" i="9" s="1"/>
  <c r="I9" i="1" s="1"/>
  <c r="F3" i="9"/>
  <c r="H11" i="9" s="1"/>
  <c r="G9" i="1" s="1"/>
  <c r="B3" i="9"/>
  <c r="B11" i="8"/>
  <c r="E5" i="8"/>
  <c r="C5" i="8"/>
  <c r="K4" i="8"/>
  <c r="G4" i="8"/>
  <c r="F4" i="8"/>
  <c r="D4" i="8"/>
  <c r="D5" i="8" s="1"/>
  <c r="B4" i="8"/>
  <c r="K3" i="8"/>
  <c r="G3" i="8"/>
  <c r="F3" i="8"/>
  <c r="H11" i="8" s="1"/>
  <c r="I11" i="8" s="1"/>
  <c r="H8" i="1" s="1"/>
  <c r="B3" i="8"/>
  <c r="B5" i="8" s="1"/>
  <c r="B11" i="7"/>
  <c r="G3" i="7"/>
  <c r="J11" i="7" s="1"/>
  <c r="K11" i="7" s="1"/>
  <c r="J7" i="1" s="1"/>
  <c r="F3" i="7"/>
  <c r="H11" i="7" s="1"/>
  <c r="I11" i="7" s="1"/>
  <c r="H7" i="1" s="1"/>
  <c r="B3" i="7"/>
  <c r="B11" i="6"/>
  <c r="E5" i="6"/>
  <c r="C5" i="6"/>
  <c r="K4" i="6"/>
  <c r="G4" i="6"/>
  <c r="F4" i="6"/>
  <c r="D4" i="6"/>
  <c r="D5" i="6" s="1"/>
  <c r="B4" i="6"/>
  <c r="K3" i="6"/>
  <c r="G3" i="6"/>
  <c r="F3" i="6"/>
  <c r="B3" i="6"/>
  <c r="B11" i="5"/>
  <c r="E5" i="5"/>
  <c r="C5" i="5"/>
  <c r="K4" i="5"/>
  <c r="G4" i="5"/>
  <c r="F4" i="5"/>
  <c r="D4" i="5"/>
  <c r="D5" i="5" s="1"/>
  <c r="B4" i="5"/>
  <c r="K3" i="5"/>
  <c r="G3" i="5"/>
  <c r="F3" i="5"/>
  <c r="H11" i="5" s="1"/>
  <c r="I11" i="5" s="1"/>
  <c r="H5" i="1" s="1"/>
  <c r="B3" i="5"/>
  <c r="B11" i="4"/>
  <c r="G3" i="4"/>
  <c r="J11" i="4" s="1"/>
  <c r="I4" i="1" s="1"/>
  <c r="F3" i="4"/>
  <c r="H11" i="4" s="1"/>
  <c r="I11" i="4" s="1"/>
  <c r="H4" i="1" s="1"/>
  <c r="B3" i="4"/>
  <c r="F11" i="4" s="1"/>
  <c r="B11" i="3"/>
  <c r="E5" i="3"/>
  <c r="C5" i="3"/>
  <c r="G4" i="3"/>
  <c r="F4" i="3"/>
  <c r="D4" i="3"/>
  <c r="D5" i="3" s="1"/>
  <c r="B4" i="3"/>
  <c r="K3" i="3"/>
  <c r="G3" i="3"/>
  <c r="F3" i="3"/>
  <c r="B3" i="3"/>
  <c r="B11" i="2"/>
  <c r="E5" i="2"/>
  <c r="C5" i="2"/>
  <c r="K4" i="2"/>
  <c r="G4" i="2"/>
  <c r="F4" i="2"/>
  <c r="D4" i="2"/>
  <c r="D5" i="2" s="1"/>
  <c r="B4" i="2"/>
  <c r="K3" i="2"/>
  <c r="G3" i="2"/>
  <c r="F3" i="2"/>
  <c r="H11" i="2" s="1"/>
  <c r="I11" i="2" s="1"/>
  <c r="H2" i="1" s="1"/>
  <c r="B3" i="2"/>
  <c r="G5" i="8" l="1"/>
  <c r="G5" i="2"/>
  <c r="H3" i="7"/>
  <c r="G7" i="1"/>
  <c r="H4" i="2"/>
  <c r="B5" i="3"/>
  <c r="G8" i="1"/>
  <c r="B5" i="10"/>
  <c r="H4" i="10"/>
  <c r="L4" i="10" s="1"/>
  <c r="E9" i="1"/>
  <c r="K9" i="1" s="1"/>
  <c r="F5" i="3"/>
  <c r="H3" i="5"/>
  <c r="F11" i="6"/>
  <c r="E6" i="1" s="1"/>
  <c r="L11" i="4"/>
  <c r="G5" i="3"/>
  <c r="J11" i="5"/>
  <c r="I5" i="1" s="1"/>
  <c r="F11" i="8"/>
  <c r="E8" i="1" s="1"/>
  <c r="G5" i="10"/>
  <c r="E4" i="1"/>
  <c r="B5" i="2"/>
  <c r="H4" i="3"/>
  <c r="M4" i="3" s="1"/>
  <c r="H3" i="4"/>
  <c r="L3" i="4" s="1"/>
  <c r="H4" i="8"/>
  <c r="M4" i="8" s="1"/>
  <c r="H4" i="5"/>
  <c r="L4" i="5" s="1"/>
  <c r="G5" i="1"/>
  <c r="G4" i="1"/>
  <c r="H4" i="6"/>
  <c r="M4" i="6" s="1"/>
  <c r="F5" i="6"/>
  <c r="F11" i="2"/>
  <c r="E2" i="1" s="1"/>
  <c r="J11" i="6"/>
  <c r="I6" i="1" s="1"/>
  <c r="F11" i="7"/>
  <c r="G11" i="7" s="1"/>
  <c r="F7" i="1" s="1"/>
  <c r="L7" i="1" s="1"/>
  <c r="I7" i="1"/>
  <c r="G2" i="1"/>
  <c r="B5" i="6"/>
  <c r="H11" i="10"/>
  <c r="F11" i="10"/>
  <c r="E10" i="1" s="1"/>
  <c r="K11" i="9"/>
  <c r="J9" i="1" s="1"/>
  <c r="J11" i="10"/>
  <c r="F5" i="10"/>
  <c r="H3" i="10"/>
  <c r="I11" i="9"/>
  <c r="H9" i="1" s="1"/>
  <c r="L11" i="9"/>
  <c r="M11" i="9" s="1"/>
  <c r="H3" i="9"/>
  <c r="J11" i="8"/>
  <c r="K11" i="8"/>
  <c r="J8" i="1" s="1"/>
  <c r="F5" i="8"/>
  <c r="H3" i="8"/>
  <c r="M3" i="7"/>
  <c r="L3" i="7"/>
  <c r="H3" i="6"/>
  <c r="H11" i="6"/>
  <c r="G5" i="6"/>
  <c r="K11" i="6"/>
  <c r="J6" i="1" s="1"/>
  <c r="M3" i="5"/>
  <c r="L3" i="5"/>
  <c r="B5" i="5"/>
  <c r="F11" i="5"/>
  <c r="E5" i="1" s="1"/>
  <c r="G5" i="5"/>
  <c r="F5" i="5"/>
  <c r="M3" i="4"/>
  <c r="M11" i="4"/>
  <c r="G11" i="4"/>
  <c r="F4" i="1" s="1"/>
  <c r="K11" i="4"/>
  <c r="J4" i="1" s="1"/>
  <c r="H3" i="3"/>
  <c r="J11" i="3"/>
  <c r="I3" i="1" s="1"/>
  <c r="F11" i="3"/>
  <c r="E3" i="1" s="1"/>
  <c r="H11" i="3"/>
  <c r="M4" i="2"/>
  <c r="L4" i="2"/>
  <c r="H3" i="2"/>
  <c r="F5" i="2"/>
  <c r="J11" i="2"/>
  <c r="I2" i="1" s="1"/>
  <c r="M4" i="5" l="1"/>
  <c r="K5" i="1"/>
  <c r="L4" i="8"/>
  <c r="L4" i="3"/>
  <c r="K11" i="5"/>
  <c r="J5" i="1" s="1"/>
  <c r="L4" i="1"/>
  <c r="L9" i="1"/>
  <c r="K4" i="1"/>
  <c r="M4" i="10"/>
  <c r="L4" i="6"/>
  <c r="L5" i="5"/>
  <c r="K11" i="2"/>
  <c r="J2" i="1" s="1"/>
  <c r="K11" i="3"/>
  <c r="J3" i="1" s="1"/>
  <c r="I11" i="6"/>
  <c r="H6" i="1" s="1"/>
  <c r="G6" i="1"/>
  <c r="K6" i="1" s="1"/>
  <c r="G11" i="8"/>
  <c r="F8" i="1" s="1"/>
  <c r="L8" i="1" s="1"/>
  <c r="I11" i="3"/>
  <c r="H3" i="1" s="1"/>
  <c r="G3" i="1"/>
  <c r="K3" i="1" s="1"/>
  <c r="H5" i="5"/>
  <c r="G11" i="6"/>
  <c r="F6" i="1" s="1"/>
  <c r="L11" i="8"/>
  <c r="M11" i="8" s="1"/>
  <c r="I8" i="1"/>
  <c r="K8" i="1" s="1"/>
  <c r="L11" i="7"/>
  <c r="M11" i="7" s="1"/>
  <c r="E7" i="1"/>
  <c r="K7" i="1" s="1"/>
  <c r="K2" i="1"/>
  <c r="I11" i="10"/>
  <c r="H10" i="1" s="1"/>
  <c r="G10" i="1"/>
  <c r="G11" i="10"/>
  <c r="F10" i="1" s="1"/>
  <c r="L11" i="10"/>
  <c r="M11" i="10" s="1"/>
  <c r="I10" i="1"/>
  <c r="K11" i="10"/>
  <c r="J10" i="1" s="1"/>
  <c r="M3" i="10"/>
  <c r="H5" i="10"/>
  <c r="L3" i="10"/>
  <c r="L5" i="10" s="1"/>
  <c r="L3" i="9"/>
  <c r="M3" i="9"/>
  <c r="M3" i="8"/>
  <c r="N5" i="8" s="1"/>
  <c r="H5" i="8"/>
  <c r="L3" i="8"/>
  <c r="M5" i="8" s="1"/>
  <c r="M3" i="6"/>
  <c r="M5" i="6" s="1"/>
  <c r="H5" i="6"/>
  <c r="L3" i="6"/>
  <c r="L11" i="6"/>
  <c r="M11" i="6" s="1"/>
  <c r="M5" i="5"/>
  <c r="L11" i="5"/>
  <c r="M11" i="5" s="1"/>
  <c r="G11" i="5"/>
  <c r="F5" i="1" s="1"/>
  <c r="L5" i="1" s="1"/>
  <c r="L11" i="3"/>
  <c r="M11" i="3" s="1"/>
  <c r="G11" i="3"/>
  <c r="F3" i="1" s="1"/>
  <c r="L3" i="1" s="1"/>
  <c r="M3" i="3"/>
  <c r="N5" i="3" s="1"/>
  <c r="L3" i="3"/>
  <c r="M5" i="3" s="1"/>
  <c r="H5" i="3"/>
  <c r="L11" i="2"/>
  <c r="M11" i="2" s="1"/>
  <c r="G11" i="2"/>
  <c r="F2" i="1" s="1"/>
  <c r="M3" i="2"/>
  <c r="M5" i="2" s="1"/>
  <c r="H5" i="2"/>
  <c r="L3" i="2"/>
  <c r="L5" i="2" s="1"/>
  <c r="L6" i="1" l="1"/>
  <c r="G18" i="1"/>
  <c r="L5" i="6"/>
  <c r="M5" i="10"/>
  <c r="I18" i="1"/>
  <c r="H18" i="1"/>
  <c r="J18" i="1"/>
  <c r="F18" i="1"/>
  <c r="L2" i="1"/>
  <c r="E18" i="1"/>
  <c r="L10" i="1"/>
  <c r="K10" i="1"/>
  <c r="K18" i="1" s="1"/>
  <c r="L18" i="1" l="1"/>
</calcChain>
</file>

<file path=xl/sharedStrings.xml><?xml version="1.0" encoding="utf-8"?>
<sst xmlns="http://schemas.openxmlformats.org/spreadsheetml/2006/main" count="266" uniqueCount="57">
  <si>
    <t>N°Feuille</t>
  </si>
  <si>
    <t>Propriétaire</t>
  </si>
  <si>
    <t>Essences</t>
  </si>
  <si>
    <t>Surface 
retenue (-10%)</t>
  </si>
  <si>
    <t>REA forêt</t>
  </si>
  <si>
    <t>REA forêt
avec rabais</t>
  </si>
  <si>
    <t>REA 
produits</t>
  </si>
  <si>
    <t>REA produits 
avec rabais</t>
  </si>
  <si>
    <t>REI 
substitution</t>
  </si>
  <si>
    <t>REI subs. 
avec rabais</t>
  </si>
  <si>
    <t>REE</t>
  </si>
  <si>
    <t>REE avec 
rabais</t>
  </si>
  <si>
    <t>Etchamendy</t>
  </si>
  <si>
    <t>Mélèze 20% Chêne rouge 80%</t>
  </si>
  <si>
    <t>Chêne rouge 88% Sequoia 12%</t>
  </si>
  <si>
    <t>Aulne glutineux 100%</t>
  </si>
  <si>
    <t>Chêne sessile 89% Sequoia 11%</t>
  </si>
  <si>
    <t>Robinier classe IV 77% et mélèze hybride 23%</t>
  </si>
  <si>
    <t>Cabrol</t>
  </si>
  <si>
    <t>Mélèze hybride 100%</t>
  </si>
  <si>
    <t>Souveste</t>
  </si>
  <si>
    <t>Robinier classe III 89% Sequoia 11%</t>
  </si>
  <si>
    <t>Luro</t>
  </si>
  <si>
    <t>Chêne rouge 88% et Sequoia 12%</t>
  </si>
  <si>
    <t>Tableau synthétique</t>
  </si>
  <si>
    <t>Boisement Hergarai 1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</si>
  <si>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</si>
  <si>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</si>
  <si>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</si>
  <si>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</si>
  <si>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risque 
non permanence</t>
  </si>
  <si>
    <t>Rabais risque incendie</t>
  </si>
  <si>
    <t>Surface (ha)</t>
  </si>
  <si>
    <t>REE (tCO₂)</t>
  </si>
  <si>
    <t>REE sans 
rabais (tCO₂)</t>
  </si>
  <si>
    <t>Biomasse</t>
  </si>
  <si>
    <t>Sol</t>
  </si>
  <si>
    <t>Litière</t>
  </si>
  <si>
    <t>Bois mort</t>
  </si>
  <si>
    <t>Boisement mélèzes</t>
  </si>
  <si>
    <t>Boisement chêne rouge d'Amérique</t>
  </si>
  <si>
    <t>Total</t>
  </si>
  <si>
    <t>TOTAL</t>
  </si>
  <si>
    <t>Rabais</t>
  </si>
  <si>
    <t>REA forêt 
avec rabais</t>
  </si>
  <si>
    <t>REA produits</t>
  </si>
  <si>
    <t>REA produits
avec rabais</t>
  </si>
  <si>
    <t>REI substitution</t>
  </si>
  <si>
    <t>REI substitution
avec rabais</t>
  </si>
  <si>
    <t>REE avec rabais</t>
  </si>
  <si>
    <t>Boisement Sequoia</t>
  </si>
  <si>
    <t>Aulne glutineux</t>
  </si>
  <si>
    <t>Chêne sessile</t>
  </si>
  <si>
    <t>Sequoia</t>
  </si>
  <si>
    <t>Robinier Classe IV</t>
  </si>
  <si>
    <t>Mélèze hybride</t>
  </si>
  <si>
    <t>Robinier Classe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</si>
</sst>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Border="1"/>
    <xf numFmtId="1" fontId="0" fillId="2" borderId="1" xfId="0" applyNumberFormat="1" applyFill="1" applyBorder="1"/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0" borderId="1" xfId="0" applyNumberFormat="1" applyBorder="1"/>
    <xf numFmtId="0" fontId="1" fillId="0" borderId="1" xfId="0" applyFont="1" applyFill="1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m&#233;l&#232;z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ch&#234;ne%20roug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sequo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aulne%20glutineu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ch&#234;ne%20sessi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Robinier%20classe%20IV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ch&#234;ne%20rouge%20avec%20accru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Robinier%20classe%20II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LEN/Documents/Label%20Bas%20Carbone/Calculs%20carbone/Gabriel/Calcul%20sequoia%20avec%20accr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calculs"/>
      <sheetName val="Paramètres"/>
      <sheetName val="Interpolation linéaire"/>
    </sheetNames>
    <sheetDataSet>
      <sheetData sheetId="0">
        <row r="7">
          <cell r="P7">
            <v>194.57071070230802</v>
          </cell>
        </row>
        <row r="14">
          <cell r="P14">
            <v>91.845600000000005</v>
          </cell>
        </row>
        <row r="15">
          <cell r="P15">
            <v>57.597978717689628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Paramètres"/>
      <sheetName val="Interpolation linéaire"/>
    </sheetNames>
    <sheetDataSet>
      <sheetData sheetId="0">
        <row r="7">
          <cell r="M7">
            <v>349.55278676442265</v>
          </cell>
        </row>
        <row r="9">
          <cell r="M9">
            <v>36.666666666666664</v>
          </cell>
        </row>
        <row r="14">
          <cell r="M14">
            <v>14.75</v>
          </cell>
        </row>
        <row r="15">
          <cell r="M15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calculs"/>
      <sheetName val="Paramètres"/>
      <sheetName val="Interpolation linéaire"/>
      <sheetName val="Table de production"/>
    </sheetNames>
    <sheetDataSet>
      <sheetData sheetId="0">
        <row r="7">
          <cell r="T7">
            <v>382.44778287820918</v>
          </cell>
        </row>
        <row r="9">
          <cell r="T9">
            <v>36.700000000000003</v>
          </cell>
        </row>
        <row r="14">
          <cell r="T14">
            <v>135.828</v>
          </cell>
        </row>
        <row r="15">
          <cell r="T15">
            <v>70.662168170321308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Paramètres"/>
      <sheetName val="Interpolation linéaire"/>
    </sheetNames>
    <sheetDataSet>
      <sheetData sheetId="0">
        <row r="7">
          <cell r="M7">
            <v>232.71810987543691</v>
          </cell>
        </row>
        <row r="14">
          <cell r="M14">
            <v>0</v>
          </cell>
        </row>
        <row r="15">
          <cell r="M1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Paramètres"/>
      <sheetName val="Interpolation linéaire"/>
      <sheetName val="Table de production "/>
    </sheetNames>
    <sheetDataSet>
      <sheetData sheetId="0">
        <row r="7">
          <cell r="M7">
            <v>88.005838877378665</v>
          </cell>
        </row>
        <row r="14">
          <cell r="M14">
            <v>0</v>
          </cell>
        </row>
        <row r="15">
          <cell r="M15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Paramètres"/>
      <sheetName val="Interpolation linéaire"/>
    </sheetNames>
    <sheetDataSet>
      <sheetData sheetId="0">
        <row r="7">
          <cell r="M7">
            <v>227.91344856223051</v>
          </cell>
        </row>
        <row r="14">
          <cell r="M14">
            <v>10.25</v>
          </cell>
        </row>
        <row r="15">
          <cell r="M15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Paramètres"/>
      <sheetName val="Interpolation linéaire"/>
    </sheetNames>
    <sheetDataSet>
      <sheetData sheetId="0">
        <row r="7">
          <cell r="O7">
            <v>334.30499163994523</v>
          </cell>
        </row>
        <row r="9">
          <cell r="O9">
            <v>36.666666666666664</v>
          </cell>
        </row>
        <row r="14">
          <cell r="O14">
            <v>14.75</v>
          </cell>
        </row>
        <row r="15">
          <cell r="O15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Paramètres"/>
      <sheetName val="Interpolation linéaire"/>
    </sheetNames>
    <sheetDataSet>
      <sheetData sheetId="0">
        <row r="7">
          <cell r="O7">
            <v>307.47196333588209</v>
          </cell>
        </row>
        <row r="14">
          <cell r="O14">
            <v>18.75</v>
          </cell>
        </row>
        <row r="15">
          <cell r="O15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calculs"/>
      <sheetName val="Paramètres"/>
      <sheetName val="Interpolation linéaire"/>
      <sheetName val="Table de production"/>
    </sheetNames>
    <sheetDataSet>
      <sheetData sheetId="0">
        <row r="7">
          <cell r="V7">
            <v>378.01836569956606</v>
          </cell>
        </row>
        <row r="14">
          <cell r="V14">
            <v>135.828</v>
          </cell>
        </row>
        <row r="15">
          <cell r="V15">
            <v>70.665170635898733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D1" workbookViewId="0">
      <selection activeCell="M18" sqref="M18"/>
    </sheetView>
  </sheetViews>
  <sheetFormatPr baseColWidth="10" defaultRowHeight="15" x14ac:dyDescent="0.25"/>
  <cols>
    <col min="3" max="3" width="42" bestFit="1" customWidth="1"/>
  </cols>
  <sheetData>
    <row r="1" spans="1:12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1" t="s">
        <v>10</v>
      </c>
      <c r="L1" s="2" t="s">
        <v>11</v>
      </c>
    </row>
    <row r="2" spans="1:12" x14ac:dyDescent="0.25">
      <c r="A2" s="7">
        <v>1</v>
      </c>
      <c r="B2" s="7" t="s">
        <v>12</v>
      </c>
      <c r="C2" s="7" t="s">
        <v>13</v>
      </c>
      <c r="D2" s="7">
        <v>0.8</v>
      </c>
      <c r="E2" s="8">
        <f>'1'!F11</f>
        <v>284.23176390826649</v>
      </c>
      <c r="F2" s="8">
        <f>'1'!G11</f>
        <v>217.43729938982386</v>
      </c>
      <c r="G2" s="9">
        <f>'1'!H11</f>
        <v>9.2156765948303416</v>
      </c>
      <c r="H2" s="9">
        <f>'1'!I11</f>
        <v>7.0499925950452118</v>
      </c>
      <c r="I2" s="10">
        <f>'1'!J11</f>
        <v>24.135296000000004</v>
      </c>
      <c r="J2" s="10">
        <f>'1'!K11</f>
        <v>18.463501440000002</v>
      </c>
      <c r="K2" s="11">
        <f>E2+G2+I2</f>
        <v>317.58273650309678</v>
      </c>
      <c r="L2" s="11">
        <f>F2+H2+J2</f>
        <v>242.95079342486906</v>
      </c>
    </row>
    <row r="3" spans="1:12" x14ac:dyDescent="0.25">
      <c r="A3" s="7">
        <v>2</v>
      </c>
      <c r="B3" s="7" t="s">
        <v>12</v>
      </c>
      <c r="C3" s="7" t="s">
        <v>14</v>
      </c>
      <c r="D3" s="7">
        <v>1</v>
      </c>
      <c r="E3" s="8">
        <f>'2'!F11</f>
        <v>390.20685296474375</v>
      </c>
      <c r="F3" s="8">
        <f>'2'!G11</f>
        <v>298.50824251802896</v>
      </c>
      <c r="G3" s="9">
        <f>'2'!H11</f>
        <v>8.4794601804385561</v>
      </c>
      <c r="H3" s="9">
        <f>'2'!I11</f>
        <v>6.4867870380354953</v>
      </c>
      <c r="I3" s="10">
        <f>'2'!J11</f>
        <v>29.27936</v>
      </c>
      <c r="J3" s="10">
        <f>'2'!K11</f>
        <v>22.398710400000002</v>
      </c>
      <c r="K3" s="11">
        <f t="shared" ref="K3:L10" si="0">E3+G3+I3</f>
        <v>427.96567314518228</v>
      </c>
      <c r="L3" s="11">
        <f t="shared" si="0"/>
        <v>327.39373995606451</v>
      </c>
    </row>
    <row r="4" spans="1:12" x14ac:dyDescent="0.25">
      <c r="A4" s="7">
        <v>3</v>
      </c>
      <c r="B4" s="7" t="s">
        <v>12</v>
      </c>
      <c r="C4" s="7" t="s">
        <v>15</v>
      </c>
      <c r="D4" s="7">
        <v>0.15</v>
      </c>
      <c r="E4" s="8">
        <f>'3'!F11</f>
        <v>40.457716481315529</v>
      </c>
      <c r="F4" s="8">
        <f>'3'!G11</f>
        <v>30.950153108206379</v>
      </c>
      <c r="G4" s="9">
        <f>'3'!H11</f>
        <v>0</v>
      </c>
      <c r="H4" s="9">
        <f>'3'!I11</f>
        <v>0</v>
      </c>
      <c r="I4" s="10">
        <f>'3'!J11</f>
        <v>0</v>
      </c>
      <c r="J4" s="10">
        <f>'3'!K11</f>
        <v>0</v>
      </c>
      <c r="K4" s="11">
        <f t="shared" si="0"/>
        <v>40.457716481315529</v>
      </c>
      <c r="L4" s="11">
        <f t="shared" si="0"/>
        <v>30.950153108206379</v>
      </c>
    </row>
    <row r="5" spans="1:12" x14ac:dyDescent="0.25">
      <c r="A5" s="7">
        <v>4</v>
      </c>
      <c r="B5" s="7" t="s">
        <v>12</v>
      </c>
      <c r="C5" s="7" t="s">
        <v>16</v>
      </c>
      <c r="D5" s="7">
        <v>0.9</v>
      </c>
      <c r="E5" s="8">
        <f>'4'!F11</f>
        <v>141.62530744572302</v>
      </c>
      <c r="F5" s="8">
        <f>'4'!G11</f>
        <v>108.34336019597812</v>
      </c>
      <c r="G5" s="9">
        <f>'4'!H11</f>
        <v>0</v>
      </c>
      <c r="H5" s="9">
        <f>'4'!I11</f>
        <v>0</v>
      </c>
      <c r="I5" s="10">
        <f>'4'!J11</f>
        <v>13.446972000000001</v>
      </c>
      <c r="J5" s="10">
        <f>'4'!K11</f>
        <v>10.286933580000001</v>
      </c>
      <c r="K5" s="11">
        <f t="shared" si="0"/>
        <v>155.07227944572301</v>
      </c>
      <c r="L5" s="11">
        <f t="shared" si="0"/>
        <v>118.63029377597812</v>
      </c>
    </row>
    <row r="6" spans="1:12" x14ac:dyDescent="0.25">
      <c r="A6" s="7">
        <v>5</v>
      </c>
      <c r="B6" s="7" t="s">
        <v>12</v>
      </c>
      <c r="C6" s="7" t="s">
        <v>17</v>
      </c>
      <c r="D6" s="7">
        <v>0.5</v>
      </c>
      <c r="E6" s="8">
        <f>'5'!F11</f>
        <v>128.58397609389084</v>
      </c>
      <c r="F6" s="8">
        <f>'5'!G11</f>
        <v>98.366741711826492</v>
      </c>
      <c r="G6" s="9">
        <f>'5'!H11</f>
        <v>0</v>
      </c>
      <c r="H6" s="9">
        <f>'5'!I11</f>
        <v>0</v>
      </c>
      <c r="I6" s="10">
        <f>'5'!J11</f>
        <v>3.94625</v>
      </c>
      <c r="J6" s="10">
        <f>'5'!K11</f>
        <v>3.0188812500000002</v>
      </c>
      <c r="K6" s="11">
        <f t="shared" si="0"/>
        <v>132.53022609389083</v>
      </c>
      <c r="L6" s="11">
        <f t="shared" si="0"/>
        <v>101.3856229618265</v>
      </c>
    </row>
    <row r="7" spans="1:12" x14ac:dyDescent="0.25">
      <c r="A7" s="7">
        <v>7</v>
      </c>
      <c r="B7" s="7" t="s">
        <v>18</v>
      </c>
      <c r="C7" s="7" t="s">
        <v>19</v>
      </c>
      <c r="D7" s="7">
        <v>0.35</v>
      </c>
      <c r="E7" s="8">
        <f>'7'!F11</f>
        <v>81.049748745807804</v>
      </c>
      <c r="F7" s="8">
        <f>'7'!G11</f>
        <v>62.003057790542968</v>
      </c>
      <c r="G7" s="9">
        <f>'7'!H11</f>
        <v>20.159292551191367</v>
      </c>
      <c r="H7" s="9">
        <f>'7'!I11</f>
        <v>15.421858801661395</v>
      </c>
      <c r="I7" s="10">
        <f>'7'!J11</f>
        <v>32.145960000000002</v>
      </c>
      <c r="J7" s="10">
        <f>'7'!K11</f>
        <v>24.591659400000001</v>
      </c>
      <c r="K7" s="11">
        <f t="shared" si="0"/>
        <v>133.35500129699918</v>
      </c>
      <c r="L7" s="11">
        <f t="shared" si="0"/>
        <v>102.01657599220437</v>
      </c>
    </row>
    <row r="8" spans="1:12" x14ac:dyDescent="0.25">
      <c r="A8" s="7">
        <v>9</v>
      </c>
      <c r="B8" s="7" t="s">
        <v>20</v>
      </c>
      <c r="C8" s="7" t="s">
        <v>21</v>
      </c>
      <c r="D8" s="7">
        <v>1.5</v>
      </c>
      <c r="E8" s="8">
        <f>'9'!F11</f>
        <v>529.02945522830714</v>
      </c>
      <c r="F8" s="8">
        <f>'9'!G11</f>
        <v>428.51385873492882</v>
      </c>
      <c r="G8" s="9">
        <f>'9'!H11</f>
        <v>0</v>
      </c>
      <c r="H8" s="9">
        <f>'9'!I11</f>
        <v>0</v>
      </c>
      <c r="I8" s="10">
        <f>'9'!J11</f>
        <v>47.442869999999999</v>
      </c>
      <c r="J8" s="10">
        <f>'9'!K11</f>
        <v>38.428724700000004</v>
      </c>
      <c r="K8" s="11">
        <f t="shared" si="0"/>
        <v>576.47232522830711</v>
      </c>
      <c r="L8" s="11">
        <f t="shared" si="0"/>
        <v>466.94258343492879</v>
      </c>
    </row>
    <row r="9" spans="1:12" x14ac:dyDescent="0.25">
      <c r="A9" s="7">
        <v>10</v>
      </c>
      <c r="B9" s="7" t="s">
        <v>22</v>
      </c>
      <c r="C9" s="7" t="s">
        <v>15</v>
      </c>
      <c r="D9" s="7">
        <v>0.05</v>
      </c>
      <c r="E9" s="8">
        <f>'10'!F11</f>
        <v>13.485905493771845</v>
      </c>
      <c r="F9" s="8">
        <f>'10'!G11</f>
        <v>10.923583449955196</v>
      </c>
      <c r="G9" s="9">
        <f>'10'!H11</f>
        <v>0</v>
      </c>
      <c r="H9" s="9">
        <f>'10'!I11</f>
        <v>0</v>
      </c>
      <c r="I9" s="10">
        <f>'10'!J11</f>
        <v>0</v>
      </c>
      <c r="J9" s="10">
        <f>'10'!K11</f>
        <v>0</v>
      </c>
      <c r="K9" s="11">
        <f t="shared" si="0"/>
        <v>13.485905493771845</v>
      </c>
      <c r="L9" s="11">
        <f t="shared" si="0"/>
        <v>10.923583449955196</v>
      </c>
    </row>
    <row r="10" spans="1:12" x14ac:dyDescent="0.25">
      <c r="A10" s="7">
        <v>11</v>
      </c>
      <c r="B10" s="7" t="s">
        <v>22</v>
      </c>
      <c r="C10" s="7" t="s">
        <v>23</v>
      </c>
      <c r="D10" s="7">
        <v>0.4</v>
      </c>
      <c r="E10" s="8">
        <f>'11'!F11</f>
        <v>150.50290527750658</v>
      </c>
      <c r="F10" s="8">
        <f>'11'!G11</f>
        <v>121.90735327478035</v>
      </c>
      <c r="G10" s="9">
        <f>'11'!H11</f>
        <v>3.3919281905231391</v>
      </c>
      <c r="H10" s="9">
        <f>'11'!I11</f>
        <v>2.7474618343237429</v>
      </c>
      <c r="I10" s="10">
        <f>'11'!J11</f>
        <v>11.711743999999999</v>
      </c>
      <c r="J10" s="10">
        <f>'11'!K11</f>
        <v>9.4865126400000008</v>
      </c>
      <c r="K10" s="11">
        <f t="shared" si="0"/>
        <v>165.60657746802974</v>
      </c>
      <c r="L10" s="11">
        <f t="shared" si="0"/>
        <v>134.14132774910411</v>
      </c>
    </row>
    <row r="17" spans="3:12" ht="45" x14ac:dyDescent="0.25">
      <c r="C17" s="12" t="s">
        <v>24</v>
      </c>
      <c r="D17" s="2" t="s">
        <v>3</v>
      </c>
      <c r="E17" s="3" t="s">
        <v>4</v>
      </c>
      <c r="F17" s="4" t="s">
        <v>5</v>
      </c>
      <c r="G17" s="5" t="s">
        <v>6</v>
      </c>
      <c r="H17" s="5" t="s">
        <v>7</v>
      </c>
      <c r="I17" s="6" t="s">
        <v>8</v>
      </c>
      <c r="J17" s="6" t="s">
        <v>9</v>
      </c>
      <c r="K17" s="1" t="s">
        <v>10</v>
      </c>
      <c r="L17" s="2" t="s">
        <v>11</v>
      </c>
    </row>
    <row r="18" spans="3:12" x14ac:dyDescent="0.25">
      <c r="C18" s="12" t="s">
        <v>25</v>
      </c>
      <c r="D18" s="13">
        <f>SUM(D2:D10)</f>
        <v>5.65</v>
      </c>
      <c r="E18" s="11">
        <f t="shared" ref="E18:L18" si="1">SUM(E2:E10)</f>
        <v>1759.1736316393333</v>
      </c>
      <c r="F18" s="11">
        <f t="shared" si="1"/>
        <v>1376.9536501740713</v>
      </c>
      <c r="G18" s="11">
        <f t="shared" si="1"/>
        <v>41.246357516983402</v>
      </c>
      <c r="H18" s="11">
        <f t="shared" si="1"/>
        <v>31.706100269065846</v>
      </c>
      <c r="I18" s="11">
        <f t="shared" si="1"/>
        <v>162.10845200000003</v>
      </c>
      <c r="J18" s="11">
        <f t="shared" si="1"/>
        <v>126.67492341000001</v>
      </c>
      <c r="K18" s="11">
        <f t="shared" si="1"/>
        <v>1962.5284411563161</v>
      </c>
      <c r="L18" s="11">
        <f t="shared" si="1"/>
        <v>1535.3346738531368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K5" sqref="K5"/>
    </sheetView>
  </sheetViews>
  <sheetFormatPr baseColWidth="10" defaultRowHeight="15" x14ac:dyDescent="0.25"/>
  <cols>
    <col min="1" max="1" width="33.42578125" bestFit="1" customWidth="1"/>
    <col min="9" max="9" width="12.42578125" customWidth="1"/>
    <col min="11" max="11" width="15.140625" customWidth="1"/>
  </cols>
  <sheetData>
    <row r="1" spans="1:13" ht="15" customHeight="1" x14ac:dyDescent="0.25">
      <c r="A1" s="14"/>
      <c r="B1" s="46" t="s">
        <v>26</v>
      </c>
      <c r="C1" s="46"/>
      <c r="D1" s="46"/>
      <c r="E1" s="46"/>
      <c r="F1" s="47" t="s">
        <v>27</v>
      </c>
      <c r="G1" s="49" t="s">
        <v>28</v>
      </c>
      <c r="H1" s="42" t="s">
        <v>29</v>
      </c>
      <c r="I1" s="51" t="s">
        <v>30</v>
      </c>
      <c r="J1" s="52" t="s">
        <v>31</v>
      </c>
      <c r="K1" s="42" t="s">
        <v>32</v>
      </c>
      <c r="L1" s="43" t="s">
        <v>33</v>
      </c>
      <c r="M1" s="44" t="s">
        <v>34</v>
      </c>
    </row>
    <row r="2" spans="1:13" x14ac:dyDescent="0.25">
      <c r="A2" s="14"/>
      <c r="B2" s="15" t="s">
        <v>35</v>
      </c>
      <c r="C2" s="15" t="s">
        <v>36</v>
      </c>
      <c r="D2" s="15" t="s">
        <v>37</v>
      </c>
      <c r="E2" s="15" t="s">
        <v>38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6" t="s">
        <v>50</v>
      </c>
      <c r="B3" s="17">
        <f>'[9]Tableau calculs'!$V$7</f>
        <v>378.01836569956606</v>
      </c>
      <c r="C3" s="18">
        <v>0</v>
      </c>
      <c r="D3" s="17">
        <v>37</v>
      </c>
      <c r="E3" s="18">
        <v>0</v>
      </c>
      <c r="F3" s="19">
        <f>'[9]Tableau calculs'!$V$15</f>
        <v>70.665170635898733</v>
      </c>
      <c r="G3" s="20">
        <f>'[9]Tableau calculs'!$V$14</f>
        <v>135.828</v>
      </c>
      <c r="H3" s="21">
        <f>SUM(B3:G3)</f>
        <v>621.51153633546483</v>
      </c>
      <c r="I3" s="22">
        <v>0.1</v>
      </c>
      <c r="J3" s="23">
        <v>0.1</v>
      </c>
      <c r="K3" s="16">
        <f>0.12*0.4</f>
        <v>4.8000000000000001E-2</v>
      </c>
      <c r="L3" s="24">
        <f>H3*(100%-I3)*(100%-J3)*K3</f>
        <v>24.164368532722875</v>
      </c>
      <c r="M3" s="25">
        <f>H3*K3</f>
        <v>29.832553744102313</v>
      </c>
    </row>
    <row r="4" spans="1:13" x14ac:dyDescent="0.25">
      <c r="A4" s="16" t="s">
        <v>40</v>
      </c>
      <c r="B4" s="17">
        <f>[7]Calcul!$O$7</f>
        <v>334.30499163994523</v>
      </c>
      <c r="C4" s="18">
        <v>0</v>
      </c>
      <c r="D4" s="17">
        <f>[7]Calcul!$O$9</f>
        <v>36.666666666666664</v>
      </c>
      <c r="E4" s="18">
        <v>0</v>
      </c>
      <c r="F4" s="19">
        <f>[7]Calcul!$O$15</f>
        <v>0</v>
      </c>
      <c r="G4" s="20">
        <f>[7]Calcul!$O$14</f>
        <v>14.75</v>
      </c>
      <c r="H4" s="21">
        <f>SUM(B4:G4)</f>
        <v>385.72165830661191</v>
      </c>
      <c r="I4" s="22">
        <v>0.1</v>
      </c>
      <c r="J4" s="22">
        <v>0.1</v>
      </c>
      <c r="K4" s="16">
        <f>0.88*0.4</f>
        <v>0.35200000000000004</v>
      </c>
      <c r="L4" s="24">
        <f>H4*(100%-I4)*(100%-J4)*K4</f>
        <v>109.9769592163812</v>
      </c>
      <c r="M4" s="25">
        <f>H4*K4</f>
        <v>135.7740237239274</v>
      </c>
    </row>
    <row r="5" spans="1:13" x14ac:dyDescent="0.25">
      <c r="A5" s="7" t="s">
        <v>41</v>
      </c>
      <c r="B5" s="21">
        <f>B3+B4</f>
        <v>712.32335733951129</v>
      </c>
      <c r="C5" s="21">
        <f t="shared" ref="C5:H5" si="0">C3+C4</f>
        <v>0</v>
      </c>
      <c r="D5" s="21">
        <f t="shared" si="0"/>
        <v>73.666666666666657</v>
      </c>
      <c r="E5" s="21">
        <f t="shared" si="0"/>
        <v>0</v>
      </c>
      <c r="F5" s="21">
        <f t="shared" si="0"/>
        <v>70.665170635898733</v>
      </c>
      <c r="G5" s="21">
        <f t="shared" si="0"/>
        <v>150.578</v>
      </c>
      <c r="H5" s="21">
        <f t="shared" si="0"/>
        <v>1007.2331946420768</v>
      </c>
      <c r="I5" s="14"/>
      <c r="J5" s="14"/>
      <c r="K5" s="26" t="s">
        <v>42</v>
      </c>
      <c r="L5" s="27">
        <f>SUM(L3:L4)</f>
        <v>134.14132774910408</v>
      </c>
      <c r="M5" s="28">
        <f>SUM(M3:M4)</f>
        <v>165.60657746802971</v>
      </c>
    </row>
    <row r="6" spans="1:13" x14ac:dyDescent="0.25">
      <c r="B6" s="29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x14ac:dyDescent="0.25">
      <c r="A7" s="14"/>
      <c r="B7" s="30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x14ac:dyDescent="0.25">
      <c r="A8" s="14"/>
      <c r="B8" s="30"/>
      <c r="D8" s="14"/>
      <c r="E8" s="14"/>
      <c r="F8" s="14"/>
      <c r="G8" s="14"/>
      <c r="H8" s="14"/>
      <c r="I8" s="14"/>
      <c r="J8" s="14"/>
      <c r="K8" s="14"/>
      <c r="L8" s="14"/>
    </row>
    <row r="9" spans="1:13" x14ac:dyDescent="0.25">
      <c r="A9" s="14"/>
      <c r="B9" s="30"/>
      <c r="D9" s="14"/>
      <c r="E9" s="14"/>
      <c r="F9" s="14"/>
      <c r="G9" s="14"/>
      <c r="H9" s="14"/>
      <c r="I9" s="14"/>
      <c r="J9" s="14"/>
      <c r="K9" s="14"/>
      <c r="L9" s="14"/>
    </row>
    <row r="10" spans="1:13" ht="30" x14ac:dyDescent="0.25">
      <c r="A10" s="14"/>
      <c r="B10" s="30" t="s">
        <v>43</v>
      </c>
      <c r="D10" s="14"/>
      <c r="E10" s="14"/>
      <c r="F10" s="18" t="s">
        <v>4</v>
      </c>
      <c r="G10" s="31" t="s">
        <v>44</v>
      </c>
      <c r="H10" s="19" t="s">
        <v>45</v>
      </c>
      <c r="I10" s="32" t="s">
        <v>46</v>
      </c>
      <c r="J10" s="33" t="s">
        <v>47</v>
      </c>
      <c r="K10" s="34" t="s">
        <v>48</v>
      </c>
      <c r="L10" s="16" t="s">
        <v>10</v>
      </c>
      <c r="M10" s="35" t="s">
        <v>49</v>
      </c>
    </row>
    <row r="11" spans="1:13" x14ac:dyDescent="0.25">
      <c r="A11" s="14"/>
      <c r="B11" s="36">
        <f>(100%-I3)*(100%-J3)</f>
        <v>0.81</v>
      </c>
      <c r="D11" s="14"/>
      <c r="E11" s="14"/>
      <c r="F11" s="17">
        <f>(B3+D3)*K3+(B4+D4)*K4</f>
        <v>150.50290527750658</v>
      </c>
      <c r="G11" s="17">
        <f>F11*B11</f>
        <v>121.90735327478035</v>
      </c>
      <c r="H11" s="19">
        <f>F3*K3</f>
        <v>3.3919281905231391</v>
      </c>
      <c r="I11" s="19">
        <f>H11*B11</f>
        <v>2.7474618343237429</v>
      </c>
      <c r="J11" s="37">
        <f>G3*K3+G4*K4</f>
        <v>11.711743999999999</v>
      </c>
      <c r="K11" s="37">
        <f>B11*J11</f>
        <v>9.4865126400000008</v>
      </c>
      <c r="L11" s="21">
        <f>F11+H11+J11</f>
        <v>165.60657746802974</v>
      </c>
      <c r="M11" s="11">
        <f>B11*L11</f>
        <v>134.14132774910411</v>
      </c>
    </row>
    <row r="12" spans="1:13" x14ac:dyDescent="0.25">
      <c r="A12" s="14"/>
      <c r="B12" s="39"/>
      <c r="D12" s="14"/>
      <c r="E12" s="14"/>
      <c r="F12" s="14"/>
      <c r="G12" s="14"/>
      <c r="H12" s="14"/>
      <c r="I12" s="14"/>
      <c r="J12" s="14"/>
      <c r="K12" s="14"/>
      <c r="L12" s="14"/>
    </row>
    <row r="13" spans="1:13" x14ac:dyDescent="0.25">
      <c r="A13" s="40"/>
      <c r="B13" s="41"/>
      <c r="E13" s="14"/>
    </row>
    <row r="14" spans="1:13" x14ac:dyDescent="0.25">
      <c r="E14" s="14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2" sqref="F12"/>
    </sheetView>
  </sheetViews>
  <sheetFormatPr baseColWidth="10" defaultRowHeight="15" x14ac:dyDescent="0.25"/>
  <cols>
    <col min="1" max="1" width="34" bestFit="1" customWidth="1"/>
    <col min="2" max="2" width="10.57031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42578125" bestFit="1" customWidth="1"/>
    <col min="7" max="7" width="15" bestFit="1" customWidth="1"/>
    <col min="8" max="8" width="13.140625" bestFit="1" customWidth="1"/>
    <col min="9" max="9" width="16.85546875" bestFit="1" customWidth="1"/>
    <col min="10" max="10" width="16.7109375" customWidth="1"/>
    <col min="11" max="11" width="15.140625" customWidth="1"/>
    <col min="12" max="12" width="11.5703125" bestFit="1" customWidth="1"/>
    <col min="13" max="13" width="10.5703125" bestFit="1" customWidth="1"/>
  </cols>
  <sheetData>
    <row r="1" spans="1:13" ht="15" customHeight="1" x14ac:dyDescent="0.25">
      <c r="A1" s="14"/>
      <c r="B1" s="46" t="s">
        <v>26</v>
      </c>
      <c r="C1" s="46"/>
      <c r="D1" s="46"/>
      <c r="E1" s="46"/>
      <c r="F1" s="47" t="s">
        <v>27</v>
      </c>
      <c r="G1" s="49" t="s">
        <v>28</v>
      </c>
      <c r="H1" s="42" t="s">
        <v>29</v>
      </c>
      <c r="I1" s="51" t="s">
        <v>30</v>
      </c>
      <c r="J1" s="52" t="s">
        <v>31</v>
      </c>
      <c r="K1" s="42" t="s">
        <v>32</v>
      </c>
      <c r="L1" s="43" t="s">
        <v>33</v>
      </c>
      <c r="M1" s="44" t="s">
        <v>34</v>
      </c>
    </row>
    <row r="2" spans="1:13" x14ac:dyDescent="0.25">
      <c r="A2" s="14"/>
      <c r="B2" s="15" t="s">
        <v>35</v>
      </c>
      <c r="C2" s="15" t="s">
        <v>36</v>
      </c>
      <c r="D2" s="15" t="s">
        <v>37</v>
      </c>
      <c r="E2" s="15" t="s">
        <v>38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6" t="s">
        <v>39</v>
      </c>
      <c r="B3" s="17">
        <f>'[1]Tableau calculs'!$P$7</f>
        <v>194.57071070230802</v>
      </c>
      <c r="C3" s="18">
        <v>0</v>
      </c>
      <c r="D3" s="17">
        <v>37</v>
      </c>
      <c r="E3" s="18">
        <v>0</v>
      </c>
      <c r="F3" s="19">
        <f>'[1]Tableau calculs'!$P$15</f>
        <v>57.597978717689628</v>
      </c>
      <c r="G3" s="20">
        <f>'[1]Tableau calculs'!$P$14</f>
        <v>91.845600000000005</v>
      </c>
      <c r="H3" s="21">
        <f>SUM(B3:G3)</f>
        <v>381.01428941999762</v>
      </c>
      <c r="I3" s="22">
        <v>0.1</v>
      </c>
      <c r="J3" s="23">
        <v>0.15</v>
      </c>
      <c r="K3" s="16">
        <f>0.2*0.8</f>
        <v>0.16000000000000003</v>
      </c>
      <c r="L3" s="24">
        <f>H3*(100%-I3)*(100%-J3)*K3</f>
        <v>46.636149025007718</v>
      </c>
      <c r="M3" s="25">
        <f>H3*K3</f>
        <v>60.962286307199633</v>
      </c>
    </row>
    <row r="4" spans="1:13" x14ac:dyDescent="0.25">
      <c r="A4" s="16" t="s">
        <v>40</v>
      </c>
      <c r="B4" s="17">
        <f>[2]Calcul!$M$7</f>
        <v>349.55278676442265</v>
      </c>
      <c r="C4" s="18">
        <v>0</v>
      </c>
      <c r="D4" s="17">
        <f>[2]Calcul!$M$9</f>
        <v>36.666666666666664</v>
      </c>
      <c r="E4" s="18">
        <v>0</v>
      </c>
      <c r="F4" s="19">
        <f>[2]Calcul!$M$15</f>
        <v>0</v>
      </c>
      <c r="G4" s="20">
        <f>[2]Calcul!$M$14</f>
        <v>14.75</v>
      </c>
      <c r="H4" s="21">
        <f>SUM(B4:G4)</f>
        <v>400.96945343108933</v>
      </c>
      <c r="I4" s="22">
        <v>0.1</v>
      </c>
      <c r="J4" s="22">
        <v>0.15</v>
      </c>
      <c r="K4" s="16">
        <f>0.8*0.8</f>
        <v>0.64000000000000012</v>
      </c>
      <c r="L4" s="24">
        <f>H4*(100%-I4)*(100%-J4)*K4</f>
        <v>196.31464439986138</v>
      </c>
      <c r="M4" s="25">
        <f>H4*K4</f>
        <v>256.62045019589721</v>
      </c>
    </row>
    <row r="5" spans="1:13" x14ac:dyDescent="0.25">
      <c r="A5" s="7" t="s">
        <v>41</v>
      </c>
      <c r="B5" s="21">
        <f>B3+B4</f>
        <v>544.12349746673067</v>
      </c>
      <c r="C5" s="21">
        <f t="shared" ref="C5:H5" si="0">C3+C4</f>
        <v>0</v>
      </c>
      <c r="D5" s="21">
        <f t="shared" si="0"/>
        <v>73.666666666666657</v>
      </c>
      <c r="E5" s="21">
        <f t="shared" si="0"/>
        <v>0</v>
      </c>
      <c r="F5" s="21">
        <f t="shared" si="0"/>
        <v>57.597978717689628</v>
      </c>
      <c r="G5" s="21">
        <f t="shared" si="0"/>
        <v>106.5956</v>
      </c>
      <c r="H5" s="21">
        <f t="shared" si="0"/>
        <v>781.98374285108696</v>
      </c>
      <c r="I5" s="14"/>
      <c r="J5" s="14"/>
      <c r="K5" s="26" t="s">
        <v>42</v>
      </c>
      <c r="L5" s="27">
        <f>SUM(L3:L4)</f>
        <v>242.95079342486909</v>
      </c>
      <c r="M5" s="28">
        <f>SUM(M3:M4)</f>
        <v>317.58273650309684</v>
      </c>
    </row>
    <row r="6" spans="1:13" x14ac:dyDescent="0.25">
      <c r="B6" s="29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x14ac:dyDescent="0.25">
      <c r="A7" s="14"/>
      <c r="B7" s="30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x14ac:dyDescent="0.25">
      <c r="A8" s="14"/>
      <c r="B8" s="30"/>
      <c r="D8" s="14"/>
      <c r="E8" s="14"/>
      <c r="F8" s="14"/>
      <c r="G8" s="14"/>
      <c r="H8" s="14"/>
      <c r="I8" s="14"/>
      <c r="J8" s="14"/>
      <c r="K8" s="14"/>
      <c r="L8" s="14"/>
    </row>
    <row r="9" spans="1:13" x14ac:dyDescent="0.25">
      <c r="A9" s="14"/>
      <c r="B9" s="30"/>
      <c r="D9" s="14"/>
      <c r="E9" s="14"/>
      <c r="F9" s="14"/>
      <c r="G9" s="14"/>
      <c r="H9" s="14"/>
      <c r="I9" s="14"/>
      <c r="J9" s="14"/>
      <c r="K9" s="14"/>
      <c r="L9" s="14"/>
    </row>
    <row r="10" spans="1:13" ht="30" x14ac:dyDescent="0.25">
      <c r="A10" s="14"/>
      <c r="B10" s="30" t="s">
        <v>43</v>
      </c>
      <c r="D10" s="14"/>
      <c r="E10" s="14"/>
      <c r="F10" s="18" t="s">
        <v>4</v>
      </c>
      <c r="G10" s="31" t="s">
        <v>44</v>
      </c>
      <c r="H10" s="19" t="s">
        <v>45</v>
      </c>
      <c r="I10" s="32" t="s">
        <v>46</v>
      </c>
      <c r="J10" s="33" t="s">
        <v>47</v>
      </c>
      <c r="K10" s="34" t="s">
        <v>48</v>
      </c>
      <c r="L10" s="16" t="s">
        <v>10</v>
      </c>
      <c r="M10" s="35" t="s">
        <v>49</v>
      </c>
    </row>
    <row r="11" spans="1:13" x14ac:dyDescent="0.25">
      <c r="A11" s="14"/>
      <c r="B11" s="36">
        <f>(100%-I3)*(100%-J3)</f>
        <v>0.76500000000000001</v>
      </c>
      <c r="D11" s="14"/>
      <c r="E11" s="14"/>
      <c r="F11" s="17">
        <f>(B3+D3)*K3+(B4+D4)*K4</f>
        <v>284.23176390826649</v>
      </c>
      <c r="G11" s="17">
        <f>F11*B11</f>
        <v>217.43729938982386</v>
      </c>
      <c r="H11" s="19">
        <f>F3*K3</f>
        <v>9.2156765948303416</v>
      </c>
      <c r="I11" s="19">
        <f>H11*B11</f>
        <v>7.0499925950452118</v>
      </c>
      <c r="J11" s="37">
        <f>G3*K3+G4*K4</f>
        <v>24.135296000000004</v>
      </c>
      <c r="K11" s="37">
        <f>B11*J11</f>
        <v>18.463501440000002</v>
      </c>
      <c r="L11" s="21">
        <f>F11+H11+J11</f>
        <v>317.58273650309678</v>
      </c>
      <c r="M11" s="38">
        <f>B11*L11</f>
        <v>242.95079342486903</v>
      </c>
    </row>
    <row r="12" spans="1:13" x14ac:dyDescent="0.25">
      <c r="A12" s="14"/>
      <c r="B12" s="39"/>
      <c r="D12" s="14"/>
      <c r="E12" s="14"/>
      <c r="F12" s="14"/>
      <c r="G12" s="14"/>
      <c r="H12" s="14"/>
      <c r="I12" s="14"/>
      <c r="J12" s="14"/>
      <c r="K12" s="14"/>
      <c r="L12" s="14"/>
    </row>
    <row r="13" spans="1:13" x14ac:dyDescent="0.25">
      <c r="A13" s="40"/>
      <c r="B13" s="41"/>
      <c r="E13" s="14"/>
    </row>
    <row r="14" spans="1:13" x14ac:dyDescent="0.25">
      <c r="E14" s="14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H3" sqref="H3"/>
    </sheetView>
  </sheetViews>
  <sheetFormatPr baseColWidth="10" defaultRowHeight="15" x14ac:dyDescent="0.25"/>
  <cols>
    <col min="1" max="1" width="33.42578125" bestFit="1" customWidth="1"/>
    <col min="8" max="8" width="13" bestFit="1" customWidth="1"/>
    <col min="9" max="9" width="16.140625" bestFit="1" customWidth="1"/>
    <col min="11" max="11" width="21" bestFit="1" customWidth="1"/>
  </cols>
  <sheetData>
    <row r="1" spans="1:14" ht="15" customHeight="1" x14ac:dyDescent="0.25">
      <c r="A1" s="14"/>
      <c r="B1" s="46" t="s">
        <v>26</v>
      </c>
      <c r="C1" s="46"/>
      <c r="D1" s="46"/>
      <c r="E1" s="46"/>
      <c r="F1" s="47" t="s">
        <v>27</v>
      </c>
      <c r="G1" s="49" t="s">
        <v>28</v>
      </c>
      <c r="H1" s="42" t="s">
        <v>29</v>
      </c>
      <c r="I1" s="51" t="s">
        <v>30</v>
      </c>
      <c r="J1" s="52" t="s">
        <v>31</v>
      </c>
      <c r="K1" s="42" t="s">
        <v>32</v>
      </c>
      <c r="L1" s="43" t="s">
        <v>33</v>
      </c>
      <c r="M1" s="44" t="s">
        <v>34</v>
      </c>
    </row>
    <row r="2" spans="1:14" x14ac:dyDescent="0.25">
      <c r="A2" s="14"/>
      <c r="B2" s="15" t="s">
        <v>35</v>
      </c>
      <c r="C2" s="15" t="s">
        <v>36</v>
      </c>
      <c r="D2" s="15" t="s">
        <v>37</v>
      </c>
      <c r="E2" s="15" t="s">
        <v>38</v>
      </c>
      <c r="F2" s="48"/>
      <c r="G2" s="50"/>
      <c r="H2" s="42"/>
      <c r="I2" s="51"/>
      <c r="J2" s="53"/>
      <c r="K2" s="42"/>
      <c r="L2" s="43"/>
      <c r="M2" s="45"/>
    </row>
    <row r="3" spans="1:14" x14ac:dyDescent="0.25">
      <c r="A3" s="16" t="s">
        <v>50</v>
      </c>
      <c r="B3" s="17">
        <f>'[3]Tableau calculs'!$T$7</f>
        <v>382.44778287820918</v>
      </c>
      <c r="C3" s="18">
        <v>0</v>
      </c>
      <c r="D3" s="17">
        <v>37</v>
      </c>
      <c r="E3" s="18">
        <v>0</v>
      </c>
      <c r="F3" s="19">
        <f>'[3]Tableau calculs'!$T$15</f>
        <v>70.662168170321308</v>
      </c>
      <c r="G3" s="20">
        <f>'[3]Tableau calculs'!$T$14</f>
        <v>135.828</v>
      </c>
      <c r="H3" s="21">
        <f>SUM(B3:G3)</f>
        <v>625.93795104853052</v>
      </c>
      <c r="I3" s="22">
        <v>0.1</v>
      </c>
      <c r="J3" s="23">
        <v>0.15</v>
      </c>
      <c r="K3" s="16">
        <f>0.12</f>
        <v>0.12</v>
      </c>
      <c r="L3" s="24">
        <f>H3*(100%-I3)*(100%-J3)*K3</f>
        <v>57.461103906255104</v>
      </c>
      <c r="M3" s="25">
        <f>H3*K3</f>
        <v>75.112554125823664</v>
      </c>
    </row>
    <row r="4" spans="1:14" x14ac:dyDescent="0.25">
      <c r="A4" s="16" t="s">
        <v>40</v>
      </c>
      <c r="B4" s="17">
        <f>[2]Calcul!$M$7</f>
        <v>349.55278676442265</v>
      </c>
      <c r="C4" s="18">
        <v>0</v>
      </c>
      <c r="D4" s="17">
        <f>[2]Calcul!$M$9</f>
        <v>36.666666666666664</v>
      </c>
      <c r="E4" s="18">
        <v>0</v>
      </c>
      <c r="F4" s="19">
        <f>[2]Calcul!$M$15</f>
        <v>0</v>
      </c>
      <c r="G4" s="20">
        <f>[2]Calcul!$M$14</f>
        <v>14.75</v>
      </c>
      <c r="H4" s="21">
        <f>SUM(B4:G4)</f>
        <v>400.96945343108933</v>
      </c>
      <c r="I4" s="22">
        <v>0.1</v>
      </c>
      <c r="J4" s="22">
        <v>0.15</v>
      </c>
      <c r="K4" s="16">
        <v>0.88</v>
      </c>
      <c r="L4" s="24">
        <f>H4*(100%-I4)*(100%-J4)*K4</f>
        <v>269.93263604980939</v>
      </c>
      <c r="M4" s="25">
        <f>H4*K4</f>
        <v>352.85311901935864</v>
      </c>
    </row>
    <row r="5" spans="1:14" x14ac:dyDescent="0.25">
      <c r="A5" s="7" t="s">
        <v>41</v>
      </c>
      <c r="B5" s="21">
        <f>B3+B4</f>
        <v>732.00056964263183</v>
      </c>
      <c r="C5" s="21">
        <f t="shared" ref="C5:H5" si="0">C3+C4</f>
        <v>0</v>
      </c>
      <c r="D5" s="21">
        <f t="shared" si="0"/>
        <v>73.666666666666657</v>
      </c>
      <c r="E5" s="21">
        <f t="shared" si="0"/>
        <v>0</v>
      </c>
      <c r="F5" s="21">
        <f t="shared" si="0"/>
        <v>70.662168170321308</v>
      </c>
      <c r="G5" s="21">
        <f t="shared" si="0"/>
        <v>150.578</v>
      </c>
      <c r="H5" s="21">
        <f t="shared" si="0"/>
        <v>1026.9074044796198</v>
      </c>
      <c r="I5" s="14"/>
      <c r="J5" s="14"/>
      <c r="K5" s="14"/>
      <c r="L5" s="26" t="s">
        <v>42</v>
      </c>
      <c r="M5" s="27">
        <f>SUM(L3:L4)</f>
        <v>327.39373995606451</v>
      </c>
      <c r="N5" s="28">
        <f>SUM(M3:M4)</f>
        <v>427.96567314518234</v>
      </c>
    </row>
    <row r="6" spans="1:14" x14ac:dyDescent="0.25">
      <c r="B6" s="29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4" x14ac:dyDescent="0.25">
      <c r="A7" s="14"/>
      <c r="B7" s="30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4" x14ac:dyDescent="0.25">
      <c r="A8" s="14"/>
      <c r="B8" s="30"/>
      <c r="D8" s="14"/>
      <c r="E8" s="14"/>
      <c r="F8" s="14"/>
      <c r="G8" s="14"/>
      <c r="H8" s="14"/>
      <c r="I8" s="14"/>
      <c r="J8" s="14"/>
      <c r="K8" s="14"/>
      <c r="L8" s="14"/>
    </row>
    <row r="9" spans="1:14" x14ac:dyDescent="0.25">
      <c r="A9" s="14"/>
      <c r="B9" s="30"/>
      <c r="D9" s="14"/>
      <c r="E9" s="14"/>
      <c r="F9" s="14"/>
      <c r="G9" s="14"/>
      <c r="H9" s="14"/>
      <c r="I9" s="14"/>
      <c r="J9" s="14"/>
      <c r="K9" s="14"/>
      <c r="L9" s="14"/>
    </row>
    <row r="10" spans="1:14" ht="30" x14ac:dyDescent="0.25">
      <c r="A10" s="14"/>
      <c r="B10" s="30" t="s">
        <v>43</v>
      </c>
      <c r="D10" s="14"/>
      <c r="E10" s="14"/>
      <c r="F10" s="18" t="s">
        <v>4</v>
      </c>
      <c r="G10" s="31" t="s">
        <v>44</v>
      </c>
      <c r="H10" s="19" t="s">
        <v>45</v>
      </c>
      <c r="I10" s="32" t="s">
        <v>46</v>
      </c>
      <c r="J10" s="33" t="s">
        <v>47</v>
      </c>
      <c r="K10" s="34" t="s">
        <v>48</v>
      </c>
      <c r="L10" s="16" t="s">
        <v>10</v>
      </c>
      <c r="M10" s="35" t="s">
        <v>49</v>
      </c>
    </row>
    <row r="11" spans="1:14" x14ac:dyDescent="0.25">
      <c r="A11" s="14"/>
      <c r="B11" s="36">
        <f>(100%-I3)*(100%-J3)</f>
        <v>0.76500000000000001</v>
      </c>
      <c r="D11" s="14"/>
      <c r="E11" s="14"/>
      <c r="F11" s="17">
        <f>(B3+D3)*K3+(B4+D4)*K4</f>
        <v>390.20685296474375</v>
      </c>
      <c r="G11" s="17">
        <f>F11*B11</f>
        <v>298.50824251802896</v>
      </c>
      <c r="H11" s="19">
        <f>F3*K3</f>
        <v>8.4794601804385561</v>
      </c>
      <c r="I11" s="19">
        <f>H11*B11</f>
        <v>6.4867870380354953</v>
      </c>
      <c r="J11" s="37">
        <f>G3*K3+G4*K4</f>
        <v>29.27936</v>
      </c>
      <c r="K11" s="37">
        <f>B11*J11</f>
        <v>22.398710400000002</v>
      </c>
      <c r="L11" s="21">
        <f>F11+H11+J11</f>
        <v>427.96567314518228</v>
      </c>
      <c r="M11" s="11">
        <f>B11*L11</f>
        <v>327.39373995606445</v>
      </c>
    </row>
    <row r="12" spans="1:14" x14ac:dyDescent="0.25">
      <c r="A12" s="14"/>
      <c r="B12" s="39"/>
      <c r="D12" s="14"/>
      <c r="E12" s="14"/>
      <c r="F12" s="14"/>
      <c r="G12" s="14"/>
      <c r="H12" s="14"/>
      <c r="I12" s="14"/>
      <c r="J12" s="14"/>
      <c r="K12" s="14"/>
      <c r="L12" s="14"/>
    </row>
    <row r="13" spans="1:14" x14ac:dyDescent="0.25">
      <c r="A13" s="40"/>
      <c r="B13" s="41"/>
      <c r="E13" s="14"/>
    </row>
    <row r="14" spans="1:14" x14ac:dyDescent="0.25">
      <c r="E14" s="14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F1" workbookViewId="0">
      <selection activeCell="M3" sqref="M3"/>
    </sheetView>
  </sheetViews>
  <sheetFormatPr baseColWidth="10" defaultRowHeight="15" x14ac:dyDescent="0.25"/>
  <cols>
    <col min="1" max="1" width="15.140625" bestFit="1" customWidth="1"/>
    <col min="8" max="8" width="13" bestFit="1" customWidth="1"/>
    <col min="9" max="9" width="12.42578125" customWidth="1"/>
    <col min="11" max="11" width="15.28515625" customWidth="1"/>
  </cols>
  <sheetData>
    <row r="1" spans="1:13" ht="15" customHeight="1" x14ac:dyDescent="0.25">
      <c r="A1" s="14"/>
      <c r="B1" s="46" t="s">
        <v>26</v>
      </c>
      <c r="C1" s="46"/>
      <c r="D1" s="46"/>
      <c r="E1" s="46"/>
      <c r="F1" s="47" t="s">
        <v>27</v>
      </c>
      <c r="G1" s="49" t="s">
        <v>28</v>
      </c>
      <c r="H1" s="42" t="s">
        <v>29</v>
      </c>
      <c r="I1" s="51" t="s">
        <v>30</v>
      </c>
      <c r="J1" s="52" t="s">
        <v>31</v>
      </c>
      <c r="K1" s="42" t="s">
        <v>32</v>
      </c>
      <c r="L1" s="43" t="s">
        <v>33</v>
      </c>
      <c r="M1" s="44" t="s">
        <v>34</v>
      </c>
    </row>
    <row r="2" spans="1:13" x14ac:dyDescent="0.25">
      <c r="A2" s="14"/>
      <c r="B2" s="15" t="s">
        <v>35</v>
      </c>
      <c r="C2" s="15" t="s">
        <v>36</v>
      </c>
      <c r="D2" s="15" t="s">
        <v>37</v>
      </c>
      <c r="E2" s="15" t="s">
        <v>38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6" t="s">
        <v>51</v>
      </c>
      <c r="B3" s="17">
        <f>[4]Calcul!$M$7</f>
        <v>232.71810987543691</v>
      </c>
      <c r="C3" s="18">
        <v>0</v>
      </c>
      <c r="D3" s="17">
        <v>37</v>
      </c>
      <c r="E3" s="18">
        <v>0</v>
      </c>
      <c r="F3" s="19">
        <f>[4]Calcul!$M$15</f>
        <v>0</v>
      </c>
      <c r="G3" s="20">
        <f>[4]Calcul!$M$14</f>
        <v>0</v>
      </c>
      <c r="H3" s="21">
        <f>SUM(B3:G3)</f>
        <v>269.71810987543688</v>
      </c>
      <c r="I3" s="22">
        <v>0.1</v>
      </c>
      <c r="J3" s="23">
        <v>0.15</v>
      </c>
      <c r="K3" s="16">
        <v>0.15</v>
      </c>
      <c r="L3" s="24">
        <f>H3*(100%-I3)*(100%-J3)*K3</f>
        <v>30.950153108206383</v>
      </c>
      <c r="M3" s="25">
        <f>H3*K3</f>
        <v>40.457716481315529</v>
      </c>
    </row>
    <row r="6" spans="1:13" x14ac:dyDescent="0.25">
      <c r="B6" s="30"/>
    </row>
    <row r="7" spans="1:13" x14ac:dyDescent="0.25">
      <c r="A7" s="14"/>
      <c r="B7" s="30"/>
    </row>
    <row r="8" spans="1:13" x14ac:dyDescent="0.25">
      <c r="A8" s="14"/>
      <c r="B8" s="30"/>
    </row>
    <row r="9" spans="1:13" x14ac:dyDescent="0.25">
      <c r="A9" s="14"/>
      <c r="B9" s="30"/>
    </row>
    <row r="10" spans="1:13" ht="30" x14ac:dyDescent="0.25">
      <c r="A10" s="14"/>
      <c r="B10" s="30" t="s">
        <v>43</v>
      </c>
      <c r="D10" s="14"/>
      <c r="E10" s="14"/>
      <c r="F10" s="18" t="s">
        <v>4</v>
      </c>
      <c r="G10" s="31" t="s">
        <v>44</v>
      </c>
      <c r="H10" s="19" t="s">
        <v>45</v>
      </c>
      <c r="I10" s="32" t="s">
        <v>46</v>
      </c>
      <c r="J10" s="33" t="s">
        <v>47</v>
      </c>
      <c r="K10" s="34" t="s">
        <v>48</v>
      </c>
      <c r="L10" s="16" t="s">
        <v>10</v>
      </c>
      <c r="M10" s="35" t="s">
        <v>49</v>
      </c>
    </row>
    <row r="11" spans="1:13" x14ac:dyDescent="0.25">
      <c r="A11" s="14"/>
      <c r="B11" s="36">
        <f>(100%-I3)*(100%-J3)</f>
        <v>0.76500000000000001</v>
      </c>
      <c r="D11" s="14"/>
      <c r="E11" s="14"/>
      <c r="F11" s="17">
        <f>(B3+D3)*K3+(B4+D4)*L4</f>
        <v>40.457716481315529</v>
      </c>
      <c r="G11" s="17">
        <f>F11*B11</f>
        <v>30.950153108206379</v>
      </c>
      <c r="H11" s="19">
        <f>F3*K3</f>
        <v>0</v>
      </c>
      <c r="I11" s="19">
        <f>H11*B11</f>
        <v>0</v>
      </c>
      <c r="J11" s="37">
        <f>G3*K3+G4*L4</f>
        <v>0</v>
      </c>
      <c r="K11" s="37">
        <f>B11*J11</f>
        <v>0</v>
      </c>
      <c r="L11" s="21">
        <f>F11+H11+J11</f>
        <v>40.457716481315529</v>
      </c>
      <c r="M11" s="11">
        <f>B11*L11</f>
        <v>30.950153108206379</v>
      </c>
    </row>
    <row r="12" spans="1:13" x14ac:dyDescent="0.25">
      <c r="A12" s="40"/>
      <c r="B12" s="41"/>
    </row>
    <row r="13" spans="1:13" x14ac:dyDescent="0.25">
      <c r="B13" s="14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E7" sqref="E7"/>
    </sheetView>
  </sheetViews>
  <sheetFormatPr baseColWidth="10" defaultRowHeight="15" x14ac:dyDescent="0.25"/>
  <cols>
    <col min="1" max="1" width="34" bestFit="1" customWidth="1"/>
    <col min="2" max="2" width="10.57031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7109375" customWidth="1"/>
    <col min="11" max="11" width="13.28515625" customWidth="1"/>
    <col min="13" max="13" width="10" bestFit="1" customWidth="1"/>
  </cols>
  <sheetData>
    <row r="1" spans="1:13" ht="15" customHeight="1" x14ac:dyDescent="0.25">
      <c r="A1" s="14"/>
      <c r="B1" s="46" t="s">
        <v>26</v>
      </c>
      <c r="C1" s="46"/>
      <c r="D1" s="46"/>
      <c r="E1" s="46"/>
      <c r="F1" s="47" t="s">
        <v>27</v>
      </c>
      <c r="G1" s="49" t="s">
        <v>28</v>
      </c>
      <c r="H1" s="42" t="s">
        <v>29</v>
      </c>
      <c r="I1" s="51" t="s">
        <v>30</v>
      </c>
      <c r="J1" s="52" t="s">
        <v>31</v>
      </c>
      <c r="K1" s="42" t="s">
        <v>32</v>
      </c>
      <c r="L1" s="43" t="s">
        <v>33</v>
      </c>
      <c r="M1" s="44" t="s">
        <v>34</v>
      </c>
    </row>
    <row r="2" spans="1:13" x14ac:dyDescent="0.25">
      <c r="A2" s="14"/>
      <c r="B2" s="15" t="s">
        <v>35</v>
      </c>
      <c r="C2" s="15" t="s">
        <v>36</v>
      </c>
      <c r="D2" s="15" t="s">
        <v>37</v>
      </c>
      <c r="E2" s="15" t="s">
        <v>38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6" t="s">
        <v>52</v>
      </c>
      <c r="B3" s="17">
        <f>[5]Calcul!$M$7</f>
        <v>88.005838877378665</v>
      </c>
      <c r="C3" s="18">
        <v>0</v>
      </c>
      <c r="D3" s="17">
        <v>37</v>
      </c>
      <c r="E3" s="18">
        <v>0</v>
      </c>
      <c r="F3" s="19">
        <f>[5]Calcul!$M$15</f>
        <v>0</v>
      </c>
      <c r="G3" s="20">
        <f>[5]Calcul!$M$14</f>
        <v>0</v>
      </c>
      <c r="H3" s="21">
        <f>SUM(B3:G3)</f>
        <v>125.00583887737866</v>
      </c>
      <c r="I3" s="22">
        <v>0.1</v>
      </c>
      <c r="J3" s="23">
        <v>0.15</v>
      </c>
      <c r="K3" s="16">
        <f>0.9*0.89</f>
        <v>0.80100000000000005</v>
      </c>
      <c r="L3" s="24">
        <f>H3*(100%-I3)*(100%-J3)*K3</f>
        <v>76.599202859696945</v>
      </c>
      <c r="M3" s="25">
        <f>H3*K3</f>
        <v>100.12967694078031</v>
      </c>
    </row>
    <row r="4" spans="1:13" x14ac:dyDescent="0.25">
      <c r="A4" s="16" t="s">
        <v>53</v>
      </c>
      <c r="B4" s="17">
        <f>'[3]Tableau calculs'!$T$7</f>
        <v>382.44778287820918</v>
      </c>
      <c r="C4" s="18">
        <v>0</v>
      </c>
      <c r="D4" s="17">
        <f>'[3]Tableau calculs'!$T$9</f>
        <v>36.700000000000003</v>
      </c>
      <c r="E4" s="18">
        <v>0</v>
      </c>
      <c r="F4" s="19">
        <f>'[3]Tableau calculs'!$T$15</f>
        <v>70.662168170321308</v>
      </c>
      <c r="G4" s="20">
        <f>'[3]Tableau calculs'!$T$14</f>
        <v>135.828</v>
      </c>
      <c r="H4" s="21">
        <f>SUM(B4:G4)</f>
        <v>625.63795104853045</v>
      </c>
      <c r="I4" s="22">
        <v>0.1</v>
      </c>
      <c r="J4" s="22">
        <v>0.15</v>
      </c>
      <c r="K4" s="16">
        <f>0.9*0.11</f>
        <v>9.9000000000000005E-2</v>
      </c>
      <c r="L4" s="24">
        <f>H4*(100%-I4)*(100%-J4)*K4</f>
        <v>47.382690222660457</v>
      </c>
      <c r="M4" s="25">
        <f>H4*K4</f>
        <v>61.938157153804518</v>
      </c>
    </row>
    <row r="5" spans="1:13" x14ac:dyDescent="0.25">
      <c r="A5" s="7" t="s">
        <v>41</v>
      </c>
      <c r="B5" s="21">
        <f>B3+B4</f>
        <v>470.45362175558785</v>
      </c>
      <c r="C5" s="21">
        <f t="shared" ref="C5:H5" si="0">C3+C4</f>
        <v>0</v>
      </c>
      <c r="D5" s="21">
        <f t="shared" si="0"/>
        <v>73.7</v>
      </c>
      <c r="E5" s="21">
        <f t="shared" si="0"/>
        <v>0</v>
      </c>
      <c r="F5" s="21">
        <f t="shared" si="0"/>
        <v>70.662168170321308</v>
      </c>
      <c r="G5" s="21">
        <f t="shared" si="0"/>
        <v>135.828</v>
      </c>
      <c r="H5" s="21">
        <f t="shared" si="0"/>
        <v>750.64378992590912</v>
      </c>
      <c r="I5" s="14"/>
      <c r="J5" s="14"/>
      <c r="K5" s="26" t="s">
        <v>42</v>
      </c>
      <c r="L5" s="27">
        <f>SUM(L3:L4)</f>
        <v>123.9818930823574</v>
      </c>
      <c r="M5" s="28">
        <f>SUM(M3:M4)</f>
        <v>162.06783409458484</v>
      </c>
    </row>
    <row r="6" spans="1:13" x14ac:dyDescent="0.25">
      <c r="B6" s="29"/>
      <c r="C6" s="14"/>
      <c r="D6" s="14"/>
      <c r="E6" s="14"/>
      <c r="F6" s="14"/>
      <c r="G6" s="14"/>
      <c r="H6" s="14"/>
      <c r="I6" s="14"/>
      <c r="J6" s="14"/>
      <c r="K6" s="14"/>
    </row>
    <row r="7" spans="1:13" x14ac:dyDescent="0.25">
      <c r="A7" s="14"/>
      <c r="B7" s="30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x14ac:dyDescent="0.25">
      <c r="A8" s="14"/>
      <c r="B8" s="30"/>
      <c r="D8" s="14"/>
      <c r="E8" s="14"/>
      <c r="F8" s="14"/>
      <c r="G8" s="14"/>
      <c r="H8" s="14"/>
      <c r="I8" s="14"/>
      <c r="J8" s="14"/>
      <c r="K8" s="14"/>
      <c r="L8" s="14"/>
    </row>
    <row r="9" spans="1:13" x14ac:dyDescent="0.25">
      <c r="A9" s="14"/>
      <c r="B9" s="30"/>
      <c r="D9" s="14"/>
      <c r="E9" s="14"/>
      <c r="F9" s="14"/>
      <c r="G9" s="14"/>
      <c r="H9" s="14"/>
      <c r="I9" s="14"/>
      <c r="J9" s="14"/>
      <c r="K9" s="14"/>
      <c r="L9" s="14"/>
    </row>
    <row r="10" spans="1:13" ht="45" x14ac:dyDescent="0.25">
      <c r="A10" s="14"/>
      <c r="B10" s="30" t="s">
        <v>43</v>
      </c>
      <c r="D10" s="14"/>
      <c r="E10" s="14"/>
      <c r="F10" s="18" t="s">
        <v>4</v>
      </c>
      <c r="G10" s="31" t="s">
        <v>44</v>
      </c>
      <c r="H10" s="19" t="s">
        <v>45</v>
      </c>
      <c r="I10" s="32" t="s">
        <v>46</v>
      </c>
      <c r="J10" s="33" t="s">
        <v>47</v>
      </c>
      <c r="K10" s="34" t="s">
        <v>48</v>
      </c>
      <c r="L10" s="16" t="s">
        <v>10</v>
      </c>
      <c r="M10" s="35" t="s">
        <v>49</v>
      </c>
    </row>
    <row r="11" spans="1:13" x14ac:dyDescent="0.25">
      <c r="A11" s="14"/>
      <c r="B11" s="36">
        <f>(100%-I3)*(100%-J3)</f>
        <v>0.76500000000000001</v>
      </c>
      <c r="D11" s="14"/>
      <c r="E11" s="14"/>
      <c r="F11" s="17">
        <f>(B3+D3)*K3+(B4+D4)*K4</f>
        <v>141.62530744572302</v>
      </c>
      <c r="G11" s="17">
        <f>F11*B11</f>
        <v>108.34336019597812</v>
      </c>
      <c r="H11" s="19">
        <f>F3*K3</f>
        <v>0</v>
      </c>
      <c r="I11" s="19">
        <f>H11*B11</f>
        <v>0</v>
      </c>
      <c r="J11" s="37">
        <f>G3*K3+G4*K4</f>
        <v>13.446972000000001</v>
      </c>
      <c r="K11" s="37">
        <f>B11*J11</f>
        <v>10.286933580000001</v>
      </c>
      <c r="L11" s="21">
        <f>F11+H11+J11</f>
        <v>155.07227944572301</v>
      </c>
      <c r="M11" s="11">
        <f>B11*L11</f>
        <v>118.6302937759781</v>
      </c>
    </row>
    <row r="12" spans="1:13" x14ac:dyDescent="0.25">
      <c r="A12" s="14"/>
      <c r="B12" s="39"/>
      <c r="D12" s="14"/>
      <c r="E12" s="14"/>
      <c r="F12" s="14"/>
      <c r="G12" s="14"/>
      <c r="H12" s="14"/>
      <c r="I12" s="14"/>
      <c r="J12" s="14"/>
      <c r="K12" s="14"/>
      <c r="L12" s="14"/>
    </row>
    <row r="13" spans="1:13" x14ac:dyDescent="0.25">
      <c r="A13" s="40"/>
      <c r="B13" s="41"/>
      <c r="E13" s="14"/>
    </row>
    <row r="14" spans="1:13" x14ac:dyDescent="0.25">
      <c r="E14" s="14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E9" sqref="E9"/>
    </sheetView>
  </sheetViews>
  <sheetFormatPr baseColWidth="10" defaultRowHeight="15" x14ac:dyDescent="0.25"/>
  <cols>
    <col min="1" max="1" width="34" bestFit="1" customWidth="1"/>
    <col min="2" max="2" width="10.57031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7109375" customWidth="1"/>
    <col min="11" max="11" width="13.28515625" customWidth="1"/>
    <col min="13" max="13" width="10" bestFit="1" customWidth="1"/>
  </cols>
  <sheetData>
    <row r="1" spans="1:13" ht="15" customHeight="1" x14ac:dyDescent="0.25">
      <c r="A1" s="14"/>
      <c r="B1" s="46" t="s">
        <v>26</v>
      </c>
      <c r="C1" s="46"/>
      <c r="D1" s="46"/>
      <c r="E1" s="46"/>
      <c r="F1" s="47" t="s">
        <v>27</v>
      </c>
      <c r="G1" s="49" t="s">
        <v>28</v>
      </c>
      <c r="H1" s="42" t="s">
        <v>29</v>
      </c>
      <c r="I1" s="51" t="s">
        <v>30</v>
      </c>
      <c r="J1" s="52" t="s">
        <v>31</v>
      </c>
      <c r="K1" s="42" t="s">
        <v>32</v>
      </c>
      <c r="L1" s="43" t="s">
        <v>33</v>
      </c>
      <c r="M1" s="44" t="s">
        <v>34</v>
      </c>
    </row>
    <row r="2" spans="1:13" x14ac:dyDescent="0.25">
      <c r="A2" s="14"/>
      <c r="B2" s="15" t="s">
        <v>35</v>
      </c>
      <c r="C2" s="15" t="s">
        <v>36</v>
      </c>
      <c r="D2" s="15" t="s">
        <v>37</v>
      </c>
      <c r="E2" s="15" t="s">
        <v>38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6" t="s">
        <v>54</v>
      </c>
      <c r="B3" s="17">
        <f>[6]Calcul!$M$7</f>
        <v>227.91344856223051</v>
      </c>
      <c r="C3" s="18">
        <v>0</v>
      </c>
      <c r="D3" s="17">
        <v>37</v>
      </c>
      <c r="E3" s="18">
        <v>0</v>
      </c>
      <c r="F3" s="19">
        <f>[6]Calcul!$M$15</f>
        <v>0</v>
      </c>
      <c r="G3" s="20">
        <f>[6]Calcul!$M$14</f>
        <v>10.25</v>
      </c>
      <c r="H3" s="21">
        <f>SUM(B3:G3)</f>
        <v>275.16344856223054</v>
      </c>
      <c r="I3" s="22">
        <v>0.1</v>
      </c>
      <c r="J3" s="23">
        <v>0.15</v>
      </c>
      <c r="K3" s="16">
        <f>0.5*0.77</f>
        <v>0.38500000000000001</v>
      </c>
      <c r="L3" s="24">
        <f>H3*(100%-I3)*(100%-J3)*K3</f>
        <v>81.042514687790955</v>
      </c>
      <c r="M3" s="25">
        <f>H3*K3</f>
        <v>105.93792769645876</v>
      </c>
    </row>
    <row r="4" spans="1:13" x14ac:dyDescent="0.25">
      <c r="A4" s="16" t="s">
        <v>55</v>
      </c>
      <c r="B4" s="17">
        <f>'[1]Tableau calculs'!$P$7</f>
        <v>194.57071070230802</v>
      </c>
      <c r="C4" s="18">
        <v>0</v>
      </c>
      <c r="D4" s="17">
        <f>[7]Calcul!$O$9</f>
        <v>36.666666666666664</v>
      </c>
      <c r="E4" s="18">
        <v>0</v>
      </c>
      <c r="F4" s="19">
        <f>'[1]Tableau calculs'!$P$15</f>
        <v>57.597978717689628</v>
      </c>
      <c r="G4" s="20">
        <f>'[1]Tableau calculs'!$R$14</f>
        <v>0</v>
      </c>
      <c r="H4" s="21">
        <f>SUM(B4:G4)</f>
        <v>288.83535608666432</v>
      </c>
      <c r="I4" s="22">
        <v>0.1</v>
      </c>
      <c r="J4" s="22">
        <v>0.15</v>
      </c>
      <c r="K4" s="16">
        <f>0.5*0.23</f>
        <v>0.115</v>
      </c>
      <c r="L4" s="24">
        <f>H4*(100%-I4)*(100%-J4)*K4</f>
        <v>25.410290451724293</v>
      </c>
      <c r="M4" s="25">
        <f>H4*K4</f>
        <v>33.216065949966399</v>
      </c>
    </row>
    <row r="5" spans="1:13" x14ac:dyDescent="0.25">
      <c r="A5" s="7" t="s">
        <v>41</v>
      </c>
      <c r="B5" s="21">
        <f>B3+B4</f>
        <v>422.48415926453856</v>
      </c>
      <c r="C5" s="21">
        <f t="shared" ref="C5:H5" si="0">C3+C4</f>
        <v>0</v>
      </c>
      <c r="D5" s="21">
        <f t="shared" si="0"/>
        <v>73.666666666666657</v>
      </c>
      <c r="E5" s="21">
        <f t="shared" si="0"/>
        <v>0</v>
      </c>
      <c r="F5" s="21">
        <f t="shared" si="0"/>
        <v>57.597978717689628</v>
      </c>
      <c r="G5" s="21">
        <f t="shared" si="0"/>
        <v>10.25</v>
      </c>
      <c r="H5" s="21">
        <f t="shared" si="0"/>
        <v>563.99880464889486</v>
      </c>
      <c r="I5" s="14"/>
      <c r="J5" s="14"/>
      <c r="K5" s="26" t="s">
        <v>42</v>
      </c>
      <c r="L5" s="27">
        <f>SUM(L3:L4)</f>
        <v>106.45280513951525</v>
      </c>
      <c r="M5" s="28">
        <f>SUM(M3:M4)</f>
        <v>139.15399364642516</v>
      </c>
    </row>
    <row r="6" spans="1:13" x14ac:dyDescent="0.25">
      <c r="B6" s="29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x14ac:dyDescent="0.25">
      <c r="A7" s="14"/>
      <c r="B7" s="30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x14ac:dyDescent="0.25">
      <c r="A8" s="14"/>
      <c r="B8" s="30"/>
      <c r="D8" s="14"/>
      <c r="E8" s="14"/>
      <c r="F8" s="14"/>
      <c r="G8" s="14"/>
      <c r="H8" s="14"/>
      <c r="I8" s="14"/>
      <c r="J8" s="14"/>
      <c r="K8" s="14"/>
      <c r="L8" s="14"/>
    </row>
    <row r="9" spans="1:13" x14ac:dyDescent="0.25">
      <c r="A9" s="14"/>
      <c r="B9" s="30"/>
      <c r="D9" s="14"/>
      <c r="E9" s="14"/>
      <c r="F9" s="14"/>
      <c r="G9" s="14"/>
      <c r="H9" s="14"/>
      <c r="I9" s="14"/>
      <c r="J9" s="14"/>
      <c r="K9" s="14"/>
      <c r="L9" s="14"/>
    </row>
    <row r="10" spans="1:13" ht="45" x14ac:dyDescent="0.25">
      <c r="A10" s="14"/>
      <c r="B10" s="30" t="s">
        <v>43</v>
      </c>
      <c r="D10" s="14"/>
      <c r="E10" s="14"/>
      <c r="F10" s="18" t="s">
        <v>4</v>
      </c>
      <c r="G10" s="31" t="s">
        <v>44</v>
      </c>
      <c r="H10" s="19" t="s">
        <v>45</v>
      </c>
      <c r="I10" s="32" t="s">
        <v>46</v>
      </c>
      <c r="J10" s="33" t="s">
        <v>47</v>
      </c>
      <c r="K10" s="34" t="s">
        <v>48</v>
      </c>
      <c r="L10" s="16" t="s">
        <v>10</v>
      </c>
      <c r="M10" s="35" t="s">
        <v>49</v>
      </c>
    </row>
    <row r="11" spans="1:13" x14ac:dyDescent="0.25">
      <c r="A11" s="14"/>
      <c r="B11" s="36">
        <f>(100%-I3)*(100%-J3)</f>
        <v>0.76500000000000001</v>
      </c>
      <c r="D11" s="14"/>
      <c r="E11" s="14"/>
      <c r="F11" s="17">
        <f>(B3+D3)*K3+(B4+D4)*K4</f>
        <v>128.58397609389084</v>
      </c>
      <c r="G11" s="17">
        <f>F11*B11</f>
        <v>98.366741711826492</v>
      </c>
      <c r="H11" s="19">
        <f>F3*K3</f>
        <v>0</v>
      </c>
      <c r="I11" s="19">
        <f>H11*B11</f>
        <v>0</v>
      </c>
      <c r="J11" s="37">
        <f>G3*K3+G4*K4</f>
        <v>3.94625</v>
      </c>
      <c r="K11" s="37">
        <f>B11*J11</f>
        <v>3.0188812500000002</v>
      </c>
      <c r="L11" s="21">
        <f>F11+H11+J11</f>
        <v>132.53022609389083</v>
      </c>
      <c r="M11" s="11">
        <f>B11*L11</f>
        <v>101.38562296182648</v>
      </c>
    </row>
    <row r="12" spans="1:13" x14ac:dyDescent="0.25">
      <c r="A12" s="14"/>
      <c r="B12" s="39"/>
      <c r="D12" s="14"/>
      <c r="E12" s="14"/>
      <c r="F12" s="14"/>
      <c r="G12" s="14"/>
      <c r="H12" s="14"/>
      <c r="I12" s="14"/>
      <c r="J12" s="14"/>
      <c r="K12" s="14"/>
      <c r="L12" s="14"/>
    </row>
    <row r="13" spans="1:13" x14ac:dyDescent="0.25">
      <c r="A13" s="40"/>
      <c r="B13" s="41"/>
      <c r="E13" s="14"/>
    </row>
    <row r="14" spans="1:13" x14ac:dyDescent="0.25">
      <c r="E14" s="14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K3" sqref="K3"/>
    </sheetView>
  </sheetViews>
  <sheetFormatPr baseColWidth="10" defaultRowHeight="15" x14ac:dyDescent="0.25"/>
  <cols>
    <col min="1" max="1" width="15.140625" bestFit="1" customWidth="1"/>
    <col min="9" max="9" width="13" customWidth="1"/>
    <col min="11" max="11" width="15.85546875" customWidth="1"/>
  </cols>
  <sheetData>
    <row r="1" spans="1:13" ht="15" customHeight="1" x14ac:dyDescent="0.25">
      <c r="A1" s="14"/>
      <c r="B1" s="46" t="s">
        <v>26</v>
      </c>
      <c r="C1" s="46"/>
      <c r="D1" s="46"/>
      <c r="E1" s="46"/>
      <c r="F1" s="47" t="s">
        <v>27</v>
      </c>
      <c r="G1" s="49" t="s">
        <v>28</v>
      </c>
      <c r="H1" s="42" t="s">
        <v>29</v>
      </c>
      <c r="I1" s="51" t="s">
        <v>30</v>
      </c>
      <c r="J1" s="52" t="s">
        <v>31</v>
      </c>
      <c r="K1" s="42" t="s">
        <v>32</v>
      </c>
      <c r="L1" s="43" t="s">
        <v>33</v>
      </c>
      <c r="M1" s="44" t="s">
        <v>34</v>
      </c>
    </row>
    <row r="2" spans="1:13" x14ac:dyDescent="0.25">
      <c r="A2" s="14"/>
      <c r="B2" s="15" t="s">
        <v>35</v>
      </c>
      <c r="C2" s="15" t="s">
        <v>36</v>
      </c>
      <c r="D2" s="15" t="s">
        <v>37</v>
      </c>
      <c r="E2" s="15" t="s">
        <v>38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6" t="s">
        <v>55</v>
      </c>
      <c r="B3" s="17">
        <f>'[1]Tableau calculs'!$P$7</f>
        <v>194.57071070230802</v>
      </c>
      <c r="C3" s="18">
        <v>0</v>
      </c>
      <c r="D3" s="17">
        <v>37</v>
      </c>
      <c r="E3" s="18">
        <v>0</v>
      </c>
      <c r="F3" s="19">
        <f>'[1]Tableau calculs'!$P$15</f>
        <v>57.597978717689628</v>
      </c>
      <c r="G3" s="20">
        <f>'[1]Tableau calculs'!$P$14</f>
        <v>91.845600000000005</v>
      </c>
      <c r="H3" s="21">
        <f>SUM(B3:G3)</f>
        <v>381.01428941999762</v>
      </c>
      <c r="I3" s="22">
        <v>0.1</v>
      </c>
      <c r="J3" s="23">
        <v>0.15</v>
      </c>
      <c r="K3" s="16">
        <v>0.35</v>
      </c>
      <c r="L3" s="24">
        <f>H3*(100%-I3)*(100%-J3)*K3</f>
        <v>102.01657599220435</v>
      </c>
      <c r="M3" s="25">
        <f>H3*K3</f>
        <v>133.35500129699915</v>
      </c>
    </row>
    <row r="6" spans="1:13" x14ac:dyDescent="0.25">
      <c r="A6" s="14"/>
      <c r="B6" s="30"/>
    </row>
    <row r="7" spans="1:13" x14ac:dyDescent="0.25">
      <c r="A7" s="14"/>
      <c r="B7" s="30"/>
    </row>
    <row r="8" spans="1:13" x14ac:dyDescent="0.25">
      <c r="A8" s="14"/>
      <c r="B8" s="30"/>
    </row>
    <row r="9" spans="1:13" x14ac:dyDescent="0.25">
      <c r="A9" s="14"/>
      <c r="B9" s="30"/>
    </row>
    <row r="10" spans="1:13" ht="30" x14ac:dyDescent="0.25">
      <c r="A10" s="14"/>
      <c r="B10" s="30" t="s">
        <v>43</v>
      </c>
      <c r="D10" s="14"/>
      <c r="E10" s="14"/>
      <c r="F10" s="18" t="s">
        <v>4</v>
      </c>
      <c r="G10" s="31" t="s">
        <v>44</v>
      </c>
      <c r="H10" s="19" t="s">
        <v>45</v>
      </c>
      <c r="I10" s="32" t="s">
        <v>46</v>
      </c>
      <c r="J10" s="33" t="s">
        <v>47</v>
      </c>
      <c r="K10" s="34" t="s">
        <v>48</v>
      </c>
      <c r="L10" s="16" t="s">
        <v>10</v>
      </c>
      <c r="M10" s="35" t="s">
        <v>49</v>
      </c>
    </row>
    <row r="11" spans="1:13" x14ac:dyDescent="0.25">
      <c r="A11" s="14"/>
      <c r="B11" s="36">
        <f>(100%-I3)*(100%-J3)</f>
        <v>0.76500000000000001</v>
      </c>
      <c r="D11" s="14"/>
      <c r="E11" s="14"/>
      <c r="F11" s="17">
        <f>(B3+D3)*K3+(B4+D4)*L4</f>
        <v>81.049748745807804</v>
      </c>
      <c r="G11" s="17">
        <f>F11*B11</f>
        <v>62.003057790542968</v>
      </c>
      <c r="H11" s="19">
        <f>F3*K3</f>
        <v>20.159292551191367</v>
      </c>
      <c r="I11" s="19">
        <f>H11*B11</f>
        <v>15.421858801661395</v>
      </c>
      <c r="J11" s="37">
        <f>G3*K3+G4*L4</f>
        <v>32.145960000000002</v>
      </c>
      <c r="K11" s="37">
        <f>B11*J11</f>
        <v>24.591659400000001</v>
      </c>
      <c r="L11" s="21">
        <f>F11+H11+J11</f>
        <v>133.35500129699918</v>
      </c>
      <c r="M11" s="11">
        <f>B11*L11</f>
        <v>102.01657599220437</v>
      </c>
    </row>
    <row r="12" spans="1:13" x14ac:dyDescent="0.25">
      <c r="A12" s="40"/>
      <c r="B12" s="41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I4" sqref="I4"/>
    </sheetView>
  </sheetViews>
  <sheetFormatPr baseColWidth="10" defaultRowHeight="15" x14ac:dyDescent="0.25"/>
  <cols>
    <col min="1" max="1" width="34" bestFit="1" customWidth="1"/>
    <col min="2" max="2" width="10.57031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7109375" customWidth="1"/>
    <col min="11" max="11" width="15.140625" customWidth="1"/>
    <col min="13" max="13" width="10" bestFit="1" customWidth="1"/>
  </cols>
  <sheetData>
    <row r="1" spans="1:14" ht="15" customHeight="1" x14ac:dyDescent="0.25">
      <c r="A1" s="14"/>
      <c r="B1" s="46" t="s">
        <v>26</v>
      </c>
      <c r="C1" s="46"/>
      <c r="D1" s="46"/>
      <c r="E1" s="46"/>
      <c r="F1" s="47" t="s">
        <v>27</v>
      </c>
      <c r="G1" s="49" t="s">
        <v>28</v>
      </c>
      <c r="H1" s="42" t="s">
        <v>29</v>
      </c>
      <c r="I1" s="51" t="s">
        <v>30</v>
      </c>
      <c r="J1" s="52" t="s">
        <v>31</v>
      </c>
      <c r="K1" s="42" t="s">
        <v>32</v>
      </c>
      <c r="L1" s="43" t="s">
        <v>33</v>
      </c>
      <c r="M1" s="44" t="s">
        <v>34</v>
      </c>
    </row>
    <row r="2" spans="1:14" x14ac:dyDescent="0.25">
      <c r="A2" s="14"/>
      <c r="B2" s="15" t="s">
        <v>35</v>
      </c>
      <c r="C2" s="15" t="s">
        <v>36</v>
      </c>
      <c r="D2" s="15" t="s">
        <v>37</v>
      </c>
      <c r="E2" s="15" t="s">
        <v>38</v>
      </c>
      <c r="F2" s="48"/>
      <c r="G2" s="50"/>
      <c r="H2" s="42"/>
      <c r="I2" s="51"/>
      <c r="J2" s="53"/>
      <c r="K2" s="42"/>
      <c r="L2" s="43"/>
      <c r="M2" s="45"/>
    </row>
    <row r="3" spans="1:14" x14ac:dyDescent="0.25">
      <c r="A3" s="16" t="s">
        <v>56</v>
      </c>
      <c r="B3" s="17">
        <f>[8]Calcul!$O$7</f>
        <v>307.47196333588209</v>
      </c>
      <c r="C3" s="18">
        <v>0</v>
      </c>
      <c r="D3" s="17">
        <v>37</v>
      </c>
      <c r="E3" s="18">
        <v>0</v>
      </c>
      <c r="F3" s="19">
        <f>[8]Calcul!$O$15</f>
        <v>0</v>
      </c>
      <c r="G3" s="20">
        <f>[8]Calcul!$O$14</f>
        <v>18.75</v>
      </c>
      <c r="H3" s="21">
        <f>SUM(B3:G3)</f>
        <v>363.22196333588209</v>
      </c>
      <c r="I3" s="22">
        <v>0.1</v>
      </c>
      <c r="J3" s="23">
        <v>0.1</v>
      </c>
      <c r="K3" s="16">
        <f>1.5*0.89</f>
        <v>1.335</v>
      </c>
      <c r="L3" s="24">
        <f>H3*(100%-I3)*(100%-J3)*K3</f>
        <v>392.77007005325612</v>
      </c>
      <c r="M3" s="25">
        <f>H3*K3</f>
        <v>484.90132105340257</v>
      </c>
    </row>
    <row r="4" spans="1:14" x14ac:dyDescent="0.25">
      <c r="A4" s="16" t="s">
        <v>53</v>
      </c>
      <c r="B4" s="17">
        <f>'[3]Tableau calculs'!$T$7</f>
        <v>382.44778287820918</v>
      </c>
      <c r="C4" s="18">
        <v>0</v>
      </c>
      <c r="D4" s="17">
        <f>'[3]Tableau calculs'!$T$9</f>
        <v>36.700000000000003</v>
      </c>
      <c r="E4" s="18">
        <v>0</v>
      </c>
      <c r="F4" s="19">
        <f>'[3]Tableau calculs'!$T$15</f>
        <v>70.662168170321308</v>
      </c>
      <c r="G4" s="20">
        <f>'[3]Tableau calculs'!$T$14</f>
        <v>135.828</v>
      </c>
      <c r="H4" s="21">
        <f>SUM(B4:G4)</f>
        <v>625.63795104853045</v>
      </c>
      <c r="I4" s="22">
        <v>0.1</v>
      </c>
      <c r="J4" s="22">
        <v>0.1</v>
      </c>
      <c r="K4" s="16">
        <f>1.5*0.11</f>
        <v>0.16500000000000001</v>
      </c>
      <c r="L4" s="24">
        <f>H4*(100%-I4)*(100%-J4)*K4</f>
        <v>83.616512157636095</v>
      </c>
      <c r="M4" s="25">
        <f>H4*K4</f>
        <v>103.23026192300753</v>
      </c>
    </row>
    <row r="5" spans="1:14" x14ac:dyDescent="0.25">
      <c r="A5" s="7" t="s">
        <v>41</v>
      </c>
      <c r="B5" s="21">
        <f>B3+B4</f>
        <v>689.91974621409122</v>
      </c>
      <c r="C5" s="21">
        <f t="shared" ref="C5:H5" si="0">C3+C4</f>
        <v>0</v>
      </c>
      <c r="D5" s="21">
        <f t="shared" si="0"/>
        <v>73.7</v>
      </c>
      <c r="E5" s="21">
        <f t="shared" si="0"/>
        <v>0</v>
      </c>
      <c r="F5" s="21">
        <f t="shared" si="0"/>
        <v>70.662168170321308</v>
      </c>
      <c r="G5" s="21">
        <f t="shared" si="0"/>
        <v>154.578</v>
      </c>
      <c r="H5" s="21">
        <f t="shared" si="0"/>
        <v>988.8599143844126</v>
      </c>
      <c r="I5" s="14"/>
      <c r="J5" s="14"/>
      <c r="K5" s="14"/>
      <c r="L5" s="26" t="s">
        <v>42</v>
      </c>
      <c r="M5" s="27">
        <f>SUM(L3:L4)</f>
        <v>476.38658221089224</v>
      </c>
      <c r="N5" s="28">
        <f>SUM(M3:M4)</f>
        <v>588.13158297641007</v>
      </c>
    </row>
    <row r="6" spans="1:14" x14ac:dyDescent="0.25">
      <c r="B6" s="29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4" x14ac:dyDescent="0.25">
      <c r="A7" s="14"/>
      <c r="B7" s="30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4" x14ac:dyDescent="0.25">
      <c r="A8" s="14"/>
      <c r="B8" s="30"/>
      <c r="D8" s="14"/>
      <c r="E8" s="14"/>
      <c r="F8" s="14"/>
      <c r="G8" s="14"/>
      <c r="H8" s="14"/>
      <c r="I8" s="14"/>
      <c r="J8" s="14"/>
      <c r="K8" s="14"/>
      <c r="L8" s="14"/>
    </row>
    <row r="9" spans="1:14" x14ac:dyDescent="0.25">
      <c r="A9" s="14"/>
      <c r="B9" s="30"/>
      <c r="D9" s="14"/>
      <c r="E9" s="14"/>
      <c r="F9" s="14"/>
      <c r="G9" s="14"/>
      <c r="H9" s="14"/>
      <c r="I9" s="14"/>
      <c r="J9" s="14"/>
      <c r="K9" s="14"/>
      <c r="L9" s="14"/>
    </row>
    <row r="10" spans="1:14" ht="30" x14ac:dyDescent="0.25">
      <c r="A10" s="14"/>
      <c r="B10" s="30" t="s">
        <v>43</v>
      </c>
      <c r="D10" s="14"/>
      <c r="E10" s="14"/>
      <c r="F10" s="18" t="s">
        <v>4</v>
      </c>
      <c r="G10" s="31" t="s">
        <v>44</v>
      </c>
      <c r="H10" s="19" t="s">
        <v>45</v>
      </c>
      <c r="I10" s="32" t="s">
        <v>46</v>
      </c>
      <c r="J10" s="33" t="s">
        <v>47</v>
      </c>
      <c r="K10" s="34" t="s">
        <v>48</v>
      </c>
      <c r="L10" s="16" t="s">
        <v>10</v>
      </c>
      <c r="M10" s="35" t="s">
        <v>49</v>
      </c>
    </row>
    <row r="11" spans="1:14" x14ac:dyDescent="0.25">
      <c r="A11" s="14"/>
      <c r="B11" s="36">
        <f>(100%-I3)*(100%-J3)</f>
        <v>0.81</v>
      </c>
      <c r="D11" s="14"/>
      <c r="E11" s="14"/>
      <c r="F11" s="17">
        <f>(B3+D3)*K3+(B4+D4)*K4</f>
        <v>529.02945522830714</v>
      </c>
      <c r="G11" s="17">
        <f>F11*B11</f>
        <v>428.51385873492882</v>
      </c>
      <c r="H11" s="19">
        <f>F3*K3</f>
        <v>0</v>
      </c>
      <c r="I11" s="19">
        <f>H11*B11</f>
        <v>0</v>
      </c>
      <c r="J11" s="37">
        <f>G3*K3+G4*K4</f>
        <v>47.442869999999999</v>
      </c>
      <c r="K11" s="37">
        <f>B11*J11</f>
        <v>38.428724700000004</v>
      </c>
      <c r="L11" s="21">
        <f>F11+H11+J11</f>
        <v>576.47232522830711</v>
      </c>
      <c r="M11" s="11">
        <f>B11*L11</f>
        <v>466.94258343492879</v>
      </c>
    </row>
    <row r="12" spans="1:14" x14ac:dyDescent="0.25">
      <c r="A12" s="14"/>
      <c r="B12" s="39"/>
      <c r="D12" s="14"/>
      <c r="E12" s="14"/>
      <c r="F12" s="14"/>
      <c r="G12" s="14"/>
      <c r="H12" s="14"/>
      <c r="I12" s="14"/>
      <c r="J12" s="14"/>
      <c r="K12" s="14"/>
      <c r="L12" s="14"/>
    </row>
    <row r="13" spans="1:14" x14ac:dyDescent="0.25">
      <c r="A13" s="40"/>
      <c r="B13" s="41"/>
      <c r="E13" s="14"/>
    </row>
    <row r="14" spans="1:14" x14ac:dyDescent="0.25">
      <c r="E14" s="14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F29" sqref="F29"/>
    </sheetView>
  </sheetViews>
  <sheetFormatPr baseColWidth="10" defaultRowHeight="15" x14ac:dyDescent="0.25"/>
  <cols>
    <col min="1" max="1" width="15.140625" bestFit="1" customWidth="1"/>
    <col min="11" max="11" width="15.85546875" customWidth="1"/>
  </cols>
  <sheetData>
    <row r="1" spans="1:13" ht="15" customHeight="1" x14ac:dyDescent="0.25">
      <c r="A1" s="14"/>
      <c r="B1" s="46" t="s">
        <v>26</v>
      </c>
      <c r="C1" s="46"/>
      <c r="D1" s="46"/>
      <c r="E1" s="46"/>
      <c r="F1" s="47" t="s">
        <v>27</v>
      </c>
      <c r="G1" s="49" t="s">
        <v>28</v>
      </c>
      <c r="H1" s="42" t="s">
        <v>29</v>
      </c>
      <c r="I1" s="51" t="s">
        <v>30</v>
      </c>
      <c r="J1" s="52" t="s">
        <v>31</v>
      </c>
      <c r="K1" s="42" t="s">
        <v>32</v>
      </c>
      <c r="L1" s="43" t="s">
        <v>33</v>
      </c>
      <c r="M1" s="44" t="s">
        <v>34</v>
      </c>
    </row>
    <row r="2" spans="1:13" x14ac:dyDescent="0.25">
      <c r="A2" s="14"/>
      <c r="B2" s="15" t="s">
        <v>35</v>
      </c>
      <c r="C2" s="15" t="s">
        <v>36</v>
      </c>
      <c r="D2" s="15" t="s">
        <v>37</v>
      </c>
      <c r="E2" s="15" t="s">
        <v>38</v>
      </c>
      <c r="F2" s="48"/>
      <c r="G2" s="50"/>
      <c r="H2" s="42"/>
      <c r="I2" s="51"/>
      <c r="J2" s="53"/>
      <c r="K2" s="42"/>
      <c r="L2" s="43"/>
      <c r="M2" s="45"/>
    </row>
    <row r="3" spans="1:13" x14ac:dyDescent="0.25">
      <c r="A3" s="16" t="s">
        <v>51</v>
      </c>
      <c r="B3" s="17">
        <f>[4]Calcul!$M$7</f>
        <v>232.71810987543691</v>
      </c>
      <c r="C3" s="18">
        <v>0</v>
      </c>
      <c r="D3" s="17">
        <v>37</v>
      </c>
      <c r="E3" s="18">
        <v>0</v>
      </c>
      <c r="F3" s="19">
        <f>[4]Calcul!$M$15</f>
        <v>0</v>
      </c>
      <c r="G3" s="20">
        <f>[4]Calcul!$M$14</f>
        <v>0</v>
      </c>
      <c r="H3" s="21">
        <f>SUM(B3:G3)</f>
        <v>269.71810987543688</v>
      </c>
      <c r="I3" s="22">
        <v>0.1</v>
      </c>
      <c r="J3" s="23">
        <v>0.1</v>
      </c>
      <c r="K3" s="16">
        <v>0.05</v>
      </c>
      <c r="L3" s="24">
        <f>H3*(100%-I3)*(100%-J3)*K3</f>
        <v>10.923583449955196</v>
      </c>
      <c r="M3" s="25">
        <f>H3*K3</f>
        <v>13.485905493771845</v>
      </c>
    </row>
    <row r="6" spans="1:13" x14ac:dyDescent="0.25">
      <c r="A6" s="14"/>
      <c r="B6" s="30"/>
    </row>
    <row r="7" spans="1:13" x14ac:dyDescent="0.25">
      <c r="A7" s="14"/>
      <c r="B7" s="30"/>
    </row>
    <row r="8" spans="1:13" x14ac:dyDescent="0.25">
      <c r="A8" s="14"/>
      <c r="B8" s="30"/>
    </row>
    <row r="9" spans="1:13" x14ac:dyDescent="0.25">
      <c r="A9" s="14"/>
      <c r="B9" s="30"/>
    </row>
    <row r="10" spans="1:13" ht="45" x14ac:dyDescent="0.25">
      <c r="A10" s="14"/>
      <c r="B10" s="30" t="s">
        <v>43</v>
      </c>
      <c r="D10" s="14"/>
      <c r="E10" s="14"/>
      <c r="F10" s="18" t="s">
        <v>4</v>
      </c>
      <c r="G10" s="31" t="s">
        <v>44</v>
      </c>
      <c r="H10" s="19" t="s">
        <v>45</v>
      </c>
      <c r="I10" s="32" t="s">
        <v>46</v>
      </c>
      <c r="J10" s="33" t="s">
        <v>47</v>
      </c>
      <c r="K10" s="34" t="s">
        <v>48</v>
      </c>
      <c r="L10" s="16" t="s">
        <v>10</v>
      </c>
      <c r="M10" s="35" t="s">
        <v>49</v>
      </c>
    </row>
    <row r="11" spans="1:13" x14ac:dyDescent="0.25">
      <c r="A11" s="14"/>
      <c r="B11" s="36">
        <f>(100%-I3)*(100%-J3)</f>
        <v>0.81</v>
      </c>
      <c r="D11" s="14"/>
      <c r="E11" s="14"/>
      <c r="F11" s="17">
        <f>(B3+D3)*K3+(B4+D4)*L4</f>
        <v>13.485905493771845</v>
      </c>
      <c r="G11" s="17">
        <f>F11*B11</f>
        <v>10.923583449955196</v>
      </c>
      <c r="H11" s="19">
        <f>F3*K3</f>
        <v>0</v>
      </c>
      <c r="I11" s="19">
        <f>H11*B11</f>
        <v>0</v>
      </c>
      <c r="J11" s="37">
        <f>G3*K3+G4*L4</f>
        <v>0</v>
      </c>
      <c r="K11" s="37">
        <f>B11*J11</f>
        <v>0</v>
      </c>
      <c r="L11" s="21">
        <f>F11+H11+J11</f>
        <v>13.485905493771845</v>
      </c>
      <c r="M11" s="11">
        <f>B11*L11</f>
        <v>10.923583449955196</v>
      </c>
    </row>
    <row r="12" spans="1:13" x14ac:dyDescent="0.25">
      <c r="A12" s="40"/>
      <c r="B12" s="41"/>
    </row>
  </sheetData>
  <mergeCells count="9">
    <mergeCell ref="K1:K2"/>
    <mergeCell ref="L1:L2"/>
    <mergeCell ref="M1:M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1</vt:lpstr>
      <vt:lpstr>2</vt:lpstr>
      <vt:lpstr>3</vt:lpstr>
      <vt:lpstr>4</vt:lpstr>
      <vt:lpstr>5</vt:lpstr>
      <vt:lpstr>7</vt:lpstr>
      <vt:lpstr>9</vt:lpstr>
      <vt:lpstr>10</vt:lpstr>
      <vt:lpstr>11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GILEN</dc:creator>
  <cp:lastModifiedBy>GILEN</cp:lastModifiedBy>
  <dcterms:created xsi:type="dcterms:W3CDTF">2021-04-14T12:58:01Z</dcterms:created>
  <dcterms:modified xsi:type="dcterms:W3CDTF">2021-07-27T13:59:35Z</dcterms:modified>
</cp:coreProperties>
</file>