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Calculs carbone\Gabriel\"/>
    </mc:Choice>
  </mc:AlternateContent>
  <bookViews>
    <workbookView xWindow="0" yWindow="0" windowWidth="24000" windowHeight="9735"/>
  </bookViews>
  <sheets>
    <sheet name="Tableau calculs" sheetId="2" r:id="rId1"/>
    <sheet name="Paramètres" sheetId="3" r:id="rId2"/>
    <sheet name="Interpolation linéaire" sheetId="1" r:id="rId3"/>
    <sheet name="Table de production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4" i="2"/>
  <c r="T12" i="2" l="1"/>
  <c r="T6" i="2"/>
  <c r="T4" i="2"/>
  <c r="Q4" i="2"/>
  <c r="O4" i="2"/>
  <c r="P4" i="2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3" i="2"/>
  <c r="K3" i="2" l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/>
  <c r="F81" i="2"/>
  <c r="G81" i="2" s="1"/>
  <c r="F82" i="2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C8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76" i="1"/>
  <c r="D88" i="1"/>
  <c r="D89" i="1"/>
  <c r="D90" i="1"/>
  <c r="D91" i="1"/>
  <c r="D92" i="1"/>
  <c r="D9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3" i="1"/>
  <c r="H86" i="2" l="1"/>
  <c r="I86" i="2" s="1"/>
  <c r="K87" i="2" s="1"/>
  <c r="H76" i="2"/>
  <c r="I76" i="2" s="1"/>
  <c r="H80" i="2"/>
  <c r="I80" i="2" s="1"/>
  <c r="H90" i="2"/>
  <c r="I90" i="2" s="1"/>
  <c r="H74" i="2"/>
  <c r="I74" i="2" s="1"/>
  <c r="K75" i="2" s="1"/>
  <c r="H92" i="2"/>
  <c r="I92" i="2" s="1"/>
  <c r="K93" i="2" s="1"/>
  <c r="H84" i="2"/>
  <c r="I84" i="2" s="1"/>
  <c r="H94" i="2"/>
  <c r="I94" i="2" s="1"/>
  <c r="H78" i="2"/>
  <c r="I78" i="2" s="1"/>
  <c r="K79" i="2" s="1"/>
  <c r="H88" i="2"/>
  <c r="I88" i="2" s="1"/>
  <c r="G82" i="2"/>
  <c r="H82" i="2" s="1"/>
  <c r="I82" i="2" s="1"/>
  <c r="H93" i="2"/>
  <c r="I93" i="2" s="1"/>
  <c r="H91" i="2"/>
  <c r="I91" i="2" s="1"/>
  <c r="H89" i="2"/>
  <c r="I89" i="2" s="1"/>
  <c r="K90" i="2" s="1"/>
  <c r="H87" i="2"/>
  <c r="I87" i="2" s="1"/>
  <c r="K88" i="2" s="1"/>
  <c r="H85" i="2"/>
  <c r="I85" i="2" s="1"/>
  <c r="K86" i="2" s="1"/>
  <c r="H83" i="2"/>
  <c r="I83" i="2" s="1"/>
  <c r="K84" i="2" s="1"/>
  <c r="H81" i="2"/>
  <c r="I81" i="2" s="1"/>
  <c r="H79" i="2"/>
  <c r="I79" i="2" s="1"/>
  <c r="K80" i="2" s="1"/>
  <c r="H77" i="2"/>
  <c r="I77" i="2" s="1"/>
  <c r="H75" i="2"/>
  <c r="I75" i="2" s="1"/>
  <c r="K76" i="2" s="1"/>
  <c r="H73" i="2"/>
  <c r="I73" i="2" s="1"/>
  <c r="K74" i="2" s="1"/>
  <c r="T13" i="2"/>
  <c r="R3" i="2"/>
  <c r="C4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3" i="1"/>
  <c r="C90" i="1"/>
  <c r="C91" i="1"/>
  <c r="C92" i="1"/>
  <c r="C89" i="1"/>
  <c r="C84" i="1"/>
  <c r="C85" i="1"/>
  <c r="D86" i="1" s="1"/>
  <c r="C86" i="1"/>
  <c r="D87" i="1" s="1"/>
  <c r="C83" i="1"/>
  <c r="C72" i="1"/>
  <c r="C73" i="1"/>
  <c r="C74" i="1"/>
  <c r="D75" i="1" s="1"/>
  <c r="C71" i="1"/>
  <c r="C54" i="1"/>
  <c r="C55" i="1"/>
  <c r="C56" i="1"/>
  <c r="C53" i="1"/>
  <c r="C48" i="1"/>
  <c r="C49" i="1"/>
  <c r="C50" i="1"/>
  <c r="C47" i="1"/>
  <c r="C42" i="1"/>
  <c r="C43" i="1"/>
  <c r="C44" i="1"/>
  <c r="C41" i="1"/>
  <c r="C36" i="1"/>
  <c r="C37" i="1"/>
  <c r="C38" i="1"/>
  <c r="C35" i="1"/>
  <c r="C30" i="1"/>
  <c r="C31" i="1"/>
  <c r="C32" i="1"/>
  <c r="C29" i="1"/>
  <c r="C24" i="1"/>
  <c r="C25" i="1"/>
  <c r="C26" i="1"/>
  <c r="C23" i="1"/>
  <c r="C18" i="1"/>
  <c r="C19" i="1"/>
  <c r="C20" i="1"/>
  <c r="C17" i="1"/>
  <c r="C93" i="1"/>
  <c r="D82" i="1"/>
  <c r="C67" i="1"/>
  <c r="D64" i="1"/>
  <c r="C57" i="1"/>
  <c r="C51" i="1"/>
  <c r="C45" i="1"/>
  <c r="C39" i="1"/>
  <c r="C33" i="1"/>
  <c r="C27" i="1"/>
  <c r="C21" i="1"/>
  <c r="K85" i="2" l="1"/>
  <c r="K92" i="2"/>
  <c r="K78" i="2"/>
  <c r="K94" i="2"/>
  <c r="K91" i="2"/>
  <c r="K83" i="2"/>
  <c r="K81" i="2"/>
  <c r="K82" i="2"/>
  <c r="K89" i="2"/>
  <c r="K77" i="2"/>
  <c r="D73" i="1"/>
  <c r="C68" i="1"/>
  <c r="D69" i="1" s="1"/>
  <c r="C62" i="1"/>
  <c r="D63" i="1" s="1"/>
  <c r="C59" i="1"/>
  <c r="C61" i="1"/>
  <c r="C60" i="1"/>
  <c r="D85" i="1"/>
  <c r="D84" i="1"/>
  <c r="D83" i="1"/>
  <c r="C66" i="1"/>
  <c r="D67" i="1" s="1"/>
  <c r="D70" i="1"/>
  <c r="D71" i="1"/>
  <c r="D72" i="1"/>
  <c r="D74" i="1"/>
  <c r="C65" i="1"/>
  <c r="C78" i="1"/>
  <c r="C77" i="1"/>
  <c r="C80" i="1"/>
  <c r="D81" i="1" s="1"/>
  <c r="C79" i="1"/>
  <c r="D80" i="1" s="1"/>
  <c r="R4" i="2"/>
  <c r="F64" i="2"/>
  <c r="F65" i="2"/>
  <c r="F66" i="2"/>
  <c r="F67" i="2"/>
  <c r="F68" i="2"/>
  <c r="F69" i="2"/>
  <c r="F71" i="2"/>
  <c r="F72" i="2"/>
  <c r="D68" i="1" l="1"/>
  <c r="D61" i="1"/>
  <c r="D62" i="1"/>
  <c r="D59" i="1"/>
  <c r="D60" i="1"/>
  <c r="D77" i="1"/>
  <c r="D78" i="1"/>
  <c r="D79" i="1"/>
  <c r="D66" i="1"/>
  <c r="D65" i="1"/>
  <c r="G71" i="2"/>
  <c r="H71" i="2" s="1"/>
  <c r="I71" i="2" s="1"/>
  <c r="G67" i="2"/>
  <c r="H67" i="2" s="1"/>
  <c r="I67" i="2" s="1"/>
  <c r="G70" i="2"/>
  <c r="H70" i="2" s="1"/>
  <c r="I70" i="2" s="1"/>
  <c r="T3" i="2" s="1"/>
  <c r="T5" i="2" s="1"/>
  <c r="G66" i="2"/>
  <c r="H66" i="2" s="1"/>
  <c r="I66" i="2" s="1"/>
  <c r="G69" i="2"/>
  <c r="H69" i="2" s="1"/>
  <c r="I69" i="2" s="1"/>
  <c r="G65" i="2"/>
  <c r="H65" i="2" s="1"/>
  <c r="I65" i="2" s="1"/>
  <c r="G72" i="2"/>
  <c r="H72" i="2" s="1"/>
  <c r="I72" i="2" s="1"/>
  <c r="K73" i="2" s="1"/>
  <c r="G68" i="2"/>
  <c r="H68" i="2" s="1"/>
  <c r="I68" i="2" s="1"/>
  <c r="G64" i="2"/>
  <c r="H64" i="2" s="1"/>
  <c r="I64" i="2" s="1"/>
  <c r="F3" i="2"/>
  <c r="H3" i="2" s="1"/>
  <c r="I3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E11" i="3"/>
  <c r="D11" i="3"/>
  <c r="C11" i="3"/>
  <c r="B11" i="3"/>
  <c r="K70" i="2" l="1"/>
  <c r="K68" i="2"/>
  <c r="K67" i="2"/>
  <c r="K71" i="2"/>
  <c r="K72" i="2"/>
  <c r="K65" i="2"/>
  <c r="K69" i="2"/>
  <c r="K66" i="2"/>
  <c r="F4" i="2"/>
  <c r="G4" i="2" l="1"/>
  <c r="H4" i="2" s="1"/>
  <c r="I4" i="2" s="1"/>
  <c r="F33" i="2"/>
  <c r="F5" i="2"/>
  <c r="G5" i="2" s="1"/>
  <c r="H5" i="2" s="1"/>
  <c r="I5" i="2" s="1"/>
  <c r="K5" i="2" l="1"/>
  <c r="F6" i="2"/>
  <c r="G33" i="2"/>
  <c r="H33" i="2" s="1"/>
  <c r="I33" i="2" s="1"/>
  <c r="K4" i="2" l="1"/>
  <c r="F7" i="2"/>
  <c r="G7" i="2" s="1"/>
  <c r="H7" i="2" s="1"/>
  <c r="I7" i="2" s="1"/>
  <c r="F63" i="2"/>
  <c r="G63" i="2" s="1"/>
  <c r="H63" i="2" s="1"/>
  <c r="I63" i="2" s="1"/>
  <c r="K64" i="2" s="1"/>
  <c r="G6" i="2"/>
  <c r="H6" i="2" s="1"/>
  <c r="I6" i="2" s="1"/>
  <c r="Q5" i="2" l="1"/>
  <c r="P5" i="2"/>
  <c r="O5" i="2"/>
  <c r="O6" i="2" s="1"/>
  <c r="K7" i="2"/>
  <c r="F8" i="2"/>
  <c r="G8" i="2" s="1"/>
  <c r="H8" i="2" s="1"/>
  <c r="I8" i="2" s="1"/>
  <c r="P6" i="2" l="1"/>
  <c r="Q6" i="2"/>
  <c r="R5" i="2"/>
  <c r="K6" i="2"/>
  <c r="O7" i="2" s="1"/>
  <c r="O8" i="2" s="1"/>
  <c r="O9" i="2" s="1"/>
  <c r="K8" i="2"/>
  <c r="P7" i="2" l="1"/>
  <c r="Q7" i="2"/>
  <c r="R6" i="2"/>
  <c r="P8" i="2" l="1"/>
  <c r="Q8" i="2"/>
  <c r="R7" i="2"/>
  <c r="P9" i="2" l="1"/>
  <c r="Q9" i="2"/>
  <c r="R8" i="2"/>
  <c r="R9" i="2" l="1"/>
  <c r="F23" i="2" l="1"/>
  <c r="G23" i="2" s="1"/>
  <c r="F53" i="2"/>
  <c r="G53" i="2" s="1"/>
  <c r="H53" i="2" s="1"/>
  <c r="I53" i="2" s="1"/>
  <c r="F43" i="2"/>
  <c r="G43" i="2" s="1"/>
  <c r="H43" i="2" l="1"/>
  <c r="I43" i="2" s="1"/>
  <c r="H23" i="2"/>
  <c r="I23" i="2" s="1"/>
  <c r="F22" i="2" l="1"/>
  <c r="G22" i="2" s="1"/>
  <c r="F62" i="2"/>
  <c r="G62" i="2" s="1"/>
  <c r="H62" i="2" s="1"/>
  <c r="I62" i="2" s="1"/>
  <c r="K63" i="2" s="1"/>
  <c r="F42" i="2"/>
  <c r="G42" i="2" s="1"/>
  <c r="H42" i="2" s="1"/>
  <c r="I42" i="2" s="1"/>
  <c r="K43" i="2" s="1"/>
  <c r="F26" i="2"/>
  <c r="G26" i="2" s="1"/>
  <c r="F51" i="2"/>
  <c r="F14" i="2"/>
  <c r="G14" i="2" s="1"/>
  <c r="F41" i="2"/>
  <c r="F28" i="2"/>
  <c r="G28" i="2" s="1"/>
  <c r="F20" i="2"/>
  <c r="G20" i="2" s="1"/>
  <c r="H20" i="2" s="1"/>
  <c r="I20" i="2" s="1"/>
  <c r="F19" i="2"/>
  <c r="G19" i="2" s="1"/>
  <c r="H19" i="2" s="1"/>
  <c r="I19" i="2" s="1"/>
  <c r="F13" i="2"/>
  <c r="G13" i="2" s="1"/>
  <c r="H13" i="2" s="1"/>
  <c r="I13" i="2" s="1"/>
  <c r="F58" i="2"/>
  <c r="G58" i="2" s="1"/>
  <c r="F46" i="2"/>
  <c r="F50" i="2"/>
  <c r="G50" i="2" s="1"/>
  <c r="F24" i="2"/>
  <c r="F34" i="2"/>
  <c r="F38" i="2"/>
  <c r="G38" i="2" s="1"/>
  <c r="F18" i="2"/>
  <c r="F40" i="2"/>
  <c r="F36" i="2"/>
  <c r="G36" i="2" s="1"/>
  <c r="F61" i="2"/>
  <c r="G61" i="2" s="1"/>
  <c r="F37" i="2"/>
  <c r="F15" i="2"/>
  <c r="G15" i="2" s="1"/>
  <c r="F60" i="2"/>
  <c r="G60" i="2" s="1"/>
  <c r="F12" i="2"/>
  <c r="G12" i="2" s="1"/>
  <c r="F55" i="2"/>
  <c r="G55" i="2" s="1"/>
  <c r="H55" i="2" s="1"/>
  <c r="I55" i="2" s="1"/>
  <c r="F49" i="2"/>
  <c r="G49" i="2" s="1"/>
  <c r="H49" i="2" s="1"/>
  <c r="I49" i="2" s="1"/>
  <c r="F48" i="2"/>
  <c r="G48" i="2" s="1"/>
  <c r="H48" i="2" s="1"/>
  <c r="I48" i="2" s="1"/>
  <c r="F11" i="2"/>
  <c r="G11" i="2" s="1"/>
  <c r="H11" i="2" s="1"/>
  <c r="I11" i="2" s="1"/>
  <c r="F39" i="2"/>
  <c r="G39" i="2" s="1"/>
  <c r="H39" i="2" s="1"/>
  <c r="I39" i="2" s="1"/>
  <c r="F52" i="2"/>
  <c r="G52" i="2" s="1"/>
  <c r="H52" i="2" s="1"/>
  <c r="I52" i="2" s="1"/>
  <c r="K53" i="2" s="1"/>
  <c r="F57" i="2"/>
  <c r="G57" i="2" s="1"/>
  <c r="H57" i="2" s="1"/>
  <c r="I57" i="2" s="1"/>
  <c r="F32" i="2"/>
  <c r="G32" i="2" s="1"/>
  <c r="H32" i="2" s="1"/>
  <c r="I32" i="2" s="1"/>
  <c r="K33" i="2" s="1"/>
  <c r="F56" i="2"/>
  <c r="G56" i="2" s="1"/>
  <c r="H56" i="2" s="1"/>
  <c r="I56" i="2" s="1"/>
  <c r="F21" i="2"/>
  <c r="F27" i="2"/>
  <c r="G27" i="2" s="1"/>
  <c r="H27" i="2" s="1"/>
  <c r="I27" i="2" s="1"/>
  <c r="F31" i="2"/>
  <c r="G31" i="2" s="1"/>
  <c r="H31" i="2" s="1"/>
  <c r="I31" i="2" s="1"/>
  <c r="F44" i="2"/>
  <c r="G44" i="2" s="1"/>
  <c r="H44" i="2" s="1"/>
  <c r="I44" i="2" s="1"/>
  <c r="F10" i="2"/>
  <c r="G10" i="2" s="1"/>
  <c r="H10" i="2" s="1"/>
  <c r="I10" i="2" s="1"/>
  <c r="F17" i="2"/>
  <c r="F35" i="2"/>
  <c r="G35" i="2" s="1"/>
  <c r="F29" i="2"/>
  <c r="F16" i="2"/>
  <c r="G16" i="2" s="1"/>
  <c r="F45" i="2"/>
  <c r="G45" i="2" s="1"/>
  <c r="F54" i="2"/>
  <c r="G54" i="2" s="1"/>
  <c r="F25" i="2"/>
  <c r="F59" i="2"/>
  <c r="F47" i="2"/>
  <c r="G47" i="2" s="1"/>
  <c r="H47" i="2" s="1"/>
  <c r="I47" i="2" s="1"/>
  <c r="F30" i="2"/>
  <c r="F9" i="2"/>
  <c r="G9" i="2" s="1"/>
  <c r="K32" i="2" l="1"/>
  <c r="K20" i="2"/>
  <c r="K57" i="2"/>
  <c r="K56" i="2"/>
  <c r="K49" i="2"/>
  <c r="K48" i="2"/>
  <c r="K44" i="2"/>
  <c r="K11" i="2"/>
  <c r="H28" i="2"/>
  <c r="I28" i="2" s="1"/>
  <c r="G21" i="2"/>
  <c r="H21" i="2" s="1"/>
  <c r="I21" i="2" s="1"/>
  <c r="K21" i="2" s="1"/>
  <c r="G18" i="2"/>
  <c r="H18" i="2" s="1"/>
  <c r="I18" i="2" s="1"/>
  <c r="K19" i="2" s="1"/>
  <c r="H22" i="2"/>
  <c r="I22" i="2" s="1"/>
  <c r="K23" i="2" s="1"/>
  <c r="G24" i="2"/>
  <c r="H24" i="2" s="1"/>
  <c r="I24" i="2" s="1"/>
  <c r="G51" i="2"/>
  <c r="H51" i="2" s="1"/>
  <c r="I51" i="2" s="1"/>
  <c r="K52" i="2" s="1"/>
  <c r="H9" i="2"/>
  <c r="I9" i="2" s="1"/>
  <c r="H38" i="2"/>
  <c r="I38" i="2" s="1"/>
  <c r="K39" i="2" s="1"/>
  <c r="G46" i="2"/>
  <c r="H46" i="2" s="1"/>
  <c r="I46" i="2" s="1"/>
  <c r="K47" i="2" s="1"/>
  <c r="G59" i="2"/>
  <c r="H59" i="2" s="1"/>
  <c r="I59" i="2" s="1"/>
  <c r="G29" i="2"/>
  <c r="H29" i="2" s="1"/>
  <c r="I29" i="2" s="1"/>
  <c r="H16" i="2"/>
  <c r="I16" i="2" s="1"/>
  <c r="H58" i="2"/>
  <c r="I58" i="2" s="1"/>
  <c r="G34" i="2"/>
  <c r="H34" i="2" s="1"/>
  <c r="I34" i="2" s="1"/>
  <c r="H50" i="2"/>
  <c r="I50" i="2" s="1"/>
  <c r="H12" i="2"/>
  <c r="I12" i="2" s="1"/>
  <c r="K13" i="2" s="1"/>
  <c r="G30" i="2"/>
  <c r="H30" i="2" s="1"/>
  <c r="I30" i="2" s="1"/>
  <c r="K31" i="2" s="1"/>
  <c r="G17" i="2"/>
  <c r="H17" i="2" s="1"/>
  <c r="I17" i="2" s="1"/>
  <c r="H45" i="2"/>
  <c r="I45" i="2" s="1"/>
  <c r="H15" i="2"/>
  <c r="I15" i="2" s="1"/>
  <c r="K16" i="2" s="1"/>
  <c r="H61" i="2"/>
  <c r="I61" i="2" s="1"/>
  <c r="K62" i="2" s="1"/>
  <c r="H36" i="2"/>
  <c r="I36" i="2" s="1"/>
  <c r="G25" i="2"/>
  <c r="H25" i="2" s="1"/>
  <c r="I25" i="2" s="1"/>
  <c r="H14" i="2"/>
  <c r="I14" i="2" s="1"/>
  <c r="K14" i="2" s="1"/>
  <c r="H26" i="2"/>
  <c r="I26" i="2" s="1"/>
  <c r="K27" i="2" s="1"/>
  <c r="H35" i="2"/>
  <c r="I35" i="2" s="1"/>
  <c r="H54" i="2"/>
  <c r="I54" i="2" s="1"/>
  <c r="G37" i="2"/>
  <c r="H37" i="2" s="1"/>
  <c r="I37" i="2" s="1"/>
  <c r="G41" i="2"/>
  <c r="H41" i="2" s="1"/>
  <c r="I41" i="2" s="1"/>
  <c r="K42" i="2" s="1"/>
  <c r="G40" i="2"/>
  <c r="H40" i="2" s="1"/>
  <c r="I40" i="2" s="1"/>
  <c r="K41" i="2" s="1"/>
  <c r="H60" i="2"/>
  <c r="I60" i="2" s="1"/>
  <c r="K61" i="2" s="1"/>
  <c r="K46" i="2" l="1"/>
  <c r="K51" i="2"/>
  <c r="K30" i="2"/>
  <c r="K17" i="2"/>
  <c r="K50" i="2"/>
  <c r="K38" i="2"/>
  <c r="K36" i="2"/>
  <c r="K60" i="2"/>
  <c r="K22" i="2"/>
  <c r="K55" i="2"/>
  <c r="K54" i="2"/>
  <c r="K29" i="2"/>
  <c r="K15" i="2"/>
  <c r="K18" i="2"/>
  <c r="K26" i="2"/>
  <c r="K10" i="2"/>
  <c r="K40" i="2"/>
  <c r="K28" i="2"/>
  <c r="T7" i="2"/>
  <c r="T11" i="2" s="1"/>
  <c r="K37" i="2"/>
  <c r="K35" i="2"/>
  <c r="K34" i="2"/>
  <c r="K12" i="2"/>
  <c r="K59" i="2"/>
  <c r="K25" i="2"/>
  <c r="K24" i="2"/>
  <c r="K58" i="2"/>
  <c r="K45" i="2"/>
  <c r="K9" i="2" l="1"/>
  <c r="T14" i="2"/>
  <c r="O10" i="2" l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P10" i="2"/>
  <c r="Q10" i="2"/>
  <c r="R10" i="2" s="1"/>
  <c r="P11" i="2" l="1"/>
  <c r="Q11" i="2"/>
  <c r="R11" i="2"/>
  <c r="P12" i="2" l="1"/>
  <c r="Q12" i="2"/>
  <c r="R12" i="2"/>
  <c r="P13" i="2" l="1"/>
  <c r="Q13" i="2"/>
  <c r="R13" i="2"/>
  <c r="P14" i="2" l="1"/>
  <c r="Q14" i="2"/>
  <c r="R14" i="2"/>
  <c r="P15" i="2" l="1"/>
  <c r="Q15" i="2"/>
  <c r="R15" i="2" s="1"/>
  <c r="P16" i="2" l="1"/>
  <c r="Q16" i="2"/>
  <c r="R16" i="2"/>
  <c r="P17" i="2" l="1"/>
  <c r="Q17" i="2"/>
  <c r="R17" i="2" s="1"/>
  <c r="P18" i="2" l="1"/>
  <c r="Q18" i="2"/>
  <c r="R18" i="2"/>
  <c r="P19" i="2" l="1"/>
  <c r="Q19" i="2"/>
  <c r="R19" i="2"/>
  <c r="P20" i="2" l="1"/>
  <c r="Q20" i="2"/>
  <c r="R20" i="2" l="1"/>
  <c r="P21" i="2"/>
  <c r="Q21" i="2"/>
  <c r="R21" i="2" s="1"/>
  <c r="P22" i="2" l="1"/>
  <c r="Q22" i="2"/>
  <c r="R22" i="2" s="1"/>
  <c r="P23" i="2" l="1"/>
  <c r="Q23" i="2"/>
  <c r="R23" i="2" s="1"/>
  <c r="Q24" i="2" l="1"/>
  <c r="P24" i="2"/>
  <c r="Q25" i="2" l="1"/>
  <c r="P25" i="2"/>
  <c r="R24" i="2"/>
  <c r="Q26" i="2" l="1"/>
  <c r="P26" i="2"/>
  <c r="R25" i="2"/>
  <c r="Q27" i="2" l="1"/>
  <c r="P27" i="2"/>
  <c r="R26" i="2"/>
  <c r="P28" i="2" l="1"/>
  <c r="Q28" i="2"/>
  <c r="R28" i="2" s="1"/>
  <c r="R27" i="2"/>
  <c r="Q30" i="2" l="1"/>
  <c r="R30" i="2" s="1"/>
  <c r="P30" i="2"/>
  <c r="R29" i="2"/>
  <c r="Q31" i="2" l="1"/>
  <c r="R31" i="2" s="1"/>
  <c r="P31" i="2"/>
  <c r="Q32" i="2" l="1"/>
  <c r="P32" i="2"/>
  <c r="Q33" i="2" l="1"/>
  <c r="P33" i="2"/>
  <c r="R32" i="2"/>
  <c r="P34" i="2" l="1"/>
  <c r="Q34" i="2"/>
  <c r="R33" i="2"/>
  <c r="R34" i="2" l="1"/>
  <c r="Q36" i="2" l="1"/>
  <c r="P36" i="2"/>
  <c r="R35" i="2"/>
  <c r="R36" i="2" l="1"/>
  <c r="T15" i="2" s="1"/>
  <c r="T17" i="2" s="1"/>
  <c r="Q37" i="2"/>
  <c r="P37" i="2"/>
  <c r="P38" i="2" l="1"/>
  <c r="Q38" i="2"/>
  <c r="R38" i="2" s="1"/>
  <c r="R37" i="2"/>
  <c r="Q39" i="2" l="1"/>
  <c r="P39" i="2"/>
  <c r="R39" i="2" l="1"/>
  <c r="P40" i="2"/>
  <c r="Q40" i="2"/>
  <c r="R40" i="2" s="1"/>
  <c r="P42" i="2" l="1"/>
  <c r="Q42" i="2"/>
  <c r="R41" i="2"/>
  <c r="R42" i="2" l="1"/>
  <c r="Q43" i="2"/>
  <c r="P43" i="2"/>
  <c r="R43" i="2" l="1"/>
  <c r="P44" i="2"/>
  <c r="Q44" i="2"/>
  <c r="R44" i="2" s="1"/>
  <c r="P45" i="2" l="1"/>
  <c r="Q45" i="2"/>
  <c r="R45" i="2" s="1"/>
  <c r="P46" i="2" l="1"/>
  <c r="Q46" i="2"/>
  <c r="R46" i="2" l="1"/>
  <c r="R47" i="2"/>
  <c r="P48" i="2" l="1"/>
  <c r="Q48" i="2"/>
  <c r="R48" i="2" s="1"/>
  <c r="P49" i="2" l="1"/>
  <c r="Q49" i="2"/>
  <c r="R49" i="2" s="1"/>
  <c r="Q50" i="2" l="1"/>
  <c r="P50" i="2"/>
  <c r="R50" i="2" l="1"/>
  <c r="P51" i="2"/>
  <c r="Q51" i="2"/>
  <c r="R51" i="2" s="1"/>
  <c r="Q52" i="2" l="1"/>
  <c r="P52" i="2"/>
  <c r="R53" i="2" l="1"/>
  <c r="R52" i="2"/>
  <c r="P54" i="2" l="1"/>
  <c r="Q54" i="2"/>
  <c r="R54" i="2" s="1"/>
  <c r="Q55" i="2" l="1"/>
  <c r="P55" i="2"/>
  <c r="Q56" i="2" l="1"/>
  <c r="P56" i="2"/>
  <c r="R55" i="2"/>
  <c r="R56" i="2" l="1"/>
  <c r="Q57" i="2"/>
  <c r="P57" i="2"/>
  <c r="P58" i="2" l="1"/>
  <c r="Q58" i="2"/>
  <c r="R58" i="2" s="1"/>
  <c r="R57" i="2"/>
  <c r="R59" i="2" l="1"/>
  <c r="Q60" i="2" l="1"/>
  <c r="P60" i="2"/>
  <c r="P61" i="2" l="1"/>
  <c r="Q61" i="2"/>
  <c r="R61" i="2" s="1"/>
  <c r="R60" i="2"/>
  <c r="Q62" i="2" l="1"/>
  <c r="P62" i="2"/>
  <c r="P63" i="2" l="1"/>
  <c r="Q63" i="2"/>
  <c r="R63" i="2" s="1"/>
  <c r="R62" i="2"/>
  <c r="P64" i="2" l="1"/>
  <c r="Q64" i="2"/>
  <c r="R64" i="2" s="1"/>
  <c r="R65" i="2" l="1"/>
  <c r="P66" i="2" l="1"/>
  <c r="Q66" i="2"/>
  <c r="R66" i="2" s="1"/>
  <c r="Q67" i="2" l="1"/>
  <c r="P67" i="2"/>
  <c r="P68" i="2" l="1"/>
  <c r="Q68" i="2"/>
  <c r="R67" i="2"/>
  <c r="R68" i="2" l="1"/>
  <c r="Q69" i="2"/>
  <c r="P69" i="2"/>
  <c r="P70" i="2" l="1"/>
  <c r="Q70" i="2"/>
  <c r="R70" i="2" s="1"/>
  <c r="R69" i="2"/>
  <c r="Q72" i="2" l="1"/>
  <c r="P72" i="2"/>
  <c r="R71" i="2"/>
  <c r="Q73" i="2" l="1"/>
  <c r="P73" i="2"/>
  <c r="R72" i="2"/>
  <c r="P74" i="2" l="1"/>
  <c r="Q74" i="2"/>
  <c r="R73" i="2"/>
  <c r="R74" i="2" l="1"/>
  <c r="P75" i="2"/>
  <c r="Q75" i="2"/>
  <c r="R75" i="2" l="1"/>
  <c r="Q76" i="2"/>
  <c r="P76" i="2"/>
  <c r="P77" i="2" l="1"/>
  <c r="Q77" i="2"/>
  <c r="R76" i="2"/>
  <c r="R77" i="2" l="1"/>
  <c r="P78" i="2"/>
  <c r="Q78" i="2"/>
  <c r="R78" i="2" s="1"/>
  <c r="Q79" i="2" l="1"/>
  <c r="P79" i="2"/>
  <c r="P80" i="2" l="1"/>
  <c r="Q80" i="2"/>
  <c r="R80" i="2" s="1"/>
  <c r="R79" i="2"/>
  <c r="P81" i="2" l="1"/>
  <c r="Q81" i="2"/>
  <c r="R81" i="2" l="1"/>
  <c r="P82" i="2"/>
  <c r="Q82" i="2"/>
  <c r="R82" i="2" l="1"/>
  <c r="P83" i="2"/>
  <c r="Q83" i="2"/>
  <c r="R83" i="2" s="1"/>
  <c r="P84" i="2" l="1"/>
  <c r="Q84" i="2"/>
  <c r="R84" i="2" l="1"/>
  <c r="P85" i="2"/>
  <c r="Q85" i="2"/>
  <c r="R85" i="2" s="1"/>
  <c r="P86" i="2" l="1"/>
  <c r="Q86" i="2"/>
  <c r="R86" i="2" l="1"/>
  <c r="P87" i="2"/>
  <c r="Q87" i="2"/>
  <c r="R87" i="2" l="1"/>
  <c r="P88" i="2"/>
  <c r="Q88" i="2"/>
  <c r="R88" i="2" l="1"/>
  <c r="Q89" i="2"/>
  <c r="P89" i="2"/>
  <c r="R89" i="2" l="1"/>
  <c r="P90" i="2"/>
  <c r="Q90" i="2"/>
  <c r="R90" i="2" l="1"/>
  <c r="P91" i="2"/>
  <c r="Q91" i="2"/>
  <c r="R91" i="2" s="1"/>
  <c r="P92" i="2" l="1"/>
  <c r="Q92" i="2"/>
  <c r="R92" i="2" l="1"/>
  <c r="P93" i="2"/>
  <c r="Q93" i="2"/>
  <c r="R93" i="2" s="1"/>
  <c r="Q94" i="2" l="1"/>
  <c r="P94" i="2"/>
  <c r="R94" i="2" l="1"/>
</calcChain>
</file>

<file path=xl/comments1.xml><?xml version="1.0" encoding="utf-8"?>
<comments xmlns="http://schemas.openxmlformats.org/spreadsheetml/2006/main">
  <authors>
    <author>S. Martel</author>
  </authors>
  <commentList>
    <comment ref="P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<sst xmlns="http://schemas.openxmlformats.org/spreadsheetml/2006/main" count="190" uniqueCount="98">
  <si>
    <t>an</t>
  </si>
  <si>
    <t>Essence</t>
  </si>
  <si>
    <t>Essence assimilée équation allométrique</t>
  </si>
  <si>
    <t>a</t>
  </si>
  <si>
    <t>b</t>
  </si>
  <si>
    <t>g</t>
  </si>
  <si>
    <t>d</t>
  </si>
  <si>
    <t>Feuillu/résineux</t>
  </si>
  <si>
    <t>facteur expansion racines</t>
  </si>
  <si>
    <t>facteur expansion branches</t>
  </si>
  <si>
    <t>Genre ou espèce infradensité</t>
  </si>
  <si>
    <t>Infradensités (GIEC)</t>
  </si>
  <si>
    <t>K : facteur d'écorce</t>
  </si>
  <si>
    <t>résineux</t>
  </si>
  <si>
    <t>4. Données produits bois</t>
  </si>
  <si>
    <t>Sciage</t>
  </si>
  <si>
    <t>Panneaux bois</t>
  </si>
  <si>
    <t>Papier</t>
  </si>
  <si>
    <t>BE</t>
  </si>
  <si>
    <t>demi-vie</t>
  </si>
  <si>
    <t>k</t>
  </si>
  <si>
    <t>PROJET</t>
  </si>
  <si>
    <t>Année</t>
  </si>
  <si>
    <t>V (m³/ha)</t>
  </si>
  <si>
    <t>Biomasse 
totale accrus (tCO₂/ha)</t>
  </si>
  <si>
    <t>Age peuplement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</si>
  <si>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</si>
  <si>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Biomasse aérienne projet (tMS/ha)</t>
  </si>
  <si>
    <t>Biomasse racinaire projet (tMS/ha)</t>
  </si>
  <si>
    <t>Biomasse totale projet (tMS/ha)</t>
  </si>
  <si>
    <t>Gain CO₂ moyen de long terme</t>
  </si>
  <si>
    <t>Différence de stock moyen de long terme</t>
  </si>
  <si>
    <t>Différence de stock à 30 ans</t>
  </si>
  <si>
    <t>Gain en CO₂ (Ba + Br)</t>
  </si>
  <si>
    <t>Gain dans le sol</t>
  </si>
  <si>
    <t>Gain dans la litière</t>
  </si>
  <si>
    <t>Gain dans le bois mort</t>
  </si>
  <si>
    <t>REA générables forêt</t>
  </si>
  <si>
    <t>Coefficient de substitution</t>
  </si>
  <si>
    <t>REI</t>
  </si>
  <si>
    <t>REA produits bois</t>
  </si>
  <si>
    <t>REE</t>
  </si>
  <si>
    <t>La totalité de la récolte est valorisée en BI (hypothèse méthode boisement résineux) dont 56% en panneaux (coeff 0,77) et 44% en papier (coeff 0)</t>
  </si>
  <si>
    <t>Récolte (tCO2/ha)</t>
  </si>
  <si>
    <t>Carbone séquestré Séquoia (tCO2e/ha)</t>
  </si>
  <si>
    <t>Gain CO₂ moyen long terme prairie paturée</t>
  </si>
  <si>
    <t>Species</t>
  </si>
  <si>
    <t>Yield class</t>
  </si>
  <si>
    <t>Thinning treatment</t>
  </si>
  <si>
    <t>Initial spacing</t>
  </si>
  <si>
    <t>Stand area</t>
  </si>
  <si>
    <t>Grand fir</t>
  </si>
  <si>
    <t>Crown</t>
  </si>
  <si>
    <t>1st thin delay</t>
  </si>
  <si>
    <t>1st thin type</t>
  </si>
  <si>
    <t>1st thin age</t>
  </si>
  <si>
    <t>2nd thin age</t>
  </si>
  <si>
    <t>Max MAI age</t>
  </si>
  <si>
    <t>Sub thin type</t>
  </si>
  <si>
    <t>Late thin age</t>
  </si>
  <si>
    <t>Late thin cycle</t>
  </si>
  <si>
    <t>0 years</t>
  </si>
  <si>
    <t>CROWN</t>
  </si>
  <si>
    <t>19 years</t>
  </si>
  <si>
    <t>24 years</t>
  </si>
  <si>
    <t>49 years</t>
  </si>
  <si>
    <t>N/A</t>
  </si>
  <si>
    <t>MAIN CROP after thinning</t>
  </si>
  <si>
    <t>Yield from THINNINGS</t>
  </si>
  <si>
    <t>CUMULATIVE PRODUCTION</t>
  </si>
  <si>
    <t>MAI</t>
  </si>
  <si>
    <t>Age yrs</t>
  </si>
  <si>
    <t>Top ht m</t>
  </si>
  <si>
    <t>Trees /ha</t>
  </si>
  <si>
    <t>Mean dbh cm</t>
  </si>
  <si>
    <t>BA m²/ha</t>
  </si>
  <si>
    <t>Mean vol m³</t>
  </si>
  <si>
    <t>Vol m³/ha</t>
  </si>
  <si>
    <t>Vol m³/ha /yr</t>
  </si>
  <si>
    <t>Après éclaircie</t>
  </si>
  <si>
    <t>Avant éclaircie</t>
  </si>
  <si>
    <t>V (m3/ha)</t>
  </si>
  <si>
    <t>Sequoia</t>
  </si>
  <si>
    <t>-</t>
  </si>
  <si>
    <t>Stockage Papier (tCO2/ha)</t>
  </si>
  <si>
    <t>Stockage produits bois total (tCO2/ha)</t>
  </si>
  <si>
    <t>Stockage panneaux (tCO2/ha)</t>
  </si>
  <si>
    <t>Récolte (m3/ha)</t>
  </si>
  <si>
    <t>Source: table britannique</t>
  </si>
  <si>
    <t>Eclaircies
réalisées</t>
  </si>
  <si>
    <t>Eclaircies non 
réalisées</t>
  </si>
  <si>
    <t/>
  </si>
  <si>
    <t>Plants robinier</t>
  </si>
  <si>
    <t>% Sciages</t>
  </si>
  <si>
    <t>% Panneaux</t>
  </si>
  <si>
    <t>% Pâte à papier</t>
  </si>
  <si>
    <t>Stockage sciage (tCO2/ha)</t>
  </si>
  <si>
    <t>Récolte pendant 30 ans (m³/ha)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</si>
</sst>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.25"/>
      <color indexed="8"/>
      <name val="Verdana"/>
      <family val="2"/>
    </font>
    <font>
      <sz val="8.25"/>
      <color indexed="8"/>
      <name val="Verdana"/>
      <family val="2"/>
    </font>
    <font>
      <sz val="11"/>
      <color rgb="FFFF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1"/>
      <color theme="1" tint="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2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/>
    <xf numFmtId="0" fontId="0" fillId="0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0" fillId="0" borderId="0" xfId="0" applyNumberFormat="1"/>
    <xf numFmtId="165" fontId="0" fillId="8" borderId="0" xfId="0" applyNumberFormat="1" applyFill="1"/>
    <xf numFmtId="0" fontId="0" fillId="0" borderId="0" xfId="0" applyFill="1"/>
    <xf numFmtId="165" fontId="0" fillId="0" borderId="0" xfId="0" applyNumberFormat="1" applyFill="1"/>
    <xf numFmtId="0" fontId="9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top" wrapText="1"/>
    </xf>
    <xf numFmtId="0" fontId="3" fillId="9" borderId="7" xfId="0" applyFont="1" applyFill="1" applyBorder="1" applyAlignment="1">
      <alignment horizontal="center" vertical="center" wrapText="1"/>
    </xf>
    <xf numFmtId="0" fontId="0" fillId="9" borderId="0" xfId="0" applyFill="1"/>
    <xf numFmtId="164" fontId="0" fillId="9" borderId="0" xfId="0" applyNumberFormat="1" applyFill="1"/>
    <xf numFmtId="0" fontId="3" fillId="9" borderId="5" xfId="0" applyFont="1" applyFill="1" applyBorder="1" applyAlignment="1">
      <alignment horizontal="center" vertical="center" wrapText="1"/>
    </xf>
    <xf numFmtId="1" fontId="0" fillId="9" borderId="0" xfId="0" applyNumberFormat="1" applyFill="1"/>
    <xf numFmtId="1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3" fillId="9" borderId="0" xfId="0" applyFont="1" applyFill="1" applyAlignment="1">
      <alignment horizontal="center" vertical="center" wrapText="1"/>
    </xf>
    <xf numFmtId="164" fontId="3" fillId="9" borderId="0" xfId="0" applyNumberFormat="1" applyFont="1" applyFill="1"/>
    <xf numFmtId="0" fontId="2" fillId="9" borderId="7" xfId="0" applyFont="1" applyFill="1" applyBorder="1" applyAlignment="1">
      <alignment horizontal="center" vertical="center" wrapText="1"/>
    </xf>
    <xf numFmtId="164" fontId="1" fillId="9" borderId="0" xfId="0" applyNumberFormat="1" applyFont="1" applyFill="1"/>
    <xf numFmtId="16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1" fillId="0" borderId="0" xfId="0" applyFont="1"/>
    <xf numFmtId="164" fontId="11" fillId="0" borderId="0" xfId="0" applyNumberFormat="1" applyFont="1"/>
    <xf numFmtId="0" fontId="2" fillId="3" borderId="2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9" fontId="0" fillId="9" borderId="0" xfId="0" applyNumberFormat="1" applyFill="1"/>
    <xf numFmtId="1" fontId="12" fillId="9" borderId="0" xfId="0" applyNumberFormat="1" applyFont="1" applyFill="1"/>
    <xf numFmtId="9" fontId="12" fillId="9" borderId="0" xfId="0" applyNumberFormat="1" applyFont="1" applyFill="1"/>
    <xf numFmtId="164" fontId="13" fillId="9" borderId="0" xfId="0" applyNumberFormat="1" applyFont="1" applyFill="1"/>
    <xf numFmtId="164" fontId="12" fillId="9" borderId="0" xfId="0" applyNumberFormat="1" applyFont="1" applyFill="1"/>
    <xf numFmtId="164" fontId="14" fillId="9" borderId="0" xfId="0" applyNumberFormat="1" applyFont="1" applyFill="1"/>
    <xf numFmtId="164" fontId="3" fillId="10" borderId="0" xfId="0" applyNumberFormat="1" applyFont="1" applyFill="1"/>
    <xf numFmtId="164" fontId="0" fillId="10" borderId="0" xfId="0" applyNumberForma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[1]Modèle!$A$3:$A$103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cat>
          <c:val>
            <c:numRef>
              <c:f>[1]Modèle!$L$3:$L$103</c:f>
              <c:numCache>
                <c:formatCode>General</c:formatCode>
                <c:ptCount val="101"/>
                <c:pt idx="0">
                  <c:v>0</c:v>
                </c:pt>
                <c:pt idx="1">
                  <c:v>0.96259597104155847</c:v>
                </c:pt>
                <c:pt idx="2">
                  <c:v>1.874245651513202</c:v>
                </c:pt>
                <c:pt idx="3">
                  <c:v>2.7694422374745726</c:v>
                </c:pt>
                <c:pt idx="4">
                  <c:v>4.5322695616364639</c:v>
                </c:pt>
                <c:pt idx="5">
                  <c:v>7.1355760640257566</c:v>
                </c:pt>
                <c:pt idx="6">
                  <c:v>10.560650246043949</c:v>
                </c:pt>
                <c:pt idx="7">
                  <c:v>15.636773196306708</c:v>
                </c:pt>
                <c:pt idx="8">
                  <c:v>22.33072095081037</c:v>
                </c:pt>
                <c:pt idx="9">
                  <c:v>30.618501064154817</c:v>
                </c:pt>
                <c:pt idx="10">
                  <c:v>40.482366784978375</c:v>
                </c:pt>
                <c:pt idx="11">
                  <c:v>53.5351174143264</c:v>
                </c:pt>
                <c:pt idx="12">
                  <c:v>68.119643924104537</c:v>
                </c:pt>
                <c:pt idx="13">
                  <c:v>84.230750930763563</c:v>
                </c:pt>
                <c:pt idx="14">
                  <c:v>101.8635119286639</c:v>
                </c:pt>
                <c:pt idx="15">
                  <c:v>119.42052262122429</c:v>
                </c:pt>
                <c:pt idx="16">
                  <c:v>137.7083635022492</c:v>
                </c:pt>
                <c:pt idx="17">
                  <c:v>155.93775882820461</c:v>
                </c:pt>
                <c:pt idx="18">
                  <c:v>174.90584046860877</c:v>
                </c:pt>
                <c:pt idx="19">
                  <c:v>193.82559249840719</c:v>
                </c:pt>
                <c:pt idx="20">
                  <c:v>212.70239804910193</c:v>
                </c:pt>
                <c:pt idx="21">
                  <c:v>133.73802986245025</c:v>
                </c:pt>
                <c:pt idx="22">
                  <c:v>153.08797965351815</c:v>
                </c:pt>
                <c:pt idx="23">
                  <c:v>172.37968740233387</c:v>
                </c:pt>
                <c:pt idx="24">
                  <c:v>191.62059368573583</c:v>
                </c:pt>
                <c:pt idx="25">
                  <c:v>210.81651943579473</c:v>
                </c:pt>
                <c:pt idx="26">
                  <c:v>229.97213730997649</c:v>
                </c:pt>
                <c:pt idx="27">
                  <c:v>171.74801353051501</c:v>
                </c:pt>
                <c:pt idx="28">
                  <c:v>189.73012452864646</c:v>
                </c:pt>
                <c:pt idx="29">
                  <c:v>207.67252129844053</c:v>
                </c:pt>
                <c:pt idx="30">
                  <c:v>225.57911862031798</c:v>
                </c:pt>
                <c:pt idx="31">
                  <c:v>243.45315837795934</c:v>
                </c:pt>
                <c:pt idx="32">
                  <c:v>261.29736721640791</c:v>
                </c:pt>
                <c:pt idx="33">
                  <c:v>203.26907123098991</c:v>
                </c:pt>
                <c:pt idx="34">
                  <c:v>219.92806307536296</c:v>
                </c:pt>
                <c:pt idx="35">
                  <c:v>236.55808044428508</c:v>
                </c:pt>
                <c:pt idx="36">
                  <c:v>253.16144710765533</c:v>
                </c:pt>
                <c:pt idx="37">
                  <c:v>269.74015697851786</c:v>
                </c:pt>
                <c:pt idx="38">
                  <c:v>286.29593876612068</c:v>
                </c:pt>
                <c:pt idx="39">
                  <c:v>229.97213730997649</c:v>
                </c:pt>
                <c:pt idx="40">
                  <c:v>245.01959722679601</c:v>
                </c:pt>
                <c:pt idx="41">
                  <c:v>260.0460645487633</c:v>
                </c:pt>
                <c:pt idx="42">
                  <c:v>275.05292326713243</c:v>
                </c:pt>
                <c:pt idx="43">
                  <c:v>290.04139396546566</c:v>
                </c:pt>
                <c:pt idx="44">
                  <c:v>305.01256073997382</c:v>
                </c:pt>
                <c:pt idx="45">
                  <c:v>253.47447536439981</c:v>
                </c:pt>
                <c:pt idx="46">
                  <c:v>266.92656506820367</c:v>
                </c:pt>
                <c:pt idx="47">
                  <c:v>280.36338431358689</c:v>
                </c:pt>
                <c:pt idx="48">
                  <c:v>293.78576822908889</c:v>
                </c:pt>
                <c:pt idx="49">
                  <c:v>307.19446937538345</c:v>
                </c:pt>
                <c:pt idx="50">
                  <c:v>320.59016923293365</c:v>
                </c:pt>
                <c:pt idx="51">
                  <c:v>272.24057270166469</c:v>
                </c:pt>
                <c:pt idx="52">
                  <c:v>284.42280077304105</c:v>
                </c:pt>
                <c:pt idx="53">
                  <c:v>296.59334905146255</c:v>
                </c:pt>
                <c:pt idx="54">
                  <c:v>308.75276451593004</c:v>
                </c:pt>
                <c:pt idx="55">
                  <c:v>320.90154752800976</c:v>
                </c:pt>
                <c:pt idx="56">
                  <c:v>333.0401574570293</c:v>
                </c:pt>
                <c:pt idx="57">
                  <c:v>289.41722692891403</c:v>
                </c:pt>
                <c:pt idx="58">
                  <c:v>300.02403249547757</c:v>
                </c:pt>
                <c:pt idx="59">
                  <c:v>310.62248816136616</c:v>
                </c:pt>
                <c:pt idx="60">
                  <c:v>321.21291913664703</c:v>
                </c:pt>
                <c:pt idx="61">
                  <c:v>331.79562742491447</c:v>
                </c:pt>
                <c:pt idx="62">
                  <c:v>342.37089418257477</c:v>
                </c:pt>
                <c:pt idx="63">
                  <c:v>303.45384214677318</c:v>
                </c:pt>
                <c:pt idx="64">
                  <c:v>312.80351675757174</c:v>
                </c:pt>
                <c:pt idx="65">
                  <c:v>322.14699391797183</c:v>
                </c:pt>
                <c:pt idx="66">
                  <c:v>331.48447884420858</c:v>
                </c:pt>
                <c:pt idx="67">
                  <c:v>340.81616423982365</c:v>
                </c:pt>
                <c:pt idx="68">
                  <c:v>350.14223138776873</c:v>
                </c:pt>
                <c:pt idx="69">
                  <c:v>315.9186873454837</c:v>
                </c:pt>
                <c:pt idx="70">
                  <c:v>324.01496394256736</c:v>
                </c:pt>
                <c:pt idx="71">
                  <c:v>332.10676956966137</c:v>
                </c:pt>
                <c:pt idx="72">
                  <c:v>340.19422861744891</c:v>
                </c:pt>
                <c:pt idx="73">
                  <c:v>348.27745907481875</c:v>
                </c:pt>
                <c:pt idx="74">
                  <c:v>356.35657300253297</c:v>
                </c:pt>
                <c:pt idx="75">
                  <c:v>325.26014493454323</c:v>
                </c:pt>
                <c:pt idx="76">
                  <c:v>332.41790528534432</c:v>
                </c:pt>
                <c:pt idx="77">
                  <c:v>339.57226797673195</c:v>
                </c:pt>
                <c:pt idx="78">
                  <c:v>346.72331475971595</c:v>
                </c:pt>
                <c:pt idx="79">
                  <c:v>353.87112373479096</c:v>
                </c:pt>
                <c:pt idx="80">
                  <c:v>361.01576958702663</c:v>
                </c:pt>
                <c:pt idx="81">
                  <c:v>334.59567585759874</c:v>
                </c:pt>
                <c:pt idx="82">
                  <c:v>340.81616423982365</c:v>
                </c:pt>
                <c:pt idx="83">
                  <c:v>347.03415583786756</c:v>
                </c:pt>
                <c:pt idx="84">
                  <c:v>353.24970174806907</c:v>
                </c:pt>
                <c:pt idx="85">
                  <c:v>359.46285112001948</c:v>
                </c:pt>
                <c:pt idx="86">
                  <c:v>365.67365126385283</c:v>
                </c:pt>
                <c:pt idx="87">
                  <c:v>342.37089418257477</c:v>
                </c:pt>
                <c:pt idx="88">
                  <c:v>347.65581965898065</c:v>
                </c:pt>
                <c:pt idx="89">
                  <c:v>352.93898177127249</c:v>
                </c:pt>
                <c:pt idx="90">
                  <c:v>358.22041067213968</c:v>
                </c:pt>
                <c:pt idx="91">
                  <c:v>363.5001355515472</c:v>
                </c:pt>
                <c:pt idx="92">
                  <c:v>368.77818468132654</c:v>
                </c:pt>
                <c:pt idx="93">
                  <c:v>348.58826964633107</c:v>
                </c:pt>
                <c:pt idx="94">
                  <c:v>353.24970174806907</c:v>
                </c:pt>
                <c:pt idx="95">
                  <c:v>357.90978583474595</c:v>
                </c:pt>
                <c:pt idx="96">
                  <c:v>362.56854195764805</c:v>
                </c:pt>
                <c:pt idx="97">
                  <c:v>367.22598961006497</c:v>
                </c:pt>
                <c:pt idx="98">
                  <c:v>371.88214774985948</c:v>
                </c:pt>
                <c:pt idx="99">
                  <c:v>353.24970174806907</c:v>
                </c:pt>
                <c:pt idx="100">
                  <c:v>357.59915509549666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[1]Modèle!$A$3:$A$103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3610576"/>
        <c:axId val="883604592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[1]Modèle!$A$3:$A$114</c:f>
              <c:numCache>
                <c:formatCode>General</c:formatCod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10576"/>
        <c:axId val="883604592"/>
      </c:lineChart>
      <c:catAx>
        <c:axId val="88361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836045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836045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8361057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'Interpolation linéaire'!$C$2:$C$79</c:f>
              <c:numCache>
                <c:formatCode>0.0</c:formatCode>
                <c:ptCount val="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13</c:v>
                </c:pt>
                <c:pt idx="7">
                  <c:v>17</c:v>
                </c:pt>
                <c:pt idx="8">
                  <c:v>22</c:v>
                </c:pt>
                <c:pt idx="9">
                  <c:v>28</c:v>
                </c:pt>
                <c:pt idx="10">
                  <c:v>35</c:v>
                </c:pt>
                <c:pt idx="11">
                  <c:v>44</c:v>
                </c:pt>
                <c:pt idx="12">
                  <c:v>56</c:v>
                </c:pt>
                <c:pt idx="13">
                  <c:v>74</c:v>
                </c:pt>
                <c:pt idx="14">
                  <c:v>92</c:v>
                </c:pt>
                <c:pt idx="15">
                  <c:v>120.6</c:v>
                </c:pt>
                <c:pt idx="16">
                  <c:v>149.19999999999999</c:v>
                </c:pt>
                <c:pt idx="17">
                  <c:v>177.8</c:v>
                </c:pt>
                <c:pt idx="18">
                  <c:v>206.4</c:v>
                </c:pt>
                <c:pt idx="19">
                  <c:v>235</c:v>
                </c:pt>
                <c:pt idx="20">
                  <c:v>130</c:v>
                </c:pt>
                <c:pt idx="21">
                  <c:v>171.8</c:v>
                </c:pt>
                <c:pt idx="22">
                  <c:v>213.6</c:v>
                </c:pt>
                <c:pt idx="23">
                  <c:v>255.4</c:v>
                </c:pt>
                <c:pt idx="24">
                  <c:v>297.2</c:v>
                </c:pt>
                <c:pt idx="25">
                  <c:v>339</c:v>
                </c:pt>
                <c:pt idx="26">
                  <c:v>234</c:v>
                </c:pt>
                <c:pt idx="27">
                  <c:v>280.2</c:v>
                </c:pt>
                <c:pt idx="28">
                  <c:v>326.39999999999998</c:v>
                </c:pt>
                <c:pt idx="29">
                  <c:v>372.6</c:v>
                </c:pt>
                <c:pt idx="30">
                  <c:v>418.8</c:v>
                </c:pt>
                <c:pt idx="31">
                  <c:v>465</c:v>
                </c:pt>
                <c:pt idx="32">
                  <c:v>360</c:v>
                </c:pt>
                <c:pt idx="33">
                  <c:v>405.2</c:v>
                </c:pt>
                <c:pt idx="34">
                  <c:v>450.4</c:v>
                </c:pt>
                <c:pt idx="35">
                  <c:v>495.6</c:v>
                </c:pt>
                <c:pt idx="36">
                  <c:v>540.79999999999995</c:v>
                </c:pt>
                <c:pt idx="37">
                  <c:v>586</c:v>
                </c:pt>
                <c:pt idx="38">
                  <c:v>481</c:v>
                </c:pt>
                <c:pt idx="39">
                  <c:v>522.6</c:v>
                </c:pt>
                <c:pt idx="40">
                  <c:v>564.20000000000005</c:v>
                </c:pt>
                <c:pt idx="41">
                  <c:v>605.79999999999995</c:v>
                </c:pt>
                <c:pt idx="42">
                  <c:v>647.4</c:v>
                </c:pt>
                <c:pt idx="43">
                  <c:v>689</c:v>
                </c:pt>
                <c:pt idx="44">
                  <c:v>584</c:v>
                </c:pt>
                <c:pt idx="45">
                  <c:v>621.79999999999995</c:v>
                </c:pt>
                <c:pt idx="46">
                  <c:v>659.6</c:v>
                </c:pt>
                <c:pt idx="47">
                  <c:v>697.4</c:v>
                </c:pt>
                <c:pt idx="48">
                  <c:v>735.2</c:v>
                </c:pt>
                <c:pt idx="49">
                  <c:v>773</c:v>
                </c:pt>
                <c:pt idx="50">
                  <c:v>687</c:v>
                </c:pt>
                <c:pt idx="51">
                  <c:v>721</c:v>
                </c:pt>
                <c:pt idx="52">
                  <c:v>755</c:v>
                </c:pt>
                <c:pt idx="53">
                  <c:v>789</c:v>
                </c:pt>
                <c:pt idx="54">
                  <c:v>823</c:v>
                </c:pt>
                <c:pt idx="55">
                  <c:v>857</c:v>
                </c:pt>
                <c:pt idx="56">
                  <c:v>784</c:v>
                </c:pt>
                <c:pt idx="57">
                  <c:v>813.8</c:v>
                </c:pt>
                <c:pt idx="58">
                  <c:v>843.6</c:v>
                </c:pt>
                <c:pt idx="59">
                  <c:v>873.4</c:v>
                </c:pt>
                <c:pt idx="60">
                  <c:v>903.2</c:v>
                </c:pt>
                <c:pt idx="61">
                  <c:v>933</c:v>
                </c:pt>
                <c:pt idx="62">
                  <c:v>933</c:v>
                </c:pt>
                <c:pt idx="63">
                  <c:v>982</c:v>
                </c:pt>
                <c:pt idx="64">
                  <c:v>1031</c:v>
                </c:pt>
                <c:pt idx="65">
                  <c:v>1080</c:v>
                </c:pt>
                <c:pt idx="66">
                  <c:v>1129</c:v>
                </c:pt>
                <c:pt idx="67">
                  <c:v>1178</c:v>
                </c:pt>
                <c:pt idx="68">
                  <c:v>1057</c:v>
                </c:pt>
                <c:pt idx="69">
                  <c:v>1068</c:v>
                </c:pt>
                <c:pt idx="70">
                  <c:v>1079</c:v>
                </c:pt>
                <c:pt idx="71">
                  <c:v>1090</c:v>
                </c:pt>
                <c:pt idx="72">
                  <c:v>1101</c:v>
                </c:pt>
                <c:pt idx="73">
                  <c:v>1112</c:v>
                </c:pt>
                <c:pt idx="74">
                  <c:v>1004</c:v>
                </c:pt>
                <c:pt idx="75">
                  <c:v>1023.2</c:v>
                </c:pt>
                <c:pt idx="76">
                  <c:v>1042.4000000000001</c:v>
                </c:pt>
                <c:pt idx="77">
                  <c:v>1061.5999999999999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3607856"/>
        <c:axId val="883601328"/>
      </c:lineChart>
      <c:catAx>
        <c:axId val="88360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3601328"/>
        <c:crosses val="autoZero"/>
        <c:auto val="1"/>
        <c:lblAlgn val="ctr"/>
        <c:lblOffset val="100"/>
        <c:noMultiLvlLbl val="0"/>
      </c:catAx>
      <c:valAx>
        <c:axId val="88360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360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381000</xdr:colOff>
      <xdr:row>73</xdr:row>
      <xdr:rowOff>0</xdr:rowOff>
    </xdr:from>
    <xdr:to>
      <xdr:col>29</xdr:col>
      <xdr:colOff>76200</xdr:colOff>
      <xdr:row>98</xdr:row>
      <xdr:rowOff>123825</xdr:rowOff>
    </xdr:to>
    <xdr:graphicFrame macro="">
      <xdr:nvGraphicFramePr>
        <xdr:cNvPr id="3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0</xdr:row>
      <xdr:rowOff>185737</xdr:rowOff>
    </xdr:from>
    <xdr:to>
      <xdr:col>19</xdr:col>
      <xdr:colOff>323850</xdr:colOff>
      <xdr:row>15</xdr:row>
      <xdr:rowOff>71437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esktop/01-CRPF/01-Carbone/01-Label%20bas-carbone/03-Propri&#233;taires/02-En%20cours/De%20chenerilles/Boisement/D&#233;pot%20MTES/wetransfer-6f0c61/Document%2011%20-%20Quantification%20CO2%20ch&#234;ne%20rou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entrée"/>
      <sheetName val="d e affichage"/>
      <sheetName val="Modèle"/>
      <sheetName val="Paramètres"/>
      <sheetName val="Interpolation linéaire"/>
    </sheetNames>
    <sheetDataSet>
      <sheetData sheetId="0"/>
      <sheetData sheetId="1"/>
      <sheetData sheetId="2">
        <row r="3">
          <cell r="A3">
            <v>0</v>
          </cell>
          <cell r="L3">
            <v>0</v>
          </cell>
        </row>
        <row r="4">
          <cell r="A4">
            <v>1</v>
          </cell>
          <cell r="L4">
            <v>0.96259597104155847</v>
          </cell>
        </row>
        <row r="5">
          <cell r="A5">
            <v>2</v>
          </cell>
          <cell r="L5">
            <v>1.874245651513202</v>
          </cell>
        </row>
        <row r="6">
          <cell r="A6">
            <v>3</v>
          </cell>
          <cell r="L6">
            <v>2.7694422374745726</v>
          </cell>
        </row>
        <row r="7">
          <cell r="A7">
            <v>4</v>
          </cell>
          <cell r="L7">
            <v>4.5322695616364639</v>
          </cell>
        </row>
        <row r="8">
          <cell r="A8">
            <v>5</v>
          </cell>
          <cell r="L8">
            <v>7.1355760640257566</v>
          </cell>
        </row>
        <row r="9">
          <cell r="A9">
            <v>6</v>
          </cell>
          <cell r="L9">
            <v>10.560650246043949</v>
          </cell>
        </row>
        <row r="10">
          <cell r="A10">
            <v>7</v>
          </cell>
          <cell r="L10">
            <v>15.636773196306708</v>
          </cell>
        </row>
        <row r="11">
          <cell r="A11">
            <v>8</v>
          </cell>
          <cell r="L11">
            <v>22.33072095081037</v>
          </cell>
        </row>
        <row r="12">
          <cell r="A12">
            <v>9</v>
          </cell>
          <cell r="L12">
            <v>30.618501064154817</v>
          </cell>
        </row>
        <row r="13">
          <cell r="A13">
            <v>10</v>
          </cell>
          <cell r="L13">
            <v>40.482366784978375</v>
          </cell>
        </row>
        <row r="14">
          <cell r="A14">
            <v>11</v>
          </cell>
          <cell r="L14">
            <v>53.5351174143264</v>
          </cell>
        </row>
        <row r="15">
          <cell r="A15">
            <v>12</v>
          </cell>
          <cell r="L15">
            <v>68.119643924104537</v>
          </cell>
        </row>
        <row r="16">
          <cell r="A16">
            <v>13</v>
          </cell>
          <cell r="L16">
            <v>84.230750930763563</v>
          </cell>
        </row>
        <row r="17">
          <cell r="A17">
            <v>14</v>
          </cell>
          <cell r="L17">
            <v>101.8635119286639</v>
          </cell>
        </row>
        <row r="18">
          <cell r="A18">
            <v>15</v>
          </cell>
          <cell r="L18">
            <v>119.42052262122429</v>
          </cell>
        </row>
        <row r="19">
          <cell r="A19">
            <v>16</v>
          </cell>
          <cell r="L19">
            <v>137.7083635022492</v>
          </cell>
        </row>
        <row r="20">
          <cell r="A20">
            <v>17</v>
          </cell>
          <cell r="L20">
            <v>155.93775882820461</v>
          </cell>
        </row>
        <row r="21">
          <cell r="A21">
            <v>18</v>
          </cell>
          <cell r="L21">
            <v>174.90584046860877</v>
          </cell>
        </row>
        <row r="22">
          <cell r="A22">
            <v>19</v>
          </cell>
          <cell r="L22">
            <v>193.82559249840719</v>
          </cell>
        </row>
        <row r="23">
          <cell r="A23">
            <v>20</v>
          </cell>
          <cell r="L23">
            <v>212.70239804910193</v>
          </cell>
        </row>
        <row r="24">
          <cell r="A24">
            <v>21</v>
          </cell>
          <cell r="L24">
            <v>133.73802986245025</v>
          </cell>
        </row>
        <row r="25">
          <cell r="A25">
            <v>22</v>
          </cell>
          <cell r="L25">
            <v>153.08797965351815</v>
          </cell>
        </row>
        <row r="26">
          <cell r="A26">
            <v>23</v>
          </cell>
          <cell r="L26">
            <v>172.37968740233387</v>
          </cell>
        </row>
        <row r="27">
          <cell r="A27">
            <v>24</v>
          </cell>
          <cell r="L27">
            <v>191.62059368573583</v>
          </cell>
        </row>
        <row r="28">
          <cell r="A28">
            <v>25</v>
          </cell>
          <cell r="L28">
            <v>210.81651943579473</v>
          </cell>
        </row>
        <row r="29">
          <cell r="A29">
            <v>26</v>
          </cell>
          <cell r="L29">
            <v>229.97213730997649</v>
          </cell>
        </row>
        <row r="30">
          <cell r="A30">
            <v>27</v>
          </cell>
          <cell r="L30">
            <v>171.74801353051501</v>
          </cell>
        </row>
        <row r="31">
          <cell r="A31">
            <v>28</v>
          </cell>
          <cell r="L31">
            <v>189.73012452864646</v>
          </cell>
        </row>
        <row r="32">
          <cell r="A32">
            <v>29</v>
          </cell>
          <cell r="L32">
            <v>207.67252129844053</v>
          </cell>
        </row>
        <row r="33">
          <cell r="A33">
            <v>30</v>
          </cell>
          <cell r="L33">
            <v>225.57911862031798</v>
          </cell>
        </row>
        <row r="34">
          <cell r="A34">
            <v>31</v>
          </cell>
          <cell r="L34">
            <v>243.45315837795934</v>
          </cell>
        </row>
        <row r="35">
          <cell r="A35">
            <v>32</v>
          </cell>
          <cell r="L35">
            <v>261.29736721640791</v>
          </cell>
        </row>
        <row r="36">
          <cell r="A36">
            <v>33</v>
          </cell>
          <cell r="L36">
            <v>203.26907123098991</v>
          </cell>
        </row>
        <row r="37">
          <cell r="A37">
            <v>34</v>
          </cell>
          <cell r="L37">
            <v>219.92806307536296</v>
          </cell>
        </row>
        <row r="38">
          <cell r="A38">
            <v>35</v>
          </cell>
          <cell r="L38">
            <v>236.55808044428508</v>
          </cell>
        </row>
        <row r="39">
          <cell r="A39">
            <v>36</v>
          </cell>
          <cell r="L39">
            <v>253.16144710765533</v>
          </cell>
        </row>
        <row r="40">
          <cell r="A40">
            <v>37</v>
          </cell>
          <cell r="L40">
            <v>269.74015697851786</v>
          </cell>
        </row>
        <row r="41">
          <cell r="A41">
            <v>38</v>
          </cell>
          <cell r="L41">
            <v>286.29593876612068</v>
          </cell>
        </row>
        <row r="42">
          <cell r="A42">
            <v>39</v>
          </cell>
          <cell r="L42">
            <v>229.97213730997649</v>
          </cell>
        </row>
        <row r="43">
          <cell r="A43">
            <v>40</v>
          </cell>
          <cell r="L43">
            <v>245.01959722679601</v>
          </cell>
        </row>
        <row r="44">
          <cell r="A44">
            <v>41</v>
          </cell>
          <cell r="L44">
            <v>260.0460645487633</v>
          </cell>
        </row>
        <row r="45">
          <cell r="A45">
            <v>42</v>
          </cell>
          <cell r="L45">
            <v>275.05292326713243</v>
          </cell>
        </row>
        <row r="46">
          <cell r="A46">
            <v>43</v>
          </cell>
          <cell r="L46">
            <v>290.04139396546566</v>
          </cell>
        </row>
        <row r="47">
          <cell r="A47">
            <v>44</v>
          </cell>
          <cell r="L47">
            <v>305.01256073997382</v>
          </cell>
        </row>
        <row r="48">
          <cell r="A48">
            <v>45</v>
          </cell>
          <cell r="L48">
            <v>253.47447536439981</v>
          </cell>
        </row>
        <row r="49">
          <cell r="A49">
            <v>46</v>
          </cell>
          <cell r="L49">
            <v>266.92656506820367</v>
          </cell>
        </row>
        <row r="50">
          <cell r="A50">
            <v>47</v>
          </cell>
          <cell r="L50">
            <v>280.36338431358689</v>
          </cell>
        </row>
        <row r="51">
          <cell r="A51">
            <v>48</v>
          </cell>
          <cell r="L51">
            <v>293.78576822908889</v>
          </cell>
        </row>
        <row r="52">
          <cell r="A52">
            <v>49</v>
          </cell>
          <cell r="L52">
            <v>307.19446937538345</v>
          </cell>
        </row>
        <row r="53">
          <cell r="A53">
            <v>50</v>
          </cell>
          <cell r="L53">
            <v>320.59016923293365</v>
          </cell>
        </row>
        <row r="54">
          <cell r="A54">
            <v>51</v>
          </cell>
          <cell r="L54">
            <v>272.24057270166469</v>
          </cell>
        </row>
        <row r="55">
          <cell r="A55">
            <v>52</v>
          </cell>
          <cell r="L55">
            <v>284.42280077304105</v>
          </cell>
        </row>
        <row r="56">
          <cell r="A56">
            <v>53</v>
          </cell>
          <cell r="L56">
            <v>296.59334905146255</v>
          </cell>
        </row>
        <row r="57">
          <cell r="A57">
            <v>54</v>
          </cell>
          <cell r="L57">
            <v>308.75276451593004</v>
          </cell>
        </row>
        <row r="58">
          <cell r="A58">
            <v>55</v>
          </cell>
          <cell r="L58">
            <v>320.90154752800976</v>
          </cell>
        </row>
        <row r="59">
          <cell r="A59">
            <v>56</v>
          </cell>
          <cell r="L59">
            <v>333.0401574570293</v>
          </cell>
        </row>
        <row r="60">
          <cell r="A60">
            <v>57</v>
          </cell>
          <cell r="L60">
            <v>289.41722692891403</v>
          </cell>
        </row>
        <row r="61">
          <cell r="A61">
            <v>58</v>
          </cell>
          <cell r="L61">
            <v>300.02403249547757</v>
          </cell>
        </row>
        <row r="62">
          <cell r="A62">
            <v>59</v>
          </cell>
          <cell r="L62">
            <v>310.62248816136616</v>
          </cell>
        </row>
        <row r="63">
          <cell r="A63">
            <v>60</v>
          </cell>
          <cell r="L63">
            <v>321.21291913664703</v>
          </cell>
        </row>
        <row r="64">
          <cell r="A64">
            <v>61</v>
          </cell>
          <cell r="L64">
            <v>331.79562742491447</v>
          </cell>
        </row>
        <row r="65">
          <cell r="A65">
            <v>62</v>
          </cell>
          <cell r="L65">
            <v>342.37089418257477</v>
          </cell>
        </row>
        <row r="66">
          <cell r="A66">
            <v>63</v>
          </cell>
          <cell r="L66">
            <v>303.45384214677318</v>
          </cell>
        </row>
        <row r="67">
          <cell r="A67">
            <v>64</v>
          </cell>
          <cell r="L67">
            <v>312.80351675757174</v>
          </cell>
        </row>
        <row r="68">
          <cell r="A68">
            <v>65</v>
          </cell>
          <cell r="L68">
            <v>322.14699391797183</v>
          </cell>
        </row>
        <row r="69">
          <cell r="A69">
            <v>66</v>
          </cell>
          <cell r="L69">
            <v>331.48447884420858</v>
          </cell>
        </row>
        <row r="70">
          <cell r="A70">
            <v>67</v>
          </cell>
          <cell r="L70">
            <v>340.81616423982365</v>
          </cell>
        </row>
        <row r="71">
          <cell r="A71">
            <v>68</v>
          </cell>
          <cell r="L71">
            <v>350.14223138776873</v>
          </cell>
        </row>
        <row r="72">
          <cell r="A72">
            <v>69</v>
          </cell>
          <cell r="L72">
            <v>315.9186873454837</v>
          </cell>
        </row>
        <row r="73">
          <cell r="A73">
            <v>70</v>
          </cell>
          <cell r="L73">
            <v>324.01496394256736</v>
          </cell>
        </row>
        <row r="74">
          <cell r="A74">
            <v>71</v>
          </cell>
          <cell r="L74">
            <v>332.10676956966137</v>
          </cell>
        </row>
        <row r="75">
          <cell r="A75">
            <v>72</v>
          </cell>
          <cell r="L75">
            <v>340.19422861744891</v>
          </cell>
        </row>
        <row r="76">
          <cell r="A76">
            <v>73</v>
          </cell>
          <cell r="L76">
            <v>348.27745907481875</v>
          </cell>
        </row>
        <row r="77">
          <cell r="A77">
            <v>74</v>
          </cell>
          <cell r="L77">
            <v>356.35657300253297</v>
          </cell>
        </row>
        <row r="78">
          <cell r="A78">
            <v>75</v>
          </cell>
          <cell r="L78">
            <v>325.26014493454323</v>
          </cell>
        </row>
        <row r="79">
          <cell r="A79">
            <v>76</v>
          </cell>
          <cell r="L79">
            <v>332.41790528534432</v>
          </cell>
        </row>
        <row r="80">
          <cell r="A80">
            <v>77</v>
          </cell>
          <cell r="L80">
            <v>339.57226797673195</v>
          </cell>
        </row>
        <row r="81">
          <cell r="A81">
            <v>78</v>
          </cell>
          <cell r="L81">
            <v>346.72331475971595</v>
          </cell>
        </row>
        <row r="82">
          <cell r="A82">
            <v>79</v>
          </cell>
          <cell r="L82">
            <v>353.87112373479096</v>
          </cell>
        </row>
        <row r="83">
          <cell r="A83">
            <v>80</v>
          </cell>
          <cell r="L83">
            <v>361.01576958702663</v>
          </cell>
        </row>
        <row r="84">
          <cell r="A84">
            <v>81</v>
          </cell>
          <cell r="L84">
            <v>334.59567585759874</v>
          </cell>
        </row>
        <row r="85">
          <cell r="A85">
            <v>82</v>
          </cell>
          <cell r="L85">
            <v>340.81616423982365</v>
          </cell>
        </row>
        <row r="86">
          <cell r="A86">
            <v>83</v>
          </cell>
          <cell r="L86">
            <v>347.03415583786756</v>
          </cell>
        </row>
        <row r="87">
          <cell r="A87">
            <v>84</v>
          </cell>
          <cell r="L87">
            <v>353.24970174806907</v>
          </cell>
        </row>
        <row r="88">
          <cell r="A88">
            <v>85</v>
          </cell>
          <cell r="L88">
            <v>359.46285112001948</v>
          </cell>
        </row>
        <row r="89">
          <cell r="A89">
            <v>86</v>
          </cell>
          <cell r="L89">
            <v>365.67365126385283</v>
          </cell>
        </row>
        <row r="90">
          <cell r="A90">
            <v>87</v>
          </cell>
          <cell r="L90">
            <v>342.37089418257477</v>
          </cell>
        </row>
        <row r="91">
          <cell r="A91">
            <v>88</v>
          </cell>
          <cell r="L91">
            <v>347.65581965898065</v>
          </cell>
        </row>
        <row r="92">
          <cell r="A92">
            <v>89</v>
          </cell>
          <cell r="L92">
            <v>352.93898177127249</v>
          </cell>
        </row>
        <row r="93">
          <cell r="A93">
            <v>90</v>
          </cell>
          <cell r="L93">
            <v>358.22041067213968</v>
          </cell>
        </row>
        <row r="94">
          <cell r="A94">
            <v>0</v>
          </cell>
          <cell r="L94">
            <v>363.5001355515472</v>
          </cell>
        </row>
        <row r="95">
          <cell r="A95">
            <v>0</v>
          </cell>
          <cell r="L95">
            <v>368.77818468132654</v>
          </cell>
        </row>
        <row r="96">
          <cell r="A96">
            <v>0</v>
          </cell>
          <cell r="L96">
            <v>348.58826964633107</v>
          </cell>
        </row>
        <row r="97">
          <cell r="A97">
            <v>0</v>
          </cell>
          <cell r="L97">
            <v>353.24970174806907</v>
          </cell>
        </row>
        <row r="98">
          <cell r="A98">
            <v>0</v>
          </cell>
          <cell r="L98">
            <v>357.90978583474595</v>
          </cell>
        </row>
        <row r="99">
          <cell r="A99">
            <v>0</v>
          </cell>
          <cell r="L99">
            <v>362.56854195764805</v>
          </cell>
        </row>
        <row r="100">
          <cell r="A100">
            <v>0</v>
          </cell>
          <cell r="L100">
            <v>367.22598961006497</v>
          </cell>
        </row>
        <row r="101">
          <cell r="A101">
            <v>0</v>
          </cell>
          <cell r="L101">
            <v>371.88214774985948</v>
          </cell>
        </row>
        <row r="102">
          <cell r="A102">
            <v>0</v>
          </cell>
          <cell r="L102">
            <v>353.24970174806907</v>
          </cell>
        </row>
        <row r="103">
          <cell r="A103">
            <v>0</v>
          </cell>
          <cell r="L103">
            <v>357.59915509549666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20"/>
  <sheetViews>
    <sheetView tabSelected="1" topLeftCell="P1" zoomScaleNormal="100" workbookViewId="0">
      <selection activeCell="W8" sqref="W8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9.42578125" bestFit="1" customWidth="1"/>
    <col min="4" max="4" width="10.5703125" style="26" bestFit="1" customWidth="1"/>
    <col min="5" max="5" width="10.28515625" bestFit="1" customWidth="1"/>
    <col min="6" max="6" width="10.42578125" bestFit="1" customWidth="1"/>
    <col min="7" max="7" width="9.28515625" bestFit="1" customWidth="1"/>
    <col min="8" max="8" width="10.5703125" bestFit="1" customWidth="1"/>
    <col min="9" max="9" width="10.5703125" customWidth="1"/>
    <col min="10" max="10" width="15.85546875" bestFit="1" customWidth="1"/>
    <col min="11" max="16" width="17" customWidth="1"/>
    <col min="17" max="17" width="10.85546875" style="52" customWidth="1"/>
    <col min="18" max="18" width="9" bestFit="1" customWidth="1"/>
    <col min="19" max="19" width="39.85546875" style="51" bestFit="1" customWidth="1"/>
    <col min="20" max="20" width="13" customWidth="1"/>
  </cols>
  <sheetData>
    <row r="1" spans="1:21" ht="14.25" customHeight="1" x14ac:dyDescent="0.25">
      <c r="A1" s="7"/>
      <c r="B1" s="7"/>
      <c r="C1" s="62"/>
      <c r="D1" s="72" t="s">
        <v>21</v>
      </c>
      <c r="E1" s="73"/>
      <c r="F1" s="73"/>
      <c r="G1" s="73"/>
      <c r="H1" s="73"/>
      <c r="I1" s="73"/>
      <c r="J1" s="73"/>
    </row>
    <row r="2" spans="1:21" ht="89.25" x14ac:dyDescent="0.25">
      <c r="A2" s="2" t="s">
        <v>22</v>
      </c>
      <c r="B2" s="8" t="s">
        <v>23</v>
      </c>
      <c r="C2" s="9" t="s">
        <v>24</v>
      </c>
      <c r="D2" s="10" t="s">
        <v>25</v>
      </c>
      <c r="E2" s="11" t="s">
        <v>26</v>
      </c>
      <c r="F2" s="11" t="s">
        <v>27</v>
      </c>
      <c r="G2" s="11" t="s">
        <v>28</v>
      </c>
      <c r="H2" s="11" t="s">
        <v>29</v>
      </c>
      <c r="I2" s="12" t="s">
        <v>44</v>
      </c>
      <c r="J2" s="11" t="s">
        <v>87</v>
      </c>
      <c r="K2" s="42" t="s">
        <v>43</v>
      </c>
      <c r="L2" s="63" t="s">
        <v>93</v>
      </c>
      <c r="M2" s="63" t="s">
        <v>94</v>
      </c>
      <c r="N2" s="63" t="s">
        <v>95</v>
      </c>
      <c r="O2" s="63" t="s">
        <v>96</v>
      </c>
      <c r="P2" s="53" t="s">
        <v>86</v>
      </c>
      <c r="Q2" s="39" t="s">
        <v>84</v>
      </c>
      <c r="R2" s="55" t="s">
        <v>85</v>
      </c>
      <c r="S2" s="58" t="s">
        <v>88</v>
      </c>
    </row>
    <row r="3" spans="1:21" x14ac:dyDescent="0.25">
      <c r="A3" s="13">
        <v>0</v>
      </c>
      <c r="B3" s="14">
        <v>5</v>
      </c>
      <c r="C3" s="15">
        <f>B3*44/12</f>
        <v>18.333333333333332</v>
      </c>
      <c r="D3" s="29">
        <v>0</v>
      </c>
      <c r="E3" s="28">
        <v>0</v>
      </c>
      <c r="F3" s="16">
        <f>E3*Paramètres!K$2*Paramètres!I$2</f>
        <v>0</v>
      </c>
      <c r="G3" s="16">
        <v>0</v>
      </c>
      <c r="H3" s="16">
        <f>F3+G3</f>
        <v>0</v>
      </c>
      <c r="I3" s="17">
        <f>H3*0.475*44/12</f>
        <v>0</v>
      </c>
      <c r="J3" s="28">
        <v>0</v>
      </c>
      <c r="K3" s="43">
        <f t="shared" ref="K3:K34" si="0">J3*0.35*44/12</f>
        <v>0</v>
      </c>
      <c r="L3" s="64"/>
      <c r="M3" s="64"/>
      <c r="N3" s="64"/>
      <c r="O3" s="54">
        <v>0</v>
      </c>
      <c r="P3" s="54">
        <v>0</v>
      </c>
      <c r="Q3" s="40">
        <v>0</v>
      </c>
      <c r="R3" s="56">
        <f>Q3+P3</f>
        <v>0</v>
      </c>
      <c r="S3" s="18" t="s">
        <v>30</v>
      </c>
      <c r="T3" s="28">
        <f>AVERAGE(I3:I72)</f>
        <v>467.67209097632576</v>
      </c>
    </row>
    <row r="4" spans="1:21" x14ac:dyDescent="0.25">
      <c r="A4" s="13">
        <f>A3+1</f>
        <v>1</v>
      </c>
      <c r="B4" s="14">
        <v>5</v>
      </c>
      <c r="C4" s="15">
        <f t="shared" ref="C4:C63" si="1">B4*44/12</f>
        <v>18.333333333333332</v>
      </c>
      <c r="D4" s="29">
        <v>1</v>
      </c>
      <c r="E4" s="28">
        <v>1</v>
      </c>
      <c r="F4" s="16">
        <f>E4*Paramètres!K$2*Paramètres!I$2</f>
        <v>0.45390000000000003</v>
      </c>
      <c r="G4" s="16">
        <f>EXP(-1.0587+0.8836*LN(F4)+0.284)</f>
        <v>0.22932007880223884</v>
      </c>
      <c r="H4" s="16">
        <f t="shared" ref="H4:H63" si="2">F4+G4</f>
        <v>0.68322007880223889</v>
      </c>
      <c r="I4" s="17">
        <f>H4*0.475*44/12</f>
        <v>1.1899416372472327</v>
      </c>
      <c r="J4" s="28">
        <f>IF(E3-E4&gt;0,E3-E4,0)</f>
        <v>0</v>
      </c>
      <c r="K4" s="43">
        <f t="shared" si="0"/>
        <v>0</v>
      </c>
      <c r="L4" s="64"/>
      <c r="M4" s="64"/>
      <c r="N4" s="64"/>
      <c r="O4" s="54">
        <f>EXP(-Paramètres!B$11)*O3+(1-EXP(-Paramètres!B$11))*L3*K3/Paramètres!B$11</f>
        <v>0</v>
      </c>
      <c r="P4" s="54">
        <f>EXP(-Paramètres!C$11)*P3+(1-EXP(-Paramètres!C$11))*M3*K3/Paramètres!C$11</f>
        <v>0</v>
      </c>
      <c r="Q4" s="41">
        <f>EXP(-Paramètres!D$11)*P3+(1-EXP(-Paramètres!D$11))*N3*K3/Paramètres!D$11</f>
        <v>0</v>
      </c>
      <c r="R4" s="56">
        <f t="shared" ref="R4:R36" si="3">Q4+P4</f>
        <v>0</v>
      </c>
      <c r="S4" s="18" t="s">
        <v>45</v>
      </c>
      <c r="T4" s="28">
        <f>AVERAGE(C3:C63)</f>
        <v>18.333333333333339</v>
      </c>
      <c r="U4" s="19"/>
    </row>
    <row r="5" spans="1:21" x14ac:dyDescent="0.25">
      <c r="A5" s="13">
        <f t="shared" ref="A5:A20" si="4">A4+1</f>
        <v>2</v>
      </c>
      <c r="B5" s="14">
        <v>5</v>
      </c>
      <c r="C5" s="15">
        <f t="shared" si="1"/>
        <v>18.333333333333332</v>
      </c>
      <c r="D5" s="29">
        <v>2</v>
      </c>
      <c r="E5" s="28">
        <v>2</v>
      </c>
      <c r="F5" s="16">
        <f>E5*Paramètres!K$2*Paramètres!I$2</f>
        <v>0.90780000000000005</v>
      </c>
      <c r="G5" s="16">
        <f t="shared" ref="G5:G63" si="5">EXP(-1.0587+0.8836*LN(F5)+0.284)</f>
        <v>0.42308944069443899</v>
      </c>
      <c r="H5" s="16">
        <f t="shared" si="2"/>
        <v>1.3308894406944392</v>
      </c>
      <c r="I5" s="17">
        <f>H5*0.475*44/12</f>
        <v>2.3179657758761483</v>
      </c>
      <c r="J5" s="28">
        <f t="shared" ref="J5:J68" si="6">IF(E4-E5&gt;0,E4-E5,0)</f>
        <v>0</v>
      </c>
      <c r="K5" s="43">
        <f t="shared" si="0"/>
        <v>0</v>
      </c>
      <c r="L5" s="64"/>
      <c r="M5" s="64"/>
      <c r="N5" s="64"/>
      <c r="O5" s="54">
        <f>EXP(-Paramètres!B$11)*O4+(1-EXP(-Paramètres!B$11))*L4*K4/Paramètres!B$11</f>
        <v>0</v>
      </c>
      <c r="P5" s="54">
        <f>EXP(-Paramètres!C$11)*P4+(1-EXP(-Paramètres!C$11))*M4*K4/Paramètres!C$11</f>
        <v>0</v>
      </c>
      <c r="Q5" s="41">
        <f>EXP(-Paramètres!D$11)*P4+(1-EXP(-Paramètres!D$11))*N4*K4/Paramètres!D$11</f>
        <v>0</v>
      </c>
      <c r="R5" s="56">
        <f t="shared" si="3"/>
        <v>0</v>
      </c>
      <c r="S5" s="20" t="s">
        <v>31</v>
      </c>
      <c r="T5" s="28">
        <f>T3-T4</f>
        <v>449.33875764299245</v>
      </c>
    </row>
    <row r="6" spans="1:21" x14ac:dyDescent="0.25">
      <c r="A6" s="13">
        <f t="shared" si="4"/>
        <v>3</v>
      </c>
      <c r="B6" s="14">
        <v>5</v>
      </c>
      <c r="C6" s="15">
        <f t="shared" si="1"/>
        <v>18.333333333333332</v>
      </c>
      <c r="D6" s="29">
        <v>3</v>
      </c>
      <c r="E6" s="28">
        <v>4</v>
      </c>
      <c r="F6" s="16">
        <f>E6*Paramètres!K$2*Paramètres!I$2</f>
        <v>1.8156000000000001</v>
      </c>
      <c r="G6" s="16">
        <f t="shared" si="5"/>
        <v>0.78058875508020109</v>
      </c>
      <c r="H6" s="16">
        <f t="shared" si="2"/>
        <v>2.5961887550802012</v>
      </c>
      <c r="I6" s="17">
        <f t="shared" ref="I6:I63" si="7">H6*0.475*44/12</f>
        <v>4.5216954150980166</v>
      </c>
      <c r="J6" s="28">
        <f t="shared" si="6"/>
        <v>0</v>
      </c>
      <c r="K6" s="43">
        <f t="shared" si="0"/>
        <v>0</v>
      </c>
      <c r="L6" s="64"/>
      <c r="M6" s="64"/>
      <c r="N6" s="64"/>
      <c r="O6" s="54">
        <f>EXP(-Paramètres!B$11)*O5+(1-EXP(-Paramètres!B$11))*L5*K5/Paramètres!B$11</f>
        <v>0</v>
      </c>
      <c r="P6" s="54">
        <f>EXP(-Paramètres!C$11)*P5+(1-EXP(-Paramètres!C$11))*M5*K5/Paramètres!C$11</f>
        <v>0</v>
      </c>
      <c r="Q6" s="41">
        <f>EXP(-Paramètres!D$11)*P5+(1-EXP(-Paramètres!D$11))*N5*K5/Paramètres!D$11</f>
        <v>0</v>
      </c>
      <c r="R6" s="56">
        <f t="shared" si="3"/>
        <v>0</v>
      </c>
      <c r="S6" s="20" t="s">
        <v>32</v>
      </c>
      <c r="T6" s="28">
        <f>I36-C33</f>
        <v>382.44778287820918</v>
      </c>
    </row>
    <row r="7" spans="1:21" x14ac:dyDescent="0.25">
      <c r="A7" s="13">
        <f t="shared" si="4"/>
        <v>4</v>
      </c>
      <c r="B7" s="14">
        <v>5</v>
      </c>
      <c r="C7" s="15">
        <f t="shared" si="1"/>
        <v>18.333333333333332</v>
      </c>
      <c r="D7" s="29">
        <v>4</v>
      </c>
      <c r="E7" s="28">
        <v>6</v>
      </c>
      <c r="F7" s="16">
        <f>E7*Paramètres!K$2*Paramètres!I$2</f>
        <v>2.7233999999999998</v>
      </c>
      <c r="G7" s="16">
        <f t="shared" si="5"/>
        <v>1.1169057510866407</v>
      </c>
      <c r="H7" s="16">
        <f t="shared" si="2"/>
        <v>3.8403057510866407</v>
      </c>
      <c r="I7" s="17">
        <f t="shared" si="7"/>
        <v>6.6885325164758989</v>
      </c>
      <c r="J7" s="28">
        <f t="shared" si="6"/>
        <v>0</v>
      </c>
      <c r="K7" s="43">
        <f t="shared" si="0"/>
        <v>0</v>
      </c>
      <c r="L7" s="64"/>
      <c r="M7" s="64"/>
      <c r="N7" s="64"/>
      <c r="O7" s="54">
        <f>EXP(-Paramètres!B$11)*O6+(1-EXP(-Paramètres!B$11))*L6*K6/Paramètres!B$11</f>
        <v>0</v>
      </c>
      <c r="P7" s="54">
        <f>EXP(-Paramètres!C$11)*P6+(1-EXP(-Paramètres!C$11))*M6*K6/Paramètres!C$11</f>
        <v>0</v>
      </c>
      <c r="Q7" s="41">
        <f>EXP(-Paramètres!D$11)*P6+(1-EXP(-Paramètres!D$11))*N6*K6/Paramètres!D$11</f>
        <v>0</v>
      </c>
      <c r="R7" s="56">
        <f t="shared" si="3"/>
        <v>0</v>
      </c>
      <c r="S7" s="21" t="s">
        <v>33</v>
      </c>
      <c r="T7" s="28">
        <f>T6</f>
        <v>382.44778287820918</v>
      </c>
    </row>
    <row r="8" spans="1:21" x14ac:dyDescent="0.25">
      <c r="A8" s="13">
        <f t="shared" si="4"/>
        <v>5</v>
      </c>
      <c r="B8" s="14">
        <v>5</v>
      </c>
      <c r="C8" s="15">
        <f t="shared" si="1"/>
        <v>18.333333333333332</v>
      </c>
      <c r="D8" s="29">
        <v>5</v>
      </c>
      <c r="E8" s="28">
        <v>9</v>
      </c>
      <c r="F8" s="16">
        <f>E8*Paramètres!K$2*Paramètres!I$2</f>
        <v>4.0850999999999997</v>
      </c>
      <c r="G8" s="16">
        <f t="shared" si="5"/>
        <v>1.5981250673823011</v>
      </c>
      <c r="H8" s="16">
        <f t="shared" si="2"/>
        <v>5.6832250673823008</v>
      </c>
      <c r="I8" s="17">
        <f t="shared" si="7"/>
        <v>9.8982836590241732</v>
      </c>
      <c r="J8" s="28">
        <f t="shared" si="6"/>
        <v>0</v>
      </c>
      <c r="K8" s="43">
        <f t="shared" si="0"/>
        <v>0</v>
      </c>
      <c r="L8" s="64"/>
      <c r="M8" s="64"/>
      <c r="N8" s="64"/>
      <c r="O8" s="54">
        <f>EXP(-Paramètres!B$11)*O7+(1-EXP(-Paramètres!B$11))*L7*K7/Paramètres!B$11</f>
        <v>0</v>
      </c>
      <c r="P8" s="54">
        <f>EXP(-Paramètres!C$11)*P7+(1-EXP(-Paramètres!C$11))*M7*K7/Paramètres!C$11</f>
        <v>0</v>
      </c>
      <c r="Q8" s="41">
        <f>EXP(-Paramètres!D$11)*P7+(1-EXP(-Paramètres!D$11))*N7*K7/Paramètres!D$11</f>
        <v>0</v>
      </c>
      <c r="R8" s="56">
        <f t="shared" si="3"/>
        <v>0</v>
      </c>
      <c r="S8" s="21" t="s">
        <v>34</v>
      </c>
      <c r="T8">
        <v>0</v>
      </c>
    </row>
    <row r="9" spans="1:21" x14ac:dyDescent="0.25">
      <c r="A9" s="13">
        <f t="shared" si="4"/>
        <v>6</v>
      </c>
      <c r="B9" s="14">
        <v>5</v>
      </c>
      <c r="C9" s="15">
        <f t="shared" si="1"/>
        <v>18.333333333333332</v>
      </c>
      <c r="D9" s="29">
        <v>6</v>
      </c>
      <c r="E9" s="28">
        <v>13</v>
      </c>
      <c r="F9" s="16">
        <f>E9*Paramètres!K$2*Paramètres!I$2</f>
        <v>5.9006999999999996</v>
      </c>
      <c r="G9" s="16">
        <f t="shared" si="5"/>
        <v>2.2116807015704016</v>
      </c>
      <c r="H9" s="16">
        <f t="shared" si="2"/>
        <v>8.1123807015704017</v>
      </c>
      <c r="I9" s="17">
        <f t="shared" si="7"/>
        <v>14.129063055235116</v>
      </c>
      <c r="J9" s="28">
        <f t="shared" si="6"/>
        <v>0</v>
      </c>
      <c r="K9" s="43">
        <f t="shared" si="0"/>
        <v>0</v>
      </c>
      <c r="L9" s="64"/>
      <c r="M9" s="64"/>
      <c r="N9" s="64"/>
      <c r="O9" s="54">
        <f>EXP(-Paramètres!B$11)*O8+(1-EXP(-Paramètres!B$11))*L8*K8/Paramètres!B$11</f>
        <v>0</v>
      </c>
      <c r="P9" s="54">
        <f>EXP(-Paramètres!C$11)*P8+(1-EXP(-Paramètres!C$11))*M8*K8/Paramètres!C$11</f>
        <v>0</v>
      </c>
      <c r="Q9" s="41">
        <f>EXP(-Paramètres!D$11)*P8+(1-EXP(-Paramètres!D$11))*N8*K8/Paramètres!D$11</f>
        <v>0</v>
      </c>
      <c r="R9" s="56">
        <f t="shared" si="3"/>
        <v>0</v>
      </c>
      <c r="S9" s="21" t="s">
        <v>35</v>
      </c>
      <c r="T9">
        <v>36.700000000000003</v>
      </c>
    </row>
    <row r="10" spans="1:21" x14ac:dyDescent="0.25">
      <c r="A10" s="13">
        <f t="shared" si="4"/>
        <v>7</v>
      </c>
      <c r="B10" s="14">
        <v>5</v>
      </c>
      <c r="C10" s="15">
        <f t="shared" si="1"/>
        <v>18.333333333333332</v>
      </c>
      <c r="D10" s="29">
        <v>7</v>
      </c>
      <c r="E10" s="28">
        <v>17</v>
      </c>
      <c r="F10" s="16">
        <f>E10*Paramètres!K$2*Paramètres!I$2</f>
        <v>7.7163000000000004</v>
      </c>
      <c r="G10" s="16">
        <f t="shared" si="5"/>
        <v>2.8032817473829548</v>
      </c>
      <c r="H10" s="16">
        <f t="shared" si="2"/>
        <v>10.519581747382954</v>
      </c>
      <c r="I10" s="17">
        <f t="shared" si="7"/>
        <v>18.321604876691978</v>
      </c>
      <c r="J10" s="28">
        <f t="shared" si="6"/>
        <v>0</v>
      </c>
      <c r="K10" s="43">
        <f t="shared" si="0"/>
        <v>0</v>
      </c>
      <c r="L10" s="64"/>
      <c r="M10" s="64"/>
      <c r="N10" s="64"/>
      <c r="O10" s="54">
        <f>EXP(-Paramètres!B$11)*O9+(1-EXP(-Paramètres!B$11))*L9*K9/Paramètres!B$11</f>
        <v>0</v>
      </c>
      <c r="P10" s="54">
        <f>EXP(-Paramètres!C$11)*P9+(1-EXP(-Paramètres!C$11))*M9*K9/Paramètres!C$11</f>
        <v>0</v>
      </c>
      <c r="Q10" s="41">
        <f>EXP(-Paramètres!D$11)*P9+(1-EXP(-Paramètres!D$11))*N9*K9/Paramètres!D$11</f>
        <v>0</v>
      </c>
      <c r="R10" s="56">
        <f t="shared" si="3"/>
        <v>0</v>
      </c>
      <c r="S10" s="21" t="s">
        <v>36</v>
      </c>
      <c r="T10">
        <v>0</v>
      </c>
    </row>
    <row r="11" spans="1:21" x14ac:dyDescent="0.25">
      <c r="A11" s="13">
        <f t="shared" si="4"/>
        <v>8</v>
      </c>
      <c r="B11" s="14">
        <v>5</v>
      </c>
      <c r="C11" s="15">
        <f t="shared" si="1"/>
        <v>18.333333333333332</v>
      </c>
      <c r="D11" s="29">
        <v>8</v>
      </c>
      <c r="E11" s="28">
        <v>22</v>
      </c>
      <c r="F11" s="16">
        <f>E11*Paramètres!K$2*Paramètres!I$2</f>
        <v>9.9858000000000011</v>
      </c>
      <c r="G11" s="16">
        <f t="shared" si="5"/>
        <v>3.5205195722837845</v>
      </c>
      <c r="H11" s="16">
        <f t="shared" si="2"/>
        <v>13.506319572283786</v>
      </c>
      <c r="I11" s="17">
        <f t="shared" si="7"/>
        <v>23.523506588394259</v>
      </c>
      <c r="J11" s="28">
        <f t="shared" si="6"/>
        <v>0</v>
      </c>
      <c r="K11" s="43">
        <f t="shared" si="0"/>
        <v>0</v>
      </c>
      <c r="L11" s="64"/>
      <c r="M11" s="64"/>
      <c r="N11" s="64"/>
      <c r="O11" s="54">
        <f>EXP(-Paramètres!B$11)*O10+(1-EXP(-Paramètres!B$11))*L10*K10/Paramètres!B$11</f>
        <v>0</v>
      </c>
      <c r="P11" s="54">
        <f>EXP(-Paramètres!C$11)*P10+(1-EXP(-Paramètres!C$11))*M10*K10/Paramètres!C$11</f>
        <v>0</v>
      </c>
      <c r="Q11" s="41">
        <f>EXP(-Paramètres!D$11)*P10+(1-EXP(-Paramètres!D$11))*N10*K10/Paramètres!D$11</f>
        <v>0</v>
      </c>
      <c r="R11" s="56">
        <f t="shared" si="3"/>
        <v>0</v>
      </c>
      <c r="S11" s="22" t="s">
        <v>37</v>
      </c>
      <c r="T11" s="28">
        <f>SUM(T7:T10)</f>
        <v>419.14778287820917</v>
      </c>
    </row>
    <row r="12" spans="1:21" x14ac:dyDescent="0.25">
      <c r="A12" s="13">
        <f t="shared" si="4"/>
        <v>9</v>
      </c>
      <c r="B12" s="14">
        <v>5</v>
      </c>
      <c r="C12" s="15">
        <f t="shared" si="1"/>
        <v>18.333333333333332</v>
      </c>
      <c r="D12" s="29">
        <v>9</v>
      </c>
      <c r="E12" s="28">
        <v>28</v>
      </c>
      <c r="F12" s="16">
        <f>E12*Paramètres!K$2*Paramètres!I$2</f>
        <v>12.709200000000001</v>
      </c>
      <c r="G12" s="16">
        <f t="shared" si="5"/>
        <v>4.3566324186750274</v>
      </c>
      <c r="H12" s="16">
        <f t="shared" si="2"/>
        <v>17.065832418675029</v>
      </c>
      <c r="I12" s="17">
        <f t="shared" si="7"/>
        <v>29.722991462525673</v>
      </c>
      <c r="J12" s="28">
        <f t="shared" si="6"/>
        <v>0</v>
      </c>
      <c r="K12" s="43">
        <f t="shared" si="0"/>
        <v>0</v>
      </c>
      <c r="L12" s="64"/>
      <c r="M12" s="64"/>
      <c r="N12" s="64"/>
      <c r="O12" s="54">
        <f>EXP(-Paramètres!B$11)*O11+(1-EXP(-Paramètres!B$11))*L11*K11/Paramètres!B$11</f>
        <v>0</v>
      </c>
      <c r="P12" s="54">
        <f>EXP(-Paramètres!C$11)*P11+(1-EXP(-Paramètres!C$11))*M11*K11/Paramètres!C$11</f>
        <v>0</v>
      </c>
      <c r="Q12" s="41">
        <f>EXP(-Paramètres!D$11)*P11+(1-EXP(-Paramètres!D$11))*N11*K11/Paramètres!D$11</f>
        <v>0</v>
      </c>
      <c r="R12" s="56">
        <f t="shared" si="3"/>
        <v>0</v>
      </c>
      <c r="S12" s="18" t="s">
        <v>97</v>
      </c>
      <c r="T12" s="28">
        <f>SUM(J3:J36)</f>
        <v>315</v>
      </c>
    </row>
    <row r="13" spans="1:21" x14ac:dyDescent="0.25">
      <c r="A13" s="13">
        <f t="shared" si="4"/>
        <v>10</v>
      </c>
      <c r="B13" s="14">
        <v>5</v>
      </c>
      <c r="C13" s="15">
        <f t="shared" si="1"/>
        <v>18.333333333333332</v>
      </c>
      <c r="D13" s="29">
        <v>10</v>
      </c>
      <c r="E13" s="28">
        <v>35</v>
      </c>
      <c r="F13" s="16">
        <f>E13*Paramètres!K$2*Paramètres!I$2</f>
        <v>15.8865</v>
      </c>
      <c r="G13" s="16">
        <f t="shared" si="5"/>
        <v>5.3061632368726022</v>
      </c>
      <c r="H13" s="16">
        <f t="shared" si="2"/>
        <v>21.192663236872601</v>
      </c>
      <c r="I13" s="17">
        <f t="shared" si="7"/>
        <v>36.910555137553111</v>
      </c>
      <c r="J13" s="28">
        <f t="shared" si="6"/>
        <v>0</v>
      </c>
      <c r="K13" s="43">
        <f t="shared" si="0"/>
        <v>0</v>
      </c>
      <c r="L13" s="64"/>
      <c r="M13" s="64"/>
      <c r="N13" s="64"/>
      <c r="O13" s="54">
        <f>EXP(-Paramètres!B$11)*O12+(1-EXP(-Paramètres!B$11))*L12*K12/Paramètres!B$11</f>
        <v>0</v>
      </c>
      <c r="P13" s="54">
        <f>EXP(-Paramètres!C$11)*P12+(1-EXP(-Paramètres!C$11))*M12*K12/Paramètres!C$11</f>
        <v>0</v>
      </c>
      <c r="Q13" s="41">
        <f>EXP(-Paramètres!D$11)*P12+(1-EXP(-Paramètres!D$11))*N12*K12/Paramètres!D$11</f>
        <v>0</v>
      </c>
      <c r="R13" s="56">
        <f t="shared" si="3"/>
        <v>0</v>
      </c>
      <c r="S13" s="18" t="s">
        <v>38</v>
      </c>
      <c r="T13">
        <f>0.77*0.56</f>
        <v>0.43120000000000003</v>
      </c>
      <c r="U13" t="s">
        <v>42</v>
      </c>
    </row>
    <row r="14" spans="1:21" x14ac:dyDescent="0.25">
      <c r="A14" s="13">
        <f t="shared" si="4"/>
        <v>11</v>
      </c>
      <c r="B14" s="14">
        <v>5</v>
      </c>
      <c r="C14" s="15">
        <f t="shared" si="1"/>
        <v>18.333333333333332</v>
      </c>
      <c r="D14" s="29">
        <v>11</v>
      </c>
      <c r="E14" s="28">
        <v>44</v>
      </c>
      <c r="F14" s="16">
        <f>E14*Paramètres!K$2*Paramètres!I$2</f>
        <v>19.971600000000002</v>
      </c>
      <c r="G14" s="16">
        <f t="shared" si="5"/>
        <v>6.4952648916359541</v>
      </c>
      <c r="H14" s="16">
        <f t="shared" si="2"/>
        <v>26.466864891635957</v>
      </c>
      <c r="I14" s="17">
        <f t="shared" si="7"/>
        <v>46.09645635293262</v>
      </c>
      <c r="J14" s="28">
        <f t="shared" si="6"/>
        <v>0</v>
      </c>
      <c r="K14" s="43">
        <f t="shared" si="0"/>
        <v>0</v>
      </c>
      <c r="L14" s="64"/>
      <c r="M14" s="64"/>
      <c r="N14" s="64"/>
      <c r="O14" s="54">
        <f>EXP(-Paramètres!B$11)*O13+(1-EXP(-Paramètres!B$11))*L13*K13/Paramètres!B$11</f>
        <v>0</v>
      </c>
      <c r="P14" s="54">
        <f>EXP(-Paramètres!C$11)*P13+(1-EXP(-Paramètres!C$11))*M13*K13/Paramètres!C$11</f>
        <v>0</v>
      </c>
      <c r="Q14" s="41">
        <f>EXP(-Paramètres!D$11)*P13+(1-EXP(-Paramètres!D$11))*N13*K13/Paramètres!D$11</f>
        <v>0</v>
      </c>
      <c r="R14" s="56">
        <f t="shared" si="3"/>
        <v>0</v>
      </c>
      <c r="S14" s="22" t="s">
        <v>39</v>
      </c>
      <c r="T14">
        <f>T12*T13</f>
        <v>135.828</v>
      </c>
    </row>
    <row r="15" spans="1:21" x14ac:dyDescent="0.25">
      <c r="A15" s="13">
        <f t="shared" si="4"/>
        <v>12</v>
      </c>
      <c r="B15" s="14">
        <v>5</v>
      </c>
      <c r="C15" s="15">
        <f t="shared" si="1"/>
        <v>18.333333333333332</v>
      </c>
      <c r="D15" s="29">
        <v>12</v>
      </c>
      <c r="E15" s="28">
        <v>56</v>
      </c>
      <c r="F15" s="16">
        <f>E15*Paramètres!K$2*Paramètres!I$2</f>
        <v>25.418400000000002</v>
      </c>
      <c r="G15" s="16">
        <f t="shared" si="5"/>
        <v>8.0378708351921375</v>
      </c>
      <c r="H15" s="16">
        <f t="shared" si="2"/>
        <v>33.456270835192143</v>
      </c>
      <c r="I15" s="17">
        <f t="shared" si="7"/>
        <v>58.269671704626312</v>
      </c>
      <c r="J15" s="28">
        <f t="shared" si="6"/>
        <v>0</v>
      </c>
      <c r="K15" s="43">
        <f t="shared" si="0"/>
        <v>0</v>
      </c>
      <c r="L15" s="64"/>
      <c r="M15" s="64"/>
      <c r="N15" s="64"/>
      <c r="O15" s="54">
        <f>EXP(-Paramètres!B$11)*O14+(1-EXP(-Paramètres!B$11))*L14*K14/Paramètres!B$11</f>
        <v>0</v>
      </c>
      <c r="P15" s="54">
        <f>EXP(-Paramètres!C$11)*P14+(1-EXP(-Paramètres!C$11))*M14*K14/Paramètres!C$11</f>
        <v>0</v>
      </c>
      <c r="Q15" s="41">
        <f>EXP(-Paramètres!D$11)*P14+(1-EXP(-Paramètres!D$11))*N14*K14/Paramètres!D$11</f>
        <v>0</v>
      </c>
      <c r="R15" s="56">
        <f t="shared" si="3"/>
        <v>0</v>
      </c>
      <c r="S15" s="22" t="s">
        <v>40</v>
      </c>
      <c r="T15" s="28">
        <f>AVERAGE(R3:R36)</f>
        <v>70.662168170321308</v>
      </c>
    </row>
    <row r="16" spans="1:21" x14ac:dyDescent="0.25">
      <c r="A16" s="13">
        <f t="shared" si="4"/>
        <v>13</v>
      </c>
      <c r="B16" s="14">
        <v>5</v>
      </c>
      <c r="C16" s="15">
        <f t="shared" si="1"/>
        <v>18.333333333333332</v>
      </c>
      <c r="D16" s="29">
        <v>13</v>
      </c>
      <c r="E16" s="28">
        <v>74</v>
      </c>
      <c r="F16" s="16">
        <f>E16*Paramètres!K$2*Paramètres!I$2</f>
        <v>33.5886</v>
      </c>
      <c r="G16" s="16">
        <f t="shared" si="5"/>
        <v>10.282417410521935</v>
      </c>
      <c r="H16" s="16">
        <f t="shared" si="2"/>
        <v>43.871017410521937</v>
      </c>
      <c r="I16" s="17">
        <f t="shared" si="7"/>
        <v>76.408688656659038</v>
      </c>
      <c r="J16" s="28">
        <f t="shared" si="6"/>
        <v>0</v>
      </c>
      <c r="K16" s="43">
        <f t="shared" si="0"/>
        <v>0</v>
      </c>
      <c r="L16" s="64"/>
      <c r="M16" s="64"/>
      <c r="N16" s="64"/>
      <c r="O16" s="54">
        <f>EXP(-Paramètres!B$11)*O15+(1-EXP(-Paramètres!B$11))*L15*K15/Paramètres!B$11</f>
        <v>0</v>
      </c>
      <c r="P16" s="54">
        <f>EXP(-Paramètres!C$11)*P15+(1-EXP(-Paramètres!C$11))*M15*K15/Paramètres!C$11</f>
        <v>0</v>
      </c>
      <c r="Q16" s="41">
        <f>EXP(-Paramètres!D$11)*P15+(1-EXP(-Paramètres!D$11))*N15*K15/Paramètres!D$11</f>
        <v>0</v>
      </c>
      <c r="R16" s="56">
        <f t="shared" si="3"/>
        <v>0</v>
      </c>
      <c r="S16"/>
    </row>
    <row r="17" spans="1:20" x14ac:dyDescent="0.25">
      <c r="A17" s="13">
        <f t="shared" si="4"/>
        <v>14</v>
      </c>
      <c r="B17" s="14">
        <v>5</v>
      </c>
      <c r="C17" s="15">
        <f t="shared" si="1"/>
        <v>18.333333333333332</v>
      </c>
      <c r="D17" s="29">
        <v>14</v>
      </c>
      <c r="E17" s="28">
        <v>92</v>
      </c>
      <c r="F17" s="16">
        <f>E17*Paramètres!K$2*Paramètres!I$2</f>
        <v>41.758800000000001</v>
      </c>
      <c r="G17" s="16">
        <f t="shared" si="5"/>
        <v>12.463643163835755</v>
      </c>
      <c r="H17" s="16">
        <f t="shared" si="2"/>
        <v>54.222443163835756</v>
      </c>
      <c r="I17" s="17">
        <f t="shared" si="7"/>
        <v>94.43742184368061</v>
      </c>
      <c r="J17" s="28">
        <f t="shared" si="6"/>
        <v>0</v>
      </c>
      <c r="K17" s="43">
        <f t="shared" si="0"/>
        <v>0</v>
      </c>
      <c r="L17" s="64"/>
      <c r="M17" s="64"/>
      <c r="N17" s="64"/>
      <c r="O17" s="54">
        <f>EXP(-Paramètres!B$11)*O16+(1-EXP(-Paramètres!B$11))*L16*K16/Paramètres!B$11</f>
        <v>0</v>
      </c>
      <c r="P17" s="54">
        <f>EXP(-Paramètres!C$11)*P16+(1-EXP(-Paramètres!C$11))*M16*K16/Paramètres!C$11</f>
        <v>0</v>
      </c>
      <c r="Q17" s="41">
        <f>EXP(-Paramètres!D$11)*P16+(1-EXP(-Paramètres!D$11))*N16*K16/Paramètres!D$11</f>
        <v>0</v>
      </c>
      <c r="R17" s="56">
        <f t="shared" si="3"/>
        <v>0</v>
      </c>
      <c r="S17" s="23" t="s">
        <v>41</v>
      </c>
      <c r="T17" s="28">
        <f>T15+T14+T11</f>
        <v>625.63795104853045</v>
      </c>
    </row>
    <row r="18" spans="1:20" x14ac:dyDescent="0.25">
      <c r="A18" s="13">
        <f t="shared" si="4"/>
        <v>15</v>
      </c>
      <c r="B18" s="14">
        <v>5</v>
      </c>
      <c r="C18" s="15">
        <f t="shared" si="1"/>
        <v>18.333333333333332</v>
      </c>
      <c r="D18" s="29">
        <v>15</v>
      </c>
      <c r="E18" s="28">
        <v>120.6</v>
      </c>
      <c r="F18" s="16">
        <f>E18*Paramètres!K$2*Paramètres!I$2</f>
        <v>54.740339999999996</v>
      </c>
      <c r="G18" s="16">
        <f t="shared" si="5"/>
        <v>15.831445256335989</v>
      </c>
      <c r="H18" s="16">
        <f t="shared" si="2"/>
        <v>70.571785256335986</v>
      </c>
      <c r="I18" s="17">
        <f t="shared" si="7"/>
        <v>122.91252598811849</v>
      </c>
      <c r="J18" s="28">
        <f t="shared" si="6"/>
        <v>0</v>
      </c>
      <c r="K18" s="43">
        <f t="shared" si="0"/>
        <v>0</v>
      </c>
      <c r="L18" s="64"/>
      <c r="M18" s="64"/>
      <c r="N18" s="64"/>
      <c r="O18" s="54">
        <f>EXP(-Paramètres!B$11)*O17+(1-EXP(-Paramètres!B$11))*L17*K17/Paramètres!B$11</f>
        <v>0</v>
      </c>
      <c r="P18" s="54">
        <f>EXP(-Paramètres!C$11)*P17+(1-EXP(-Paramètres!C$11))*M17*K17/Paramètres!C$11</f>
        <v>0</v>
      </c>
      <c r="Q18" s="41">
        <f>EXP(-Paramètres!D$11)*P17+(1-EXP(-Paramètres!D$11))*N17*K17/Paramètres!D$11</f>
        <v>0</v>
      </c>
      <c r="R18" s="56">
        <f t="shared" si="3"/>
        <v>0</v>
      </c>
      <c r="S18"/>
    </row>
    <row r="19" spans="1:20" x14ac:dyDescent="0.25">
      <c r="A19" s="13">
        <f t="shared" si="4"/>
        <v>16</v>
      </c>
      <c r="B19" s="14">
        <v>5</v>
      </c>
      <c r="C19" s="15">
        <f t="shared" si="1"/>
        <v>18.333333333333332</v>
      </c>
      <c r="D19" s="29">
        <v>16</v>
      </c>
      <c r="E19" s="28">
        <v>149.19999999999999</v>
      </c>
      <c r="F19" s="16">
        <f>E19*Paramètres!K$2*Paramètres!I$2</f>
        <v>67.721879999999999</v>
      </c>
      <c r="G19" s="16">
        <f t="shared" si="5"/>
        <v>19.106635318647829</v>
      </c>
      <c r="H19" s="16">
        <f t="shared" si="2"/>
        <v>86.828515318647831</v>
      </c>
      <c r="I19" s="17">
        <f t="shared" si="7"/>
        <v>151.22633084664497</v>
      </c>
      <c r="J19" s="28">
        <f t="shared" si="6"/>
        <v>0</v>
      </c>
      <c r="K19" s="43">
        <f t="shared" si="0"/>
        <v>0</v>
      </c>
      <c r="L19" s="64"/>
      <c r="M19" s="64"/>
      <c r="N19" s="64"/>
      <c r="O19" s="54">
        <f>EXP(-Paramètres!B$11)*O18+(1-EXP(-Paramètres!B$11))*L18*K18/Paramètres!B$11</f>
        <v>0</v>
      </c>
      <c r="P19" s="54">
        <f>EXP(-Paramètres!C$11)*P18+(1-EXP(-Paramètres!C$11))*M18*K18/Paramètres!C$11</f>
        <v>0</v>
      </c>
      <c r="Q19" s="41">
        <f>EXP(-Paramètres!D$11)*P18+(1-EXP(-Paramètres!D$11))*N18*K18/Paramètres!D$11</f>
        <v>0</v>
      </c>
      <c r="R19" s="56">
        <f t="shared" si="3"/>
        <v>0</v>
      </c>
      <c r="S19"/>
    </row>
    <row r="20" spans="1:20" x14ac:dyDescent="0.25">
      <c r="A20" s="13">
        <f t="shared" si="4"/>
        <v>17</v>
      </c>
      <c r="B20" s="14">
        <v>5</v>
      </c>
      <c r="C20" s="15">
        <f t="shared" si="1"/>
        <v>18.333333333333332</v>
      </c>
      <c r="D20" s="29">
        <v>17</v>
      </c>
      <c r="E20" s="28">
        <v>177.8</v>
      </c>
      <c r="F20" s="16">
        <f>E20*Paramètres!K$2*Paramètres!I$2</f>
        <v>80.703420000000008</v>
      </c>
      <c r="G20" s="16">
        <f t="shared" si="5"/>
        <v>22.309086248437918</v>
      </c>
      <c r="H20" s="16">
        <f t="shared" si="2"/>
        <v>103.01250624843793</v>
      </c>
      <c r="I20" s="17">
        <f t="shared" si="7"/>
        <v>179.41344838269606</v>
      </c>
      <c r="J20" s="28">
        <f t="shared" si="6"/>
        <v>0</v>
      </c>
      <c r="K20" s="43">
        <f t="shared" si="0"/>
        <v>0</v>
      </c>
      <c r="L20" s="64"/>
      <c r="M20" s="64"/>
      <c r="N20" s="64"/>
      <c r="O20" s="54">
        <f>EXP(-Paramètres!B$11)*O19+(1-EXP(-Paramètres!B$11))*L19*K19/Paramètres!B$11</f>
        <v>0</v>
      </c>
      <c r="P20" s="54">
        <f>EXP(-Paramètres!C$11)*P19+(1-EXP(-Paramètres!C$11))*M19*K19/Paramètres!C$11</f>
        <v>0</v>
      </c>
      <c r="Q20" s="41">
        <f>EXP(-Paramètres!D$11)*P19+(1-EXP(-Paramètres!D$11))*N19*K19/Paramètres!D$11</f>
        <v>0</v>
      </c>
      <c r="R20" s="56">
        <f t="shared" si="3"/>
        <v>0</v>
      </c>
      <c r="S20"/>
    </row>
    <row r="21" spans="1:20" x14ac:dyDescent="0.25">
      <c r="A21" s="13">
        <f t="shared" ref="A21:A36" si="8">A20+1</f>
        <v>18</v>
      </c>
      <c r="B21" s="14">
        <v>5</v>
      </c>
      <c r="C21" s="15">
        <f t="shared" si="1"/>
        <v>18.333333333333332</v>
      </c>
      <c r="D21" s="29">
        <v>18</v>
      </c>
      <c r="E21" s="28">
        <v>206.4</v>
      </c>
      <c r="F21" s="16">
        <f>E21*Paramètres!K$2*Paramètres!I$2</f>
        <v>93.684960000000004</v>
      </c>
      <c r="G21" s="16">
        <f t="shared" si="5"/>
        <v>25.451862422572322</v>
      </c>
      <c r="H21" s="16">
        <f t="shared" si="2"/>
        <v>119.13682242257232</v>
      </c>
      <c r="I21" s="17">
        <f t="shared" si="7"/>
        <v>207.49663238598012</v>
      </c>
      <c r="J21" s="28">
        <f t="shared" si="6"/>
        <v>0</v>
      </c>
      <c r="K21" s="43">
        <f t="shared" si="0"/>
        <v>0</v>
      </c>
      <c r="L21" s="64"/>
      <c r="M21" s="64"/>
      <c r="N21" s="64"/>
      <c r="O21" s="54">
        <f>EXP(-Paramètres!B$11)*O20+(1-EXP(-Paramètres!B$11))*L20*K20/Paramètres!B$11</f>
        <v>0</v>
      </c>
      <c r="P21" s="54">
        <f>EXP(-Paramètres!C$11)*P20+(1-EXP(-Paramètres!C$11))*M20*K20/Paramètres!C$11</f>
        <v>0</v>
      </c>
      <c r="Q21" s="41">
        <f>EXP(-Paramètres!D$11)*P20+(1-EXP(-Paramètres!D$11))*N20*K20/Paramètres!D$11</f>
        <v>0</v>
      </c>
      <c r="R21" s="56">
        <f t="shared" si="3"/>
        <v>0</v>
      </c>
      <c r="S21"/>
    </row>
    <row r="22" spans="1:20" x14ac:dyDescent="0.25">
      <c r="A22" s="13">
        <f t="shared" si="8"/>
        <v>19</v>
      </c>
      <c r="B22" s="14">
        <v>5</v>
      </c>
      <c r="C22" s="15">
        <f t="shared" si="1"/>
        <v>18.333333333333332</v>
      </c>
      <c r="D22" s="29">
        <v>19</v>
      </c>
      <c r="E22" s="28">
        <v>235</v>
      </c>
      <c r="F22" s="16">
        <f>E22*Paramètres!K$2*Paramètres!I$2</f>
        <v>106.6665</v>
      </c>
      <c r="G22" s="16">
        <f t="shared" si="5"/>
        <v>28.544184868456643</v>
      </c>
      <c r="H22" s="16">
        <f t="shared" si="2"/>
        <v>135.21068486845664</v>
      </c>
      <c r="I22" s="17">
        <f t="shared" si="7"/>
        <v>235.491942812562</v>
      </c>
      <c r="J22" s="28">
        <f t="shared" si="6"/>
        <v>0</v>
      </c>
      <c r="K22" s="43">
        <f t="shared" si="0"/>
        <v>0</v>
      </c>
      <c r="L22" s="64"/>
      <c r="M22" s="64"/>
      <c r="N22" s="64"/>
      <c r="O22" s="54">
        <f>EXP(-Paramètres!B$11)*O21+(1-EXP(-Paramètres!B$11))*L21*K21/Paramètres!B$11</f>
        <v>0</v>
      </c>
      <c r="P22" s="54">
        <f>EXP(-Paramètres!C$11)*P21+(1-EXP(-Paramètres!C$11))*M21*K21/Paramètres!C$11</f>
        <v>0</v>
      </c>
      <c r="Q22" s="41">
        <f>EXP(-Paramètres!D$11)*P21+(1-EXP(-Paramètres!D$11))*N21*K21/Paramètres!D$11</f>
        <v>0</v>
      </c>
      <c r="R22" s="56">
        <f t="shared" si="3"/>
        <v>0</v>
      </c>
      <c r="S22"/>
    </row>
    <row r="23" spans="1:20" x14ac:dyDescent="0.25">
      <c r="A23" s="13">
        <f t="shared" si="8"/>
        <v>20</v>
      </c>
      <c r="B23" s="14">
        <v>5</v>
      </c>
      <c r="C23" s="15">
        <f t="shared" si="1"/>
        <v>18.333333333333332</v>
      </c>
      <c r="D23" s="29">
        <v>19</v>
      </c>
      <c r="E23" s="28">
        <v>130</v>
      </c>
      <c r="F23" s="16">
        <f>E23*Paramètres!K$2*Paramètres!I$2</f>
        <v>59.007000000000005</v>
      </c>
      <c r="G23" s="16">
        <f t="shared" si="5"/>
        <v>16.916964129599616</v>
      </c>
      <c r="H23" s="16">
        <f t="shared" si="2"/>
        <v>75.923964129599625</v>
      </c>
      <c r="I23" s="17">
        <f t="shared" si="7"/>
        <v>132.23423752571935</v>
      </c>
      <c r="J23" s="28">
        <f t="shared" si="6"/>
        <v>105</v>
      </c>
      <c r="K23" s="43">
        <f t="shared" si="0"/>
        <v>134.75</v>
      </c>
      <c r="L23" s="64">
        <v>0</v>
      </c>
      <c r="M23" s="64">
        <v>0.56000000000000005</v>
      </c>
      <c r="N23" s="64">
        <v>0.44</v>
      </c>
      <c r="O23" s="54">
        <f>EXP(-Paramètres!B$11)*O22+(1-EXP(-Paramètres!B$11))*L22*K22/Paramètres!B$11</f>
        <v>0</v>
      </c>
      <c r="P23" s="54">
        <f>EXP(-Paramètres!C$11)*P22+(1-EXP(-Paramètres!C$11))*M22*K22/Paramètres!C$11</f>
        <v>0</v>
      </c>
      <c r="Q23" s="41">
        <f>EXP(-Paramètres!D$11)*P22+(1-EXP(-Paramètres!D$11))*N22*K22/Paramètres!D$11</f>
        <v>0</v>
      </c>
      <c r="R23" s="56">
        <f t="shared" si="3"/>
        <v>0</v>
      </c>
      <c r="S23"/>
    </row>
    <row r="24" spans="1:20" x14ac:dyDescent="0.25">
      <c r="A24" s="13">
        <f t="shared" si="8"/>
        <v>21</v>
      </c>
      <c r="B24" s="14">
        <v>5</v>
      </c>
      <c r="C24" s="15">
        <f t="shared" si="1"/>
        <v>18.333333333333332</v>
      </c>
      <c r="D24" s="29">
        <v>20</v>
      </c>
      <c r="E24" s="28">
        <v>171.8</v>
      </c>
      <c r="F24" s="16">
        <f>E24*Paramètres!K$2*Paramètres!I$2</f>
        <v>77.98002000000001</v>
      </c>
      <c r="G24" s="16">
        <f t="shared" si="5"/>
        <v>21.642555807922477</v>
      </c>
      <c r="H24" s="16">
        <f t="shared" si="2"/>
        <v>99.622575807922487</v>
      </c>
      <c r="I24" s="17">
        <f t="shared" si="7"/>
        <v>173.50931953213168</v>
      </c>
      <c r="J24" s="28">
        <f t="shared" si="6"/>
        <v>0</v>
      </c>
      <c r="K24" s="43">
        <f t="shared" si="0"/>
        <v>0</v>
      </c>
      <c r="L24" s="64"/>
      <c r="M24" s="64"/>
      <c r="N24" s="64"/>
      <c r="O24" s="54">
        <f>EXP(-Paramètres!B$11)*O23+(1-EXP(-Paramètres!B$11))*L23*K23/Paramètres!B$11</f>
        <v>0</v>
      </c>
      <c r="P24" s="54">
        <f>EXP(-Paramètres!C$11)*P23+(1-EXP(-Paramètres!C$11))*M23*K23/Paramètres!C$11</f>
        <v>74.423503627397366</v>
      </c>
      <c r="Q24" s="41">
        <f>EXP(-Paramètres!D$11)*P23+(1-EXP(-Paramètres!D$11))*N23*K23/Paramètres!D$11</f>
        <v>50.106642371165975</v>
      </c>
      <c r="R24" s="56">
        <f>Q24+P24</f>
        <v>124.53014599856334</v>
      </c>
      <c r="S24"/>
    </row>
    <row r="25" spans="1:20" x14ac:dyDescent="0.25">
      <c r="A25" s="13">
        <f t="shared" si="8"/>
        <v>22</v>
      </c>
      <c r="B25" s="14">
        <v>5</v>
      </c>
      <c r="C25" s="15">
        <f t="shared" si="1"/>
        <v>18.333333333333332</v>
      </c>
      <c r="D25" s="29">
        <v>21</v>
      </c>
      <c r="E25" s="28">
        <v>213.6</v>
      </c>
      <c r="F25" s="16">
        <f>E25*Paramètres!K$2*Paramètres!I$2</f>
        <v>96.953040000000016</v>
      </c>
      <c r="G25" s="16">
        <f t="shared" si="5"/>
        <v>26.234799255137261</v>
      </c>
      <c r="H25" s="16">
        <f t="shared" si="2"/>
        <v>123.18783925513728</v>
      </c>
      <c r="I25" s="17">
        <f t="shared" si="7"/>
        <v>214.55215336936408</v>
      </c>
      <c r="J25" s="28">
        <f t="shared" si="6"/>
        <v>0</v>
      </c>
      <c r="K25" s="43">
        <f t="shared" si="0"/>
        <v>0</v>
      </c>
      <c r="L25" s="64"/>
      <c r="M25" s="64"/>
      <c r="N25" s="64"/>
      <c r="O25" s="54">
        <f>EXP(-Paramètres!B$11)*O24+(1-EXP(-Paramètres!B$11))*L24*K24/Paramètres!B$11</f>
        <v>0</v>
      </c>
      <c r="P25" s="54">
        <f>EXP(-Paramètres!C$11)*P24+(1-EXP(-Paramètres!C$11))*M24*K24/Paramètres!C$11</f>
        <v>72.388389006944223</v>
      </c>
      <c r="Q25" s="41">
        <f>EXP(-Paramètres!D$11)*P24+(1-EXP(-Paramètres!D$11))*N24*K24/Paramètres!D$11</f>
        <v>52.625364094594296</v>
      </c>
      <c r="R25" s="56">
        <f t="shared" si="3"/>
        <v>125.01375310153853</v>
      </c>
      <c r="S25"/>
    </row>
    <row r="26" spans="1:20" x14ac:dyDescent="0.25">
      <c r="A26" s="13">
        <f t="shared" si="8"/>
        <v>23</v>
      </c>
      <c r="B26" s="14">
        <v>5</v>
      </c>
      <c r="C26" s="15">
        <f t="shared" si="1"/>
        <v>18.333333333333332</v>
      </c>
      <c r="D26" s="29">
        <v>22</v>
      </c>
      <c r="E26" s="28">
        <v>255.4</v>
      </c>
      <c r="F26" s="16">
        <f>E26*Paramètres!K$2*Paramètres!I$2</f>
        <v>115.92606000000002</v>
      </c>
      <c r="G26" s="16">
        <f t="shared" si="5"/>
        <v>30.722918113929751</v>
      </c>
      <c r="H26" s="16">
        <f t="shared" si="2"/>
        <v>146.64897811392979</v>
      </c>
      <c r="I26" s="17">
        <f t="shared" si="7"/>
        <v>255.41363688176102</v>
      </c>
      <c r="J26" s="28">
        <f t="shared" si="6"/>
        <v>0</v>
      </c>
      <c r="K26" s="43">
        <f t="shared" si="0"/>
        <v>0</v>
      </c>
      <c r="L26" s="64"/>
      <c r="M26" s="64"/>
      <c r="N26" s="64"/>
      <c r="O26" s="54">
        <f>EXP(-Paramètres!B$11)*O25+(1-EXP(-Paramètres!B$11))*L25*K25/Paramètres!B$11</f>
        <v>0</v>
      </c>
      <c r="P26" s="54">
        <f>EXP(-Paramètres!C$11)*P25+(1-EXP(-Paramètres!C$11))*M25*K25/Paramètres!C$11</f>
        <v>70.408924702809401</v>
      </c>
      <c r="Q26" s="41">
        <f>EXP(-Paramètres!D$11)*P25+(1-EXP(-Paramètres!D$11))*N25*K25/Paramètres!D$11</f>
        <v>51.186320745979998</v>
      </c>
      <c r="R26" s="56">
        <f t="shared" si="3"/>
        <v>121.5952454487894</v>
      </c>
      <c r="S26"/>
    </row>
    <row r="27" spans="1:20" x14ac:dyDescent="0.25">
      <c r="A27" s="13">
        <f t="shared" si="8"/>
        <v>24</v>
      </c>
      <c r="B27" s="14">
        <v>5</v>
      </c>
      <c r="C27" s="15">
        <f t="shared" si="1"/>
        <v>18.333333333333332</v>
      </c>
      <c r="D27" s="29">
        <v>23</v>
      </c>
      <c r="E27" s="28">
        <v>297.2</v>
      </c>
      <c r="F27" s="16">
        <f>E27*Paramètres!K$2*Paramètres!I$2</f>
        <v>134.89908</v>
      </c>
      <c r="G27" s="16">
        <f t="shared" si="5"/>
        <v>35.12594415397021</v>
      </c>
      <c r="H27" s="16">
        <f t="shared" si="2"/>
        <v>170.02502415397021</v>
      </c>
      <c r="I27" s="17">
        <f t="shared" si="7"/>
        <v>296.1269170681648</v>
      </c>
      <c r="J27" s="28">
        <f t="shared" si="6"/>
        <v>0</v>
      </c>
      <c r="K27" s="43">
        <f t="shared" si="0"/>
        <v>0</v>
      </c>
      <c r="L27" s="64"/>
      <c r="M27" s="64"/>
      <c r="N27" s="64"/>
      <c r="O27" s="54">
        <f>EXP(-Paramètres!B$11)*O26+(1-EXP(-Paramètres!B$11))*L26*K26/Paramètres!B$11</f>
        <v>0</v>
      </c>
      <c r="P27" s="54">
        <f>EXP(-Paramètres!C$11)*P26+(1-EXP(-Paramètres!C$11))*M26*K26/Paramètres!C$11</f>
        <v>68.483588954166649</v>
      </c>
      <c r="Q27" s="41">
        <f>EXP(-Paramètres!D$11)*P26+(1-EXP(-Paramètres!D$11))*N26*K26/Paramètres!D$11</f>
        <v>49.786628113409549</v>
      </c>
      <c r="R27" s="56">
        <f t="shared" si="3"/>
        <v>118.2702170675762</v>
      </c>
      <c r="S27"/>
    </row>
    <row r="28" spans="1:20" x14ac:dyDescent="0.25">
      <c r="A28" s="13">
        <f t="shared" si="8"/>
        <v>25</v>
      </c>
      <c r="B28" s="14">
        <v>5</v>
      </c>
      <c r="C28" s="15">
        <f t="shared" si="1"/>
        <v>18.333333333333332</v>
      </c>
      <c r="D28" s="29">
        <v>24</v>
      </c>
      <c r="E28" s="28">
        <v>339</v>
      </c>
      <c r="F28" s="16">
        <f>E28*Paramètres!K$2*Paramètres!I$2</f>
        <v>153.87209999999999</v>
      </c>
      <c r="G28" s="16">
        <f t="shared" si="5"/>
        <v>39.457224756598954</v>
      </c>
      <c r="H28" s="16">
        <f t="shared" si="2"/>
        <v>193.32932475659894</v>
      </c>
      <c r="I28" s="17">
        <f t="shared" si="7"/>
        <v>336.71524061774312</v>
      </c>
      <c r="J28" s="28">
        <f t="shared" si="6"/>
        <v>0</v>
      </c>
      <c r="K28" s="43">
        <f t="shared" si="0"/>
        <v>0</v>
      </c>
      <c r="L28" s="64"/>
      <c r="M28" s="64"/>
      <c r="N28" s="64"/>
      <c r="O28" s="54">
        <f>EXP(-Paramètres!B$11)*O27+(1-EXP(-Paramètres!B$11))*L27*K27/Paramètres!B$11</f>
        <v>0</v>
      </c>
      <c r="P28" s="54">
        <f>EXP(-Paramètres!C$11)*P27+(1-EXP(-Paramètres!C$11))*M27*K27/Paramètres!C$11</f>
        <v>66.610901612819546</v>
      </c>
      <c r="Q28" s="41">
        <f>EXP(-Paramètres!D$11)*P27+(1-EXP(-Paramètres!D$11))*N27*K27/Paramètres!D$11</f>
        <v>48.425210149483384</v>
      </c>
      <c r="R28" s="56">
        <f t="shared" si="3"/>
        <v>115.03611176230294</v>
      </c>
      <c r="S28"/>
    </row>
    <row r="29" spans="1:20" x14ac:dyDescent="0.25">
      <c r="A29" s="13">
        <f t="shared" si="8"/>
        <v>26</v>
      </c>
      <c r="B29" s="14">
        <v>5</v>
      </c>
      <c r="C29" s="15">
        <f t="shared" si="1"/>
        <v>18.333333333333332</v>
      </c>
      <c r="D29" s="29">
        <v>24</v>
      </c>
      <c r="E29" s="28">
        <v>234</v>
      </c>
      <c r="F29" s="16">
        <f>E29*Paramètres!K$2*Paramètres!I$2</f>
        <v>106.21259999999999</v>
      </c>
      <c r="G29" s="16">
        <f t="shared" si="5"/>
        <v>28.436832110820049</v>
      </c>
      <c r="H29" s="16">
        <f t="shared" si="2"/>
        <v>134.64943211082004</v>
      </c>
      <c r="I29" s="17">
        <f t="shared" si="7"/>
        <v>234.51442759301156</v>
      </c>
      <c r="J29" s="28">
        <f t="shared" si="6"/>
        <v>105</v>
      </c>
      <c r="K29" s="43">
        <f t="shared" si="0"/>
        <v>134.75</v>
      </c>
      <c r="L29" s="64">
        <v>0</v>
      </c>
      <c r="M29" s="64">
        <v>0.56000000000000005</v>
      </c>
      <c r="N29" s="64">
        <v>0.44</v>
      </c>
      <c r="O29" s="54">
        <f>EXP(-Paramètres!B$11)*O28+(1-EXP(-Paramètres!B$11))*L28*K28/Paramètres!B$11</f>
        <v>0</v>
      </c>
      <c r="P29" s="70">
        <v>66.599999999999994</v>
      </c>
      <c r="Q29" s="71">
        <v>48.4</v>
      </c>
      <c r="R29" s="56">
        <f t="shared" si="3"/>
        <v>115</v>
      </c>
      <c r="S29"/>
    </row>
    <row r="30" spans="1:20" x14ac:dyDescent="0.25">
      <c r="A30" s="13">
        <f t="shared" si="8"/>
        <v>27</v>
      </c>
      <c r="B30" s="14">
        <v>5</v>
      </c>
      <c r="C30" s="15">
        <f t="shared" si="1"/>
        <v>18.333333333333332</v>
      </c>
      <c r="D30" s="29">
        <v>25</v>
      </c>
      <c r="E30" s="28">
        <v>280.2</v>
      </c>
      <c r="F30" s="16">
        <f>E30*Paramètres!K$2*Paramètres!I$2</f>
        <v>127.18277999999999</v>
      </c>
      <c r="G30" s="16">
        <f t="shared" si="5"/>
        <v>33.344554764684162</v>
      </c>
      <c r="H30" s="16">
        <f t="shared" si="2"/>
        <v>160.52733476468416</v>
      </c>
      <c r="I30" s="17">
        <f t="shared" si="7"/>
        <v>279.58510804849158</v>
      </c>
      <c r="J30" s="28">
        <f t="shared" si="6"/>
        <v>0</v>
      </c>
      <c r="K30" s="43">
        <f t="shared" si="0"/>
        <v>0</v>
      </c>
      <c r="L30" s="64"/>
      <c r="M30" s="64"/>
      <c r="N30" s="64"/>
      <c r="O30" s="54">
        <f>EXP(-Paramètres!B$11)*O29+(1-EXP(-Paramètres!B$11))*L29*K29/Paramètres!B$11</f>
        <v>0</v>
      </c>
      <c r="P30" s="54">
        <f>EXP(-Paramètres!C$11)*P29+(1-EXP(-Paramètres!C$11))*M29*K29/Paramètres!C$11</f>
        <v>139.20232312505556</v>
      </c>
      <c r="Q30" s="41">
        <f>EXP(-Paramètres!D$11)*P29+(1-EXP(-Paramètres!D$11))*N29*K29/Paramètres!D$11</f>
        <v>97.19995399819004</v>
      </c>
      <c r="R30" s="56">
        <f t="shared" si="3"/>
        <v>236.4022771232456</v>
      </c>
      <c r="S30"/>
    </row>
    <row r="31" spans="1:20" x14ac:dyDescent="0.25">
      <c r="A31" s="13">
        <f t="shared" si="8"/>
        <v>28</v>
      </c>
      <c r="B31" s="14">
        <v>5</v>
      </c>
      <c r="C31" s="15">
        <f t="shared" si="1"/>
        <v>18.333333333333332</v>
      </c>
      <c r="D31" s="29">
        <v>26</v>
      </c>
      <c r="E31" s="28">
        <v>326.39999999999998</v>
      </c>
      <c r="F31" s="16">
        <f>E31*Paramètres!K$2*Paramètres!I$2</f>
        <v>148.15296000000001</v>
      </c>
      <c r="G31" s="16">
        <f t="shared" si="5"/>
        <v>38.158536953596894</v>
      </c>
      <c r="H31" s="16">
        <f t="shared" si="2"/>
        <v>186.3114969535969</v>
      </c>
      <c r="I31" s="17">
        <f t="shared" si="7"/>
        <v>324.49252386084794</v>
      </c>
      <c r="J31" s="28">
        <f t="shared" si="6"/>
        <v>0</v>
      </c>
      <c r="K31" s="43">
        <f t="shared" si="0"/>
        <v>0</v>
      </c>
      <c r="L31" s="64"/>
      <c r="M31" s="64"/>
      <c r="N31" s="64"/>
      <c r="O31" s="54">
        <f>EXP(-Paramètres!B$11)*O30+(1-EXP(-Paramètres!B$11))*L30*K30/Paramètres!B$11</f>
        <v>0</v>
      </c>
      <c r="P31" s="54">
        <f>EXP(-Paramètres!C$11)*P30+(1-EXP(-Paramètres!C$11))*M30*K30/Paramètres!C$11</f>
        <v>135.39582827886889</v>
      </c>
      <c r="Q31" s="41">
        <f>EXP(-Paramètres!D$11)*P30+(1-EXP(-Paramètres!D$11))*N30*K30/Paramètres!D$11</f>
        <v>98.430906638647755</v>
      </c>
      <c r="R31" s="56">
        <f t="shared" si="3"/>
        <v>233.82673491751666</v>
      </c>
      <c r="S31"/>
    </row>
    <row r="32" spans="1:20" x14ac:dyDescent="0.25">
      <c r="A32" s="13">
        <f t="shared" si="8"/>
        <v>29</v>
      </c>
      <c r="B32" s="14">
        <v>5</v>
      </c>
      <c r="C32" s="15">
        <f t="shared" si="1"/>
        <v>18.333333333333332</v>
      </c>
      <c r="D32" s="29">
        <v>27</v>
      </c>
      <c r="E32" s="28">
        <v>372.6</v>
      </c>
      <c r="F32" s="16">
        <f>E32*Paramètres!K$2*Paramètres!I$2</f>
        <v>169.12314000000001</v>
      </c>
      <c r="G32" s="16">
        <f t="shared" si="5"/>
        <v>42.893577046501775</v>
      </c>
      <c r="H32" s="16">
        <f t="shared" si="2"/>
        <v>212.01671704650178</v>
      </c>
      <c r="I32" s="17">
        <f t="shared" si="7"/>
        <v>369.26244885599061</v>
      </c>
      <c r="J32" s="28">
        <f t="shared" si="6"/>
        <v>0</v>
      </c>
      <c r="K32" s="43">
        <f t="shared" si="0"/>
        <v>0</v>
      </c>
      <c r="L32" s="64"/>
      <c r="M32" s="64"/>
      <c r="N32" s="64"/>
      <c r="O32" s="54">
        <f>EXP(-Paramètres!B$11)*O31+(1-EXP(-Paramètres!B$11))*L31*K31/Paramètres!B$11</f>
        <v>0</v>
      </c>
      <c r="P32" s="54">
        <f>EXP(-Paramètres!C$11)*P31+(1-EXP(-Paramètres!C$11))*M31*K31/Paramètres!C$11</f>
        <v>131.69342223442607</v>
      </c>
      <c r="Q32" s="41">
        <f>EXP(-Paramètres!D$11)*P31+(1-EXP(-Paramètres!D$11))*N31*K31/Paramètres!D$11</f>
        <v>95.739308320357509</v>
      </c>
      <c r="R32" s="56">
        <f t="shared" si="3"/>
        <v>227.43273055478357</v>
      </c>
      <c r="S32"/>
    </row>
    <row r="33" spans="1:19" x14ac:dyDescent="0.25">
      <c r="A33" s="13">
        <f t="shared" si="8"/>
        <v>30</v>
      </c>
      <c r="B33" s="14">
        <v>5</v>
      </c>
      <c r="C33" s="15">
        <f t="shared" si="1"/>
        <v>18.333333333333332</v>
      </c>
      <c r="D33" s="29">
        <v>28</v>
      </c>
      <c r="E33" s="28">
        <v>418.8</v>
      </c>
      <c r="F33" s="16">
        <f>E33*Paramètres!K$2*Paramètres!I$2</f>
        <v>190.09332000000003</v>
      </c>
      <c r="G33" s="16">
        <f t="shared" si="5"/>
        <v>47.560583988592548</v>
      </c>
      <c r="H33" s="16">
        <f t="shared" si="2"/>
        <v>237.65390398859259</v>
      </c>
      <c r="I33" s="17">
        <f t="shared" si="7"/>
        <v>413.9138827801321</v>
      </c>
      <c r="J33" s="28">
        <f t="shared" si="6"/>
        <v>0</v>
      </c>
      <c r="K33" s="43">
        <f t="shared" si="0"/>
        <v>0</v>
      </c>
      <c r="L33" s="64"/>
      <c r="M33" s="64"/>
      <c r="N33" s="64"/>
      <c r="O33" s="54">
        <f>EXP(-Paramètres!B$11)*O32+(1-EXP(-Paramètres!B$11))*L32*K32/Paramètres!B$11</f>
        <v>0</v>
      </c>
      <c r="P33" s="54">
        <f>EXP(-Paramètres!C$11)*P32+(1-EXP(-Paramètres!C$11))*M32*K32/Paramètres!C$11</f>
        <v>128.0922586779696</v>
      </c>
      <c r="Q33" s="41">
        <f>EXP(-Paramètres!D$11)*P32+(1-EXP(-Paramètres!D$11))*N32*K32/Paramètres!D$11</f>
        <v>93.121311899625937</v>
      </c>
      <c r="R33" s="56">
        <f t="shared" si="3"/>
        <v>221.21357057759553</v>
      </c>
      <c r="S33"/>
    </row>
    <row r="34" spans="1:19" x14ac:dyDescent="0.25">
      <c r="A34" s="13">
        <f t="shared" si="8"/>
        <v>31</v>
      </c>
      <c r="B34" s="14">
        <v>5</v>
      </c>
      <c r="C34" s="15">
        <f t="shared" si="1"/>
        <v>18.333333333333332</v>
      </c>
      <c r="D34" s="29">
        <v>29</v>
      </c>
      <c r="E34" s="28">
        <v>465</v>
      </c>
      <c r="F34" s="16">
        <f>E34*Paramètres!K$2*Paramètres!I$2</f>
        <v>211.06350000000003</v>
      </c>
      <c r="G34" s="16">
        <f t="shared" si="5"/>
        <v>52.167918835965267</v>
      </c>
      <c r="H34" s="16">
        <f t="shared" si="2"/>
        <v>263.23141883596531</v>
      </c>
      <c r="I34" s="17">
        <f t="shared" si="7"/>
        <v>458.46138780597289</v>
      </c>
      <c r="J34" s="28">
        <f t="shared" si="6"/>
        <v>0</v>
      </c>
      <c r="K34" s="43">
        <f t="shared" si="0"/>
        <v>0</v>
      </c>
      <c r="L34" s="64"/>
      <c r="M34" s="64"/>
      <c r="N34" s="64"/>
      <c r="O34" s="54">
        <f>EXP(-Paramètres!B$11)*O33+(1-EXP(-Paramètres!B$11))*L33*K33/Paramètres!B$11</f>
        <v>0</v>
      </c>
      <c r="P34" s="54">
        <f>EXP(-Paramètres!C$11)*P33+(1-EXP(-Paramètres!C$11))*M33*K33/Paramètres!C$11</f>
        <v>124.5895691283414</v>
      </c>
      <c r="Q34" s="41">
        <f>EXP(-Paramètres!D$11)*P33+(1-EXP(-Paramètres!D$11))*N33*K33/Paramètres!D$11</f>
        <v>90.574904728693696</v>
      </c>
      <c r="R34" s="56">
        <f t="shared" si="3"/>
        <v>215.16447385703509</v>
      </c>
      <c r="S34"/>
    </row>
    <row r="35" spans="1:19" x14ac:dyDescent="0.25">
      <c r="A35" s="13">
        <f t="shared" si="8"/>
        <v>32</v>
      </c>
      <c r="B35" s="14">
        <v>5</v>
      </c>
      <c r="C35" s="15">
        <f t="shared" si="1"/>
        <v>18.333333333333332</v>
      </c>
      <c r="D35" s="29">
        <v>29</v>
      </c>
      <c r="E35" s="28">
        <v>360</v>
      </c>
      <c r="F35" s="16">
        <f>E35*Paramètres!K$2*Paramètres!I$2</f>
        <v>163.404</v>
      </c>
      <c r="G35" s="16">
        <f t="shared" si="5"/>
        <v>41.609353880229847</v>
      </c>
      <c r="H35" s="16">
        <f t="shared" si="2"/>
        <v>205.01335388022983</v>
      </c>
      <c r="I35" s="17">
        <f t="shared" si="7"/>
        <v>357.06492467473362</v>
      </c>
      <c r="J35" s="28">
        <f t="shared" si="6"/>
        <v>105</v>
      </c>
      <c r="K35" s="43">
        <f t="shared" ref="K35:K66" si="9">J35*0.35*44/12</f>
        <v>134.75</v>
      </c>
      <c r="L35" s="64">
        <v>0</v>
      </c>
      <c r="M35" s="64">
        <v>0.56000000000000005</v>
      </c>
      <c r="N35" s="64">
        <v>0.44</v>
      </c>
      <c r="O35" s="54">
        <f>EXP(-Paramètres!B$11)*O34+(1-EXP(-Paramètres!B$11))*L34*K34/Paramètres!B$11</f>
        <v>0</v>
      </c>
      <c r="P35" s="70">
        <v>124.6</v>
      </c>
      <c r="Q35" s="71">
        <v>90.6</v>
      </c>
      <c r="R35" s="56">
        <f t="shared" si="3"/>
        <v>215.2</v>
      </c>
      <c r="S35"/>
    </row>
    <row r="36" spans="1:19" x14ac:dyDescent="0.25">
      <c r="A36" s="13">
        <f t="shared" si="8"/>
        <v>33</v>
      </c>
      <c r="B36" s="14">
        <v>5</v>
      </c>
      <c r="C36" s="15">
        <f t="shared" si="1"/>
        <v>18.333333333333332</v>
      </c>
      <c r="D36" s="29">
        <v>30</v>
      </c>
      <c r="E36" s="28">
        <v>405.2</v>
      </c>
      <c r="F36" s="16">
        <f>E36*Paramètres!K$2*Paramètres!I$2</f>
        <v>183.92027999999999</v>
      </c>
      <c r="G36" s="16">
        <f t="shared" si="5"/>
        <v>46.193279547297116</v>
      </c>
      <c r="H36" s="16">
        <f t="shared" si="2"/>
        <v>230.11355954729711</v>
      </c>
      <c r="I36" s="17">
        <f t="shared" si="7"/>
        <v>400.7811162115425</v>
      </c>
      <c r="J36" s="28">
        <f t="shared" si="6"/>
        <v>0</v>
      </c>
      <c r="K36" s="43">
        <f t="shared" si="9"/>
        <v>0</v>
      </c>
      <c r="L36" s="64"/>
      <c r="M36" s="64"/>
      <c r="N36" s="64"/>
      <c r="O36" s="54">
        <f>EXP(-Paramètres!B$11)*O35+(1-EXP(-Paramètres!B$11))*L35*K35/Paramètres!B$11</f>
        <v>0</v>
      </c>
      <c r="P36" s="54">
        <f>EXP(-Paramètres!C$11)*P35+(1-EXP(-Paramètres!C$11))*M35*K35/Paramètres!C$11</f>
        <v>195.61631007496814</v>
      </c>
      <c r="Q36" s="41">
        <f>EXP(-Paramètres!D$11)*P35+(1-EXP(-Paramètres!D$11))*N35*K35/Paramètres!D$11</f>
        <v>138.21214730700979</v>
      </c>
      <c r="R36" s="56">
        <f t="shared" si="3"/>
        <v>333.82845738197796</v>
      </c>
      <c r="S36"/>
    </row>
    <row r="37" spans="1:19" x14ac:dyDescent="0.25">
      <c r="A37" s="13">
        <f t="shared" ref="A37:A52" si="10">A36+1</f>
        <v>34</v>
      </c>
      <c r="B37" s="14">
        <v>5</v>
      </c>
      <c r="C37" s="15">
        <f t="shared" si="1"/>
        <v>18.333333333333332</v>
      </c>
      <c r="D37" s="29">
        <v>31</v>
      </c>
      <c r="E37" s="28">
        <v>450.4</v>
      </c>
      <c r="F37" s="16">
        <f>E37*Paramètres!K$2*Paramètres!I$2</f>
        <v>204.43655999999999</v>
      </c>
      <c r="G37" s="16">
        <f t="shared" si="5"/>
        <v>50.717940812155277</v>
      </c>
      <c r="H37" s="16">
        <f t="shared" si="2"/>
        <v>255.15450081215528</v>
      </c>
      <c r="I37" s="17">
        <f t="shared" si="7"/>
        <v>444.39408891450375</v>
      </c>
      <c r="J37" s="28">
        <f t="shared" si="6"/>
        <v>0</v>
      </c>
      <c r="K37" s="43">
        <f t="shared" si="9"/>
        <v>0</v>
      </c>
      <c r="L37" s="64"/>
      <c r="M37" s="64"/>
      <c r="N37" s="64"/>
      <c r="O37" s="54">
        <f>EXP(-Paramètres!B$11)*O36+(1-EXP(-Paramètres!B$11))*L36*K36/Paramètres!B$11</f>
        <v>0</v>
      </c>
      <c r="P37" s="54">
        <f>EXP(-Paramètres!C$11)*P36+(1-EXP(-Paramètres!C$11))*M36*K36/Paramètres!C$11</f>
        <v>190.26717178895348</v>
      </c>
      <c r="Q37" s="41">
        <f>EXP(-Paramètres!D$11)*P36+(1-EXP(-Paramètres!D$11))*N36*K36/Paramètres!D$11</f>
        <v>138.32161936470033</v>
      </c>
      <c r="R37" s="56">
        <f t="shared" ref="R37:R42" si="11">Q37+P37</f>
        <v>328.5887911536538</v>
      </c>
      <c r="S37"/>
    </row>
    <row r="38" spans="1:19" x14ac:dyDescent="0.25">
      <c r="A38" s="13">
        <f t="shared" si="10"/>
        <v>35</v>
      </c>
      <c r="B38" s="14">
        <v>5</v>
      </c>
      <c r="C38" s="15">
        <f t="shared" si="1"/>
        <v>18.333333333333332</v>
      </c>
      <c r="D38" s="29">
        <v>32</v>
      </c>
      <c r="E38" s="28">
        <v>495.6</v>
      </c>
      <c r="F38" s="16">
        <f>E38*Paramètres!K$2*Paramètres!I$2</f>
        <v>224.95284000000001</v>
      </c>
      <c r="G38" s="16">
        <f t="shared" si="5"/>
        <v>55.189962248092264</v>
      </c>
      <c r="H38" s="16">
        <f t="shared" si="2"/>
        <v>280.14280224809227</v>
      </c>
      <c r="I38" s="17">
        <f t="shared" si="7"/>
        <v>487.91538058209403</v>
      </c>
      <c r="J38" s="28">
        <f t="shared" si="6"/>
        <v>0</v>
      </c>
      <c r="K38" s="43">
        <f t="shared" si="9"/>
        <v>0</v>
      </c>
      <c r="L38" s="64"/>
      <c r="M38" s="64"/>
      <c r="N38" s="64"/>
      <c r="O38" s="54">
        <f>EXP(-Paramètres!B$11)*O37+(1-EXP(-Paramètres!B$11))*L37*K37/Paramètres!B$11</f>
        <v>0</v>
      </c>
      <c r="P38" s="54">
        <f>EXP(-Paramètres!C$11)*P37+(1-EXP(-Paramètres!C$11))*M37*K37/Paramètres!C$11</f>
        <v>185.06430597066884</v>
      </c>
      <c r="Q38" s="41">
        <f>EXP(-Paramètres!D$11)*P37+(1-EXP(-Paramètres!D$11))*N37*K37/Paramètres!D$11</f>
        <v>134.53920740915478</v>
      </c>
      <c r="R38" s="56">
        <f t="shared" si="11"/>
        <v>319.60351337982365</v>
      </c>
      <c r="S38"/>
    </row>
    <row r="39" spans="1:19" x14ac:dyDescent="0.25">
      <c r="A39" s="13">
        <f t="shared" si="10"/>
        <v>36</v>
      </c>
      <c r="B39" s="14">
        <v>5</v>
      </c>
      <c r="C39" s="15">
        <f t="shared" si="1"/>
        <v>18.333333333333332</v>
      </c>
      <c r="D39" s="29">
        <v>33</v>
      </c>
      <c r="E39" s="28">
        <v>540.79999999999995</v>
      </c>
      <c r="F39" s="16">
        <f>E39*Paramètres!K$2*Paramètres!I$2</f>
        <v>245.46911999999998</v>
      </c>
      <c r="G39" s="16">
        <f t="shared" si="5"/>
        <v>59.614690747072146</v>
      </c>
      <c r="H39" s="16">
        <f t="shared" si="2"/>
        <v>305.08381074707211</v>
      </c>
      <c r="I39" s="17">
        <f t="shared" si="7"/>
        <v>531.35430371781729</v>
      </c>
      <c r="J39" s="28">
        <f t="shared" si="6"/>
        <v>0</v>
      </c>
      <c r="K39" s="43">
        <f t="shared" si="9"/>
        <v>0</v>
      </c>
      <c r="L39" s="64"/>
      <c r="M39" s="64"/>
      <c r="N39" s="64"/>
      <c r="O39" s="54">
        <f>EXP(-Paramètres!B$11)*O38+(1-EXP(-Paramètres!B$11))*L38*K38/Paramètres!B$11</f>
        <v>0</v>
      </c>
      <c r="P39" s="54">
        <f>EXP(-Paramètres!C$11)*P38+(1-EXP(-Paramètres!C$11))*M38*K38/Paramètres!C$11</f>
        <v>180.00371279179203</v>
      </c>
      <c r="Q39" s="41">
        <f>EXP(-Paramètres!D$11)*P38+(1-EXP(-Paramètres!D$11))*N38*K38/Paramètres!D$11</f>
        <v>130.86022570744203</v>
      </c>
      <c r="R39" s="56">
        <f t="shared" si="11"/>
        <v>310.86393849923405</v>
      </c>
      <c r="S39"/>
    </row>
    <row r="40" spans="1:19" x14ac:dyDescent="0.25">
      <c r="A40" s="13">
        <f t="shared" si="10"/>
        <v>37</v>
      </c>
      <c r="B40" s="14">
        <v>5</v>
      </c>
      <c r="C40" s="15">
        <f t="shared" si="1"/>
        <v>18.333333333333332</v>
      </c>
      <c r="D40" s="29">
        <v>34</v>
      </c>
      <c r="E40" s="28">
        <v>586</v>
      </c>
      <c r="F40" s="16">
        <f>E40*Paramètres!K$2*Paramètres!I$2</f>
        <v>265.98540000000003</v>
      </c>
      <c r="G40" s="16">
        <f t="shared" si="5"/>
        <v>63.996528439946616</v>
      </c>
      <c r="H40" s="16">
        <f t="shared" si="2"/>
        <v>329.98192843994661</v>
      </c>
      <c r="I40" s="17">
        <f t="shared" si="7"/>
        <v>574.71852536624021</v>
      </c>
      <c r="J40" s="28">
        <f t="shared" si="6"/>
        <v>0</v>
      </c>
      <c r="K40" s="43">
        <f t="shared" si="9"/>
        <v>0</v>
      </c>
      <c r="L40" s="64"/>
      <c r="M40" s="64"/>
      <c r="N40" s="64"/>
      <c r="O40" s="54">
        <f>EXP(-Paramètres!B$11)*O39+(1-EXP(-Paramètres!B$11))*L39*K39/Paramètres!B$11</f>
        <v>0</v>
      </c>
      <c r="P40" s="54">
        <f>EXP(-Paramètres!C$11)*P39+(1-EXP(-Paramètres!C$11))*M39*K39/Paramètres!C$11</f>
        <v>175.08150179951662</v>
      </c>
      <c r="Q40" s="41">
        <f>EXP(-Paramètres!D$11)*P39+(1-EXP(-Paramètres!D$11))*N39*K39/Paramètres!D$11</f>
        <v>127.28184595383183</v>
      </c>
      <c r="R40" s="56">
        <f t="shared" si="11"/>
        <v>302.36334775334842</v>
      </c>
      <c r="S40"/>
    </row>
    <row r="41" spans="1:19" x14ac:dyDescent="0.25">
      <c r="A41" s="13">
        <f t="shared" si="10"/>
        <v>38</v>
      </c>
      <c r="B41" s="14">
        <v>5</v>
      </c>
      <c r="C41" s="15">
        <f t="shared" si="1"/>
        <v>18.333333333333332</v>
      </c>
      <c r="D41" s="29">
        <v>34</v>
      </c>
      <c r="E41" s="28">
        <v>481</v>
      </c>
      <c r="F41" s="16">
        <f>E41*Paramètres!K$2*Paramètres!I$2</f>
        <v>218.32590000000002</v>
      </c>
      <c r="G41" s="16">
        <f t="shared" si="5"/>
        <v>53.750866755303974</v>
      </c>
      <c r="H41" s="16">
        <f t="shared" si="2"/>
        <v>272.07676675530399</v>
      </c>
      <c r="I41" s="17">
        <f t="shared" si="7"/>
        <v>473.86703543215435</v>
      </c>
      <c r="J41" s="28">
        <f t="shared" si="6"/>
        <v>105</v>
      </c>
      <c r="K41" s="43">
        <f t="shared" si="9"/>
        <v>134.75</v>
      </c>
      <c r="L41" s="64">
        <v>0</v>
      </c>
      <c r="M41" s="64">
        <v>0.56000000000000005</v>
      </c>
      <c r="N41" s="64">
        <v>0.44</v>
      </c>
      <c r="O41" s="54">
        <f>EXP(-Paramètres!B$11)*O40+(1-EXP(-Paramètres!B$11))*L40*K40/Paramètres!B$11</f>
        <v>0</v>
      </c>
      <c r="P41" s="70">
        <v>175.1</v>
      </c>
      <c r="Q41" s="71">
        <v>127.3</v>
      </c>
      <c r="R41" s="56">
        <f t="shared" si="11"/>
        <v>302.39999999999998</v>
      </c>
      <c r="S41"/>
    </row>
    <row r="42" spans="1:19" x14ac:dyDescent="0.25">
      <c r="A42" s="13">
        <f t="shared" si="10"/>
        <v>39</v>
      </c>
      <c r="B42" s="14">
        <v>5</v>
      </c>
      <c r="C42" s="15">
        <f t="shared" si="1"/>
        <v>18.333333333333332</v>
      </c>
      <c r="D42" s="29">
        <v>35</v>
      </c>
      <c r="E42" s="28">
        <v>522.6</v>
      </c>
      <c r="F42" s="16">
        <f>E42*Paramètres!K$2*Paramètres!I$2</f>
        <v>237.20814000000001</v>
      </c>
      <c r="G42" s="16">
        <f t="shared" si="5"/>
        <v>57.83843975402413</v>
      </c>
      <c r="H42" s="16">
        <f t="shared" si="2"/>
        <v>295.04657975402415</v>
      </c>
      <c r="I42" s="17">
        <f t="shared" si="7"/>
        <v>513.87279307159201</v>
      </c>
      <c r="J42" s="28">
        <f t="shared" si="6"/>
        <v>0</v>
      </c>
      <c r="K42" s="43">
        <f t="shared" si="9"/>
        <v>0</v>
      </c>
      <c r="L42" s="64"/>
      <c r="M42" s="64"/>
      <c r="N42" s="64"/>
      <c r="O42" s="54">
        <f>EXP(-Paramètres!B$11)*O41+(1-EXP(-Paramètres!B$11))*L41*K41/Paramètres!B$11</f>
        <v>0</v>
      </c>
      <c r="P42" s="54">
        <f>EXP(-Paramètres!C$11)*P41+(1-EXP(-Paramètres!C$11))*M41*K41/Paramètres!C$11</f>
        <v>244.73538491928855</v>
      </c>
      <c r="Q42" s="41">
        <f>EXP(-Paramètres!D$11)*P41+(1-EXP(-Paramètres!D$11))*N41*K41/Paramètres!D$11</f>
        <v>173.92103975693044</v>
      </c>
      <c r="R42" s="56">
        <f t="shared" si="11"/>
        <v>418.65642467621899</v>
      </c>
      <c r="S42"/>
    </row>
    <row r="43" spans="1:19" x14ac:dyDescent="0.25">
      <c r="A43" s="13">
        <f t="shared" si="10"/>
        <v>40</v>
      </c>
      <c r="B43" s="14">
        <v>5</v>
      </c>
      <c r="C43" s="15">
        <f t="shared" si="1"/>
        <v>18.333333333333332</v>
      </c>
      <c r="D43" s="29">
        <v>36</v>
      </c>
      <c r="E43" s="28">
        <v>564.20000000000005</v>
      </c>
      <c r="F43" s="16">
        <f>E43*Paramètres!K$2*Paramètres!I$2</f>
        <v>256.09038000000004</v>
      </c>
      <c r="G43" s="16">
        <f t="shared" si="5"/>
        <v>61.888271520341448</v>
      </c>
      <c r="H43" s="16">
        <f t="shared" si="2"/>
        <v>317.97865152034149</v>
      </c>
      <c r="I43" s="17">
        <f t="shared" si="7"/>
        <v>553.81281806459469</v>
      </c>
      <c r="J43" s="28">
        <f t="shared" si="6"/>
        <v>0</v>
      </c>
      <c r="K43" s="43">
        <f t="shared" si="9"/>
        <v>0</v>
      </c>
      <c r="L43" s="64"/>
      <c r="M43" s="64"/>
      <c r="N43" s="64"/>
      <c r="O43" s="54">
        <f>EXP(-Paramètres!B$11)*O42+(1-EXP(-Paramètres!B$11))*L42*K42/Paramètres!B$11</f>
        <v>0</v>
      </c>
      <c r="P43" s="54">
        <f>EXP(-Paramètres!C$11)*P42+(1-EXP(-Paramètres!C$11))*M42*K42/Paramètres!C$11</f>
        <v>238.04308294859607</v>
      </c>
      <c r="Q43" s="41">
        <f>EXP(-Paramètres!D$11)*P42+(1-EXP(-Paramètres!D$11))*N42*K42/Paramètres!D$11</f>
        <v>173.05405027272886</v>
      </c>
      <c r="R43" s="56">
        <f t="shared" ref="R43:R48" si="12">Q43+P43</f>
        <v>411.09713322132495</v>
      </c>
      <c r="S43"/>
    </row>
    <row r="44" spans="1:19" x14ac:dyDescent="0.25">
      <c r="A44" s="13">
        <f t="shared" si="10"/>
        <v>41</v>
      </c>
      <c r="B44" s="14">
        <v>5</v>
      </c>
      <c r="C44" s="15">
        <f t="shared" si="1"/>
        <v>18.333333333333332</v>
      </c>
      <c r="D44" s="29">
        <v>37</v>
      </c>
      <c r="E44" s="28">
        <v>605.79999999999995</v>
      </c>
      <c r="F44" s="16">
        <f>E44*Paramètres!K$2*Paramètres!I$2</f>
        <v>274.97262000000001</v>
      </c>
      <c r="G44" s="16">
        <f t="shared" si="5"/>
        <v>65.903461263070227</v>
      </c>
      <c r="H44" s="16">
        <f t="shared" si="2"/>
        <v>340.8760812630702</v>
      </c>
      <c r="I44" s="17">
        <f t="shared" si="7"/>
        <v>593.69250819984734</v>
      </c>
      <c r="J44" s="28">
        <f t="shared" si="6"/>
        <v>0</v>
      </c>
      <c r="K44" s="43">
        <f t="shared" si="9"/>
        <v>0</v>
      </c>
      <c r="L44" s="64"/>
      <c r="M44" s="64"/>
      <c r="N44" s="64"/>
      <c r="O44" s="54">
        <f>EXP(-Paramètres!B$11)*O43+(1-EXP(-Paramètres!B$11))*L43*K43/Paramètres!B$11</f>
        <v>0</v>
      </c>
      <c r="P44" s="54">
        <f>EXP(-Paramètres!C$11)*P43+(1-EXP(-Paramètres!C$11))*M43*K43/Paramètres!C$11</f>
        <v>231.53378232722503</v>
      </c>
      <c r="Q44" s="41">
        <f>EXP(-Paramètres!D$11)*P43+(1-EXP(-Paramètres!D$11))*N43*K43/Paramètres!D$11</f>
        <v>168.32187816750411</v>
      </c>
      <c r="R44" s="56">
        <f t="shared" si="12"/>
        <v>399.85566049472914</v>
      </c>
      <c r="S44"/>
    </row>
    <row r="45" spans="1:19" x14ac:dyDescent="0.25">
      <c r="A45" s="13">
        <f t="shared" si="10"/>
        <v>42</v>
      </c>
      <c r="B45" s="14">
        <v>5</v>
      </c>
      <c r="C45" s="15">
        <f t="shared" si="1"/>
        <v>18.333333333333332</v>
      </c>
      <c r="D45" s="29">
        <v>38</v>
      </c>
      <c r="E45" s="28">
        <v>647.4</v>
      </c>
      <c r="F45" s="16">
        <f>E45*Paramètres!K$2*Paramètres!I$2</f>
        <v>293.85486000000003</v>
      </c>
      <c r="G45" s="16">
        <f t="shared" si="5"/>
        <v>69.88665845348261</v>
      </c>
      <c r="H45" s="16">
        <f t="shared" si="2"/>
        <v>363.74151845348263</v>
      </c>
      <c r="I45" s="17">
        <f t="shared" si="7"/>
        <v>633.51647797314888</v>
      </c>
      <c r="J45" s="28">
        <f t="shared" si="6"/>
        <v>0</v>
      </c>
      <c r="K45" s="43">
        <f t="shared" si="9"/>
        <v>0</v>
      </c>
      <c r="L45" s="64"/>
      <c r="M45" s="64"/>
      <c r="N45" s="64"/>
      <c r="O45" s="54">
        <f>EXP(-Paramètres!B$11)*O44+(1-EXP(-Paramètres!B$11))*L44*K44/Paramètres!B$11</f>
        <v>0</v>
      </c>
      <c r="P45" s="54">
        <f>EXP(-Paramètres!C$11)*P44+(1-EXP(-Paramètres!C$11))*M44*K44/Paramètres!C$11</f>
        <v>225.20247887365463</v>
      </c>
      <c r="Q45" s="41">
        <f>EXP(-Paramètres!D$11)*P44+(1-EXP(-Paramètres!D$11))*N44*K44/Paramètres!D$11</f>
        <v>163.71910755735084</v>
      </c>
      <c r="R45" s="56">
        <f t="shared" si="12"/>
        <v>388.92158643100549</v>
      </c>
      <c r="S45"/>
    </row>
    <row r="46" spans="1:19" x14ac:dyDescent="0.25">
      <c r="A46" s="13">
        <f t="shared" si="10"/>
        <v>43</v>
      </c>
      <c r="B46" s="14">
        <v>5</v>
      </c>
      <c r="C46" s="15">
        <f t="shared" si="1"/>
        <v>18.333333333333332</v>
      </c>
      <c r="D46" s="29">
        <v>39</v>
      </c>
      <c r="E46" s="28">
        <v>689</v>
      </c>
      <c r="F46" s="16">
        <f>E46*Paramètres!K$2*Paramètres!I$2</f>
        <v>312.7371</v>
      </c>
      <c r="G46" s="16">
        <f t="shared" si="5"/>
        <v>73.840152816870955</v>
      </c>
      <c r="H46" s="16">
        <f t="shared" si="2"/>
        <v>386.57725281687095</v>
      </c>
      <c r="I46" s="17">
        <f t="shared" si="7"/>
        <v>673.28871532271694</v>
      </c>
      <c r="J46" s="28">
        <f t="shared" si="6"/>
        <v>0</v>
      </c>
      <c r="K46" s="43">
        <f t="shared" si="9"/>
        <v>0</v>
      </c>
      <c r="L46" s="64"/>
      <c r="M46" s="64"/>
      <c r="N46" s="64"/>
      <c r="O46" s="54">
        <f>EXP(-Paramètres!B$11)*O45+(1-EXP(-Paramètres!B$11))*L45*K45/Paramètres!B$11</f>
        <v>0</v>
      </c>
      <c r="P46" s="54">
        <f>EXP(-Paramètres!C$11)*P45+(1-EXP(-Paramètres!C$11))*M45*K45/Paramètres!C$11</f>
        <v>219.04430524597089</v>
      </c>
      <c r="Q46" s="41">
        <f>EXP(-Paramètres!D$11)*P45+(1-EXP(-Paramètres!D$11))*N45*K45/Paramètres!D$11</f>
        <v>159.2421999515814</v>
      </c>
      <c r="R46" s="56">
        <f t="shared" si="12"/>
        <v>378.28650519755229</v>
      </c>
      <c r="S46"/>
    </row>
    <row r="47" spans="1:19" x14ac:dyDescent="0.25">
      <c r="A47" s="13">
        <f t="shared" si="10"/>
        <v>44</v>
      </c>
      <c r="B47" s="14">
        <v>5</v>
      </c>
      <c r="C47" s="15">
        <f t="shared" si="1"/>
        <v>18.333333333333332</v>
      </c>
      <c r="D47" s="29">
        <v>39</v>
      </c>
      <c r="E47" s="28">
        <v>584</v>
      </c>
      <c r="F47" s="16">
        <f>E47*Paramètres!K$2*Paramètres!I$2</f>
        <v>265.07760000000002</v>
      </c>
      <c r="G47" s="16">
        <f t="shared" si="5"/>
        <v>63.803495746806703</v>
      </c>
      <c r="H47" s="16">
        <f t="shared" si="2"/>
        <v>328.88109574680675</v>
      </c>
      <c r="I47" s="17">
        <f t="shared" si="7"/>
        <v>572.80124175902176</v>
      </c>
      <c r="J47" s="28">
        <f t="shared" si="6"/>
        <v>105</v>
      </c>
      <c r="K47" s="43">
        <f t="shared" si="9"/>
        <v>134.75</v>
      </c>
      <c r="L47" s="64">
        <v>0</v>
      </c>
      <c r="M47" s="64">
        <v>0.56000000000000005</v>
      </c>
      <c r="N47" s="64">
        <v>0.44</v>
      </c>
      <c r="O47" s="54">
        <f>EXP(-Paramètres!B$11)*O46+(1-EXP(-Paramètres!B$11))*L46*K46/Paramètres!B$11</f>
        <v>0</v>
      </c>
      <c r="P47" s="70">
        <v>219</v>
      </c>
      <c r="Q47" s="71">
        <v>159.19999999999999</v>
      </c>
      <c r="R47" s="56">
        <f t="shared" si="12"/>
        <v>378.2</v>
      </c>
      <c r="S47"/>
    </row>
    <row r="48" spans="1:19" x14ac:dyDescent="0.25">
      <c r="A48" s="13">
        <f t="shared" si="10"/>
        <v>45</v>
      </c>
      <c r="B48" s="14">
        <v>5</v>
      </c>
      <c r="C48" s="15">
        <f t="shared" si="1"/>
        <v>18.333333333333332</v>
      </c>
      <c r="D48" s="29">
        <v>40</v>
      </c>
      <c r="E48" s="28">
        <v>621.79999999999995</v>
      </c>
      <c r="F48" s="16">
        <f>E48*Paramètres!K$2*Paramètres!I$2</f>
        <v>282.23502000000002</v>
      </c>
      <c r="G48" s="16">
        <f t="shared" si="5"/>
        <v>67.439114080253688</v>
      </c>
      <c r="H48" s="16">
        <f t="shared" si="2"/>
        <v>349.67413408025368</v>
      </c>
      <c r="I48" s="17">
        <f t="shared" si="7"/>
        <v>609.01578352310844</v>
      </c>
      <c r="J48" s="28">
        <f t="shared" si="6"/>
        <v>0</v>
      </c>
      <c r="K48" s="43">
        <f t="shared" si="9"/>
        <v>0</v>
      </c>
      <c r="L48" s="64"/>
      <c r="M48" s="64"/>
      <c r="N48" s="64"/>
      <c r="O48" s="54">
        <f>EXP(-Paramètres!B$11)*O47+(1-EXP(-Paramètres!B$11))*L47*K47/Paramètres!B$11</f>
        <v>0</v>
      </c>
      <c r="P48" s="54">
        <f>EXP(-Paramètres!C$11)*P47+(1-EXP(-Paramètres!C$11))*M47*K47/Paramètres!C$11</f>
        <v>287.43493711068788</v>
      </c>
      <c r="Q48" s="41">
        <f>EXP(-Paramètres!D$11)*P47+(1-EXP(-Paramètres!D$11))*N47*K47/Paramètres!D$11</f>
        <v>204.96302745101988</v>
      </c>
      <c r="R48" s="56">
        <f t="shared" si="12"/>
        <v>492.39796456170779</v>
      </c>
      <c r="S48"/>
    </row>
    <row r="49" spans="1:19" x14ac:dyDescent="0.25">
      <c r="A49" s="13">
        <f t="shared" si="10"/>
        <v>46</v>
      </c>
      <c r="B49" s="14">
        <v>5</v>
      </c>
      <c r="C49" s="15">
        <f t="shared" si="1"/>
        <v>18.333333333333332</v>
      </c>
      <c r="D49" s="29">
        <v>41</v>
      </c>
      <c r="E49" s="28">
        <v>659.6</v>
      </c>
      <c r="F49" s="16">
        <f>E49*Paramètres!K$2*Paramètres!I$2</f>
        <v>299.39244000000002</v>
      </c>
      <c r="G49" s="16">
        <f t="shared" si="5"/>
        <v>71.049080539297208</v>
      </c>
      <c r="H49" s="16">
        <f t="shared" si="2"/>
        <v>370.44152053929724</v>
      </c>
      <c r="I49" s="17">
        <f t="shared" si="7"/>
        <v>645.18564827260934</v>
      </c>
      <c r="J49" s="28">
        <f t="shared" si="6"/>
        <v>0</v>
      </c>
      <c r="K49" s="43">
        <f t="shared" si="9"/>
        <v>0</v>
      </c>
      <c r="L49" s="64"/>
      <c r="M49" s="64"/>
      <c r="N49" s="64"/>
      <c r="O49" s="54">
        <f>EXP(-Paramètres!B$11)*O48+(1-EXP(-Paramètres!B$11))*L48*K48/Paramètres!B$11</f>
        <v>0</v>
      </c>
      <c r="P49" s="54">
        <f>EXP(-Paramètres!C$11)*P48+(1-EXP(-Paramètres!C$11))*M48*K48/Paramètres!C$11</f>
        <v>279.57501363984971</v>
      </c>
      <c r="Q49" s="41">
        <f>EXP(-Paramètres!D$11)*P48+(1-EXP(-Paramètres!D$11))*N48*K48/Paramètres!D$11</f>
        <v>203.24719318089623</v>
      </c>
      <c r="R49" s="56">
        <f t="shared" ref="R49:R54" si="13">Q49+P49</f>
        <v>482.82220682074592</v>
      </c>
      <c r="S49"/>
    </row>
    <row r="50" spans="1:19" x14ac:dyDescent="0.25">
      <c r="A50" s="13">
        <f t="shared" si="10"/>
        <v>47</v>
      </c>
      <c r="B50" s="14">
        <v>5</v>
      </c>
      <c r="C50" s="15">
        <f t="shared" si="1"/>
        <v>18.333333333333332</v>
      </c>
      <c r="D50" s="29">
        <v>42</v>
      </c>
      <c r="E50" s="28">
        <v>697.4</v>
      </c>
      <c r="F50" s="16">
        <f>E50*Paramètres!K$2*Paramètres!I$2</f>
        <v>316.54986000000002</v>
      </c>
      <c r="G50" s="16">
        <f t="shared" si="5"/>
        <v>74.635032662000469</v>
      </c>
      <c r="H50" s="16">
        <f t="shared" si="2"/>
        <v>391.18489266200049</v>
      </c>
      <c r="I50" s="17">
        <f t="shared" si="7"/>
        <v>681.31368805298416</v>
      </c>
      <c r="J50" s="28">
        <f t="shared" si="6"/>
        <v>0</v>
      </c>
      <c r="K50" s="43">
        <f t="shared" si="9"/>
        <v>0</v>
      </c>
      <c r="L50" s="64"/>
      <c r="M50" s="64"/>
      <c r="N50" s="64"/>
      <c r="O50" s="54">
        <f>EXP(-Paramètres!B$11)*O49+(1-EXP(-Paramètres!B$11))*L49*K49/Paramètres!B$11</f>
        <v>0</v>
      </c>
      <c r="P50" s="54">
        <f>EXP(-Paramètres!C$11)*P49+(1-EXP(-Paramètres!C$11))*M49*K49/Paramètres!C$11</f>
        <v>271.93002018965706</v>
      </c>
      <c r="Q50" s="41">
        <f>EXP(-Paramètres!D$11)*P49+(1-EXP(-Paramètres!D$11))*N49*K49/Paramètres!D$11</f>
        <v>197.68938799505926</v>
      </c>
      <c r="R50" s="56">
        <f t="shared" si="13"/>
        <v>469.61940818471635</v>
      </c>
      <c r="S50"/>
    </row>
    <row r="51" spans="1:19" x14ac:dyDescent="0.25">
      <c r="A51" s="13">
        <f t="shared" si="10"/>
        <v>48</v>
      </c>
      <c r="B51" s="14">
        <v>5</v>
      </c>
      <c r="C51" s="15">
        <f t="shared" si="1"/>
        <v>18.333333333333332</v>
      </c>
      <c r="D51" s="29">
        <v>43</v>
      </c>
      <c r="E51" s="28">
        <v>735.2</v>
      </c>
      <c r="F51" s="16">
        <f>E51*Paramètres!K$2*Paramètres!I$2</f>
        <v>333.70728000000003</v>
      </c>
      <c r="G51" s="16">
        <f t="shared" si="5"/>
        <v>78.198420447377714</v>
      </c>
      <c r="H51" s="16">
        <f t="shared" si="2"/>
        <v>411.90570044737774</v>
      </c>
      <c r="I51" s="17">
        <f t="shared" si="7"/>
        <v>717.40242827918291</v>
      </c>
      <c r="J51" s="28">
        <f t="shared" si="6"/>
        <v>0</v>
      </c>
      <c r="K51" s="43">
        <f t="shared" si="9"/>
        <v>0</v>
      </c>
      <c r="L51" s="64"/>
      <c r="M51" s="64"/>
      <c r="N51" s="64"/>
      <c r="O51" s="54">
        <f>EXP(-Paramètres!B$11)*O50+(1-EXP(-Paramètres!B$11))*L50*K50/Paramètres!B$11</f>
        <v>0</v>
      </c>
      <c r="P51" s="54">
        <f>EXP(-Paramètres!C$11)*P50+(1-EXP(-Paramètres!C$11))*M50*K50/Paramètres!C$11</f>
        <v>264.49407948739264</v>
      </c>
      <c r="Q51" s="41">
        <f>EXP(-Paramètres!D$11)*P50+(1-EXP(-Paramètres!D$11))*N50*K50/Paramètres!D$11</f>
        <v>192.2835612843013</v>
      </c>
      <c r="R51" s="56">
        <f t="shared" si="13"/>
        <v>456.77764077169394</v>
      </c>
      <c r="S51"/>
    </row>
    <row r="52" spans="1:19" x14ac:dyDescent="0.25">
      <c r="A52" s="13">
        <f t="shared" si="10"/>
        <v>49</v>
      </c>
      <c r="B52" s="14">
        <v>5</v>
      </c>
      <c r="C52" s="15">
        <f t="shared" si="1"/>
        <v>18.333333333333332</v>
      </c>
      <c r="D52" s="29">
        <v>44</v>
      </c>
      <c r="E52" s="28">
        <v>773</v>
      </c>
      <c r="F52" s="16">
        <f>E52*Paramètres!K$2*Paramètres!I$2</f>
        <v>350.86469999999997</v>
      </c>
      <c r="G52" s="16">
        <f t="shared" si="5"/>
        <v>81.740536370492507</v>
      </c>
      <c r="H52" s="16">
        <f t="shared" si="2"/>
        <v>432.60523637049249</v>
      </c>
      <c r="I52" s="17">
        <f t="shared" si="7"/>
        <v>753.45412001194109</v>
      </c>
      <c r="J52" s="28">
        <f t="shared" si="6"/>
        <v>0</v>
      </c>
      <c r="K52" s="43">
        <f t="shared" si="9"/>
        <v>0</v>
      </c>
      <c r="L52" s="64"/>
      <c r="M52" s="64"/>
      <c r="N52" s="64"/>
      <c r="O52" s="54">
        <f>EXP(-Paramètres!B$11)*O51+(1-EXP(-Paramètres!B$11))*L51*K51/Paramètres!B$11</f>
        <v>0</v>
      </c>
      <c r="P52" s="54">
        <f>EXP(-Paramètres!C$11)*P51+(1-EXP(-Paramètres!C$11))*M51*K51/Paramètres!C$11</f>
        <v>257.26147497467076</v>
      </c>
      <c r="Q52" s="41">
        <f>EXP(-Paramètres!D$11)*P51+(1-EXP(-Paramètres!D$11))*N51*K51/Paramètres!D$11</f>
        <v>187.02555718922906</v>
      </c>
      <c r="R52" s="56">
        <f t="shared" si="13"/>
        <v>444.28703216389982</v>
      </c>
      <c r="S52"/>
    </row>
    <row r="53" spans="1:19" x14ac:dyDescent="0.25">
      <c r="A53" s="13">
        <f t="shared" ref="A53:A63" si="14">A52+1</f>
        <v>50</v>
      </c>
      <c r="B53" s="14">
        <v>5</v>
      </c>
      <c r="C53" s="15">
        <f t="shared" si="1"/>
        <v>18.333333333333332</v>
      </c>
      <c r="D53" s="29">
        <v>44</v>
      </c>
      <c r="E53" s="28">
        <v>687</v>
      </c>
      <c r="F53" s="16">
        <f>E53*Paramètres!K$2*Paramètres!I$2</f>
        <v>311.82929999999999</v>
      </c>
      <c r="G53" s="16">
        <f t="shared" si="5"/>
        <v>73.650729903943926</v>
      </c>
      <c r="H53" s="16">
        <f t="shared" si="2"/>
        <v>385.48002990394389</v>
      </c>
      <c r="I53" s="17">
        <f t="shared" si="7"/>
        <v>671.37771874936891</v>
      </c>
      <c r="J53" s="28">
        <f t="shared" si="6"/>
        <v>86</v>
      </c>
      <c r="K53" s="43">
        <f t="shared" si="9"/>
        <v>110.36666666666666</v>
      </c>
      <c r="L53" s="64">
        <v>0</v>
      </c>
      <c r="M53" s="64">
        <v>0.56000000000000005</v>
      </c>
      <c r="N53" s="64">
        <v>0.44</v>
      </c>
      <c r="O53" s="54">
        <f>EXP(-Paramètres!B$11)*O52+(1-EXP(-Paramètres!B$11))*L52*K52/Paramètres!B$11</f>
        <v>0</v>
      </c>
      <c r="P53" s="70">
        <v>257.3</v>
      </c>
      <c r="Q53" s="71">
        <v>187</v>
      </c>
      <c r="R53" s="56">
        <f t="shared" si="13"/>
        <v>444.3</v>
      </c>
      <c r="S53"/>
    </row>
    <row r="54" spans="1:19" x14ac:dyDescent="0.25">
      <c r="A54" s="13">
        <f t="shared" si="14"/>
        <v>51</v>
      </c>
      <c r="B54" s="14">
        <v>5</v>
      </c>
      <c r="C54" s="15">
        <f t="shared" si="1"/>
        <v>18.333333333333332</v>
      </c>
      <c r="D54" s="29">
        <v>45</v>
      </c>
      <c r="E54" s="28">
        <v>721</v>
      </c>
      <c r="F54" s="16">
        <f>E54*Paramètres!K$2*Paramètres!I$2</f>
        <v>327.26190000000003</v>
      </c>
      <c r="G54" s="16">
        <f t="shared" si="5"/>
        <v>76.862354201027983</v>
      </c>
      <c r="H54" s="16">
        <f t="shared" si="2"/>
        <v>404.12425420102801</v>
      </c>
      <c r="I54" s="17">
        <f t="shared" si="7"/>
        <v>703.84974273345699</v>
      </c>
      <c r="J54" s="28">
        <f t="shared" si="6"/>
        <v>0</v>
      </c>
      <c r="K54" s="43">
        <f t="shared" si="9"/>
        <v>0</v>
      </c>
      <c r="L54" s="64"/>
      <c r="M54" s="64"/>
      <c r="N54" s="64"/>
      <c r="O54" s="54">
        <f>EXP(-Paramètres!B$11)*O53+(1-EXP(-Paramètres!B$11))*L53*K53/Paramètres!B$11</f>
        <v>0</v>
      </c>
      <c r="P54" s="54">
        <f>EXP(-Paramètres!C$11)*P53+(1-EXP(-Paramètres!C$11))*M53*K53/Paramètres!C$11</f>
        <v>311.22051141638275</v>
      </c>
      <c r="Q54" s="41">
        <f>EXP(-Paramètres!D$11)*P53+(1-EXP(-Paramètres!D$11))*N53*K53/Paramètres!D$11</f>
        <v>222.97830093187272</v>
      </c>
      <c r="R54" s="56">
        <f t="shared" si="13"/>
        <v>534.1988123482555</v>
      </c>
      <c r="S54"/>
    </row>
    <row r="55" spans="1:19" x14ac:dyDescent="0.25">
      <c r="A55" s="13">
        <f t="shared" si="14"/>
        <v>52</v>
      </c>
      <c r="B55" s="14">
        <v>5</v>
      </c>
      <c r="C55" s="15">
        <f t="shared" si="1"/>
        <v>18.333333333333332</v>
      </c>
      <c r="D55" s="29">
        <v>46</v>
      </c>
      <c r="E55" s="28">
        <v>755</v>
      </c>
      <c r="F55" s="16">
        <f>E55*Paramètres!K$2*Paramètres!I$2</f>
        <v>342.69450000000006</v>
      </c>
      <c r="G55" s="16">
        <f t="shared" si="5"/>
        <v>80.056391165832437</v>
      </c>
      <c r="H55" s="16">
        <f t="shared" si="2"/>
        <v>422.75089116583251</v>
      </c>
      <c r="I55" s="17">
        <f t="shared" si="7"/>
        <v>736.29113544715813</v>
      </c>
      <c r="J55" s="28">
        <f t="shared" si="6"/>
        <v>0</v>
      </c>
      <c r="K55" s="43">
        <f t="shared" si="9"/>
        <v>0</v>
      </c>
      <c r="L55" s="64"/>
      <c r="M55" s="64"/>
      <c r="N55" s="64"/>
      <c r="O55" s="54">
        <f>EXP(-Paramètres!B$11)*O54+(1-EXP(-Paramètres!B$11))*L54*K54/Paramètres!B$11</f>
        <v>0</v>
      </c>
      <c r="P55" s="54">
        <f>EXP(-Paramètres!C$11)*P54+(1-EXP(-Paramètres!C$11))*M54*K54/Paramètres!C$11</f>
        <v>302.71017016532636</v>
      </c>
      <c r="Q55" s="41">
        <f>EXP(-Paramètres!D$11)*P54+(1-EXP(-Paramètres!D$11))*N54*K54/Paramètres!D$11</f>
        <v>220.06613406686958</v>
      </c>
      <c r="R55" s="56">
        <f t="shared" ref="R55:R60" si="15">Q55+P55</f>
        <v>522.77630423219591</v>
      </c>
      <c r="S55"/>
    </row>
    <row r="56" spans="1:19" x14ac:dyDescent="0.25">
      <c r="A56" s="13">
        <f t="shared" si="14"/>
        <v>53</v>
      </c>
      <c r="B56" s="14">
        <v>5</v>
      </c>
      <c r="C56" s="15">
        <f t="shared" si="1"/>
        <v>18.333333333333332</v>
      </c>
      <c r="D56" s="29">
        <v>47</v>
      </c>
      <c r="E56" s="28">
        <v>789</v>
      </c>
      <c r="F56" s="16">
        <f>E56*Paramètres!K$2*Paramètres!I$2</f>
        <v>358.12709999999998</v>
      </c>
      <c r="G56" s="16">
        <f t="shared" si="5"/>
        <v>83.233723296910668</v>
      </c>
      <c r="H56" s="16">
        <f t="shared" si="2"/>
        <v>441.36082329691067</v>
      </c>
      <c r="I56" s="17">
        <f t="shared" si="7"/>
        <v>768.703433908786</v>
      </c>
      <c r="J56" s="28">
        <f t="shared" si="6"/>
        <v>0</v>
      </c>
      <c r="K56" s="43">
        <f t="shared" si="9"/>
        <v>0</v>
      </c>
      <c r="L56" s="64"/>
      <c r="M56" s="64"/>
      <c r="N56" s="64"/>
      <c r="O56" s="54">
        <f>EXP(-Paramètres!B$11)*O55+(1-EXP(-Paramètres!B$11))*L55*K55/Paramètres!B$11</f>
        <v>0</v>
      </c>
      <c r="P56" s="54">
        <f>EXP(-Paramètres!C$11)*P55+(1-EXP(-Paramètres!C$11))*M55*K55/Paramètres!C$11</f>
        <v>294.43254464331949</v>
      </c>
      <c r="Q56" s="41">
        <f>EXP(-Paramètres!D$11)*P55+(1-EXP(-Paramètres!D$11))*N55*K55/Paramètres!D$11</f>
        <v>214.048414058036</v>
      </c>
      <c r="R56" s="56">
        <f t="shared" si="15"/>
        <v>508.48095870135546</v>
      </c>
      <c r="S56"/>
    </row>
    <row r="57" spans="1:19" x14ac:dyDescent="0.25">
      <c r="A57" s="13">
        <f t="shared" si="14"/>
        <v>54</v>
      </c>
      <c r="B57" s="14">
        <v>5</v>
      </c>
      <c r="C57" s="15">
        <f t="shared" si="1"/>
        <v>18.333333333333332</v>
      </c>
      <c r="D57" s="29">
        <v>48</v>
      </c>
      <c r="E57" s="28">
        <v>823</v>
      </c>
      <c r="F57" s="16">
        <f>E57*Paramètres!K$2*Paramètres!I$2</f>
        <v>373.55969999999996</v>
      </c>
      <c r="G57" s="16">
        <f t="shared" si="5"/>
        <v>86.395152733151448</v>
      </c>
      <c r="H57" s="16">
        <f t="shared" si="2"/>
        <v>459.95485273315143</v>
      </c>
      <c r="I57" s="17">
        <f t="shared" si="7"/>
        <v>801.08803517690524</v>
      </c>
      <c r="J57" s="28">
        <f t="shared" si="6"/>
        <v>0</v>
      </c>
      <c r="K57" s="43">
        <f t="shared" si="9"/>
        <v>0</v>
      </c>
      <c r="L57" s="64"/>
      <c r="M57" s="64"/>
      <c r="N57" s="64"/>
      <c r="O57" s="54">
        <f>EXP(-Paramètres!B$11)*O56+(1-EXP(-Paramètres!B$11))*L56*K56/Paramètres!B$11</f>
        <v>0</v>
      </c>
      <c r="P57" s="54">
        <f>EXP(-Paramètres!C$11)*P56+(1-EXP(-Paramètres!C$11))*M56*K56/Paramètres!C$11</f>
        <v>286.38127122651332</v>
      </c>
      <c r="Q57" s="41">
        <f>EXP(-Paramètres!D$11)*P56+(1-EXP(-Paramètres!D$11))*N56*K56/Paramètres!D$11</f>
        <v>208.19524891930212</v>
      </c>
      <c r="R57" s="56">
        <f t="shared" si="15"/>
        <v>494.57652014581544</v>
      </c>
      <c r="S57"/>
    </row>
    <row r="58" spans="1:19" x14ac:dyDescent="0.25">
      <c r="A58" s="13">
        <f t="shared" si="14"/>
        <v>55</v>
      </c>
      <c r="B58" s="14">
        <v>5</v>
      </c>
      <c r="C58" s="15">
        <f t="shared" si="1"/>
        <v>18.333333333333332</v>
      </c>
      <c r="D58" s="29">
        <v>49</v>
      </c>
      <c r="E58" s="28">
        <v>857</v>
      </c>
      <c r="F58" s="16">
        <f>E58*Paramètres!K$2*Paramètres!I$2</f>
        <v>388.9923</v>
      </c>
      <c r="G58" s="16">
        <f t="shared" si="5"/>
        <v>89.541411587070584</v>
      </c>
      <c r="H58" s="16">
        <f t="shared" si="2"/>
        <v>478.53371158707057</v>
      </c>
      <c r="I58" s="17">
        <f t="shared" si="7"/>
        <v>833.44621434748115</v>
      </c>
      <c r="J58" s="28">
        <f t="shared" si="6"/>
        <v>0</v>
      </c>
      <c r="K58" s="43">
        <f t="shared" si="9"/>
        <v>0</v>
      </c>
      <c r="L58" s="64"/>
      <c r="M58" s="64"/>
      <c r="N58" s="64"/>
      <c r="O58" s="54">
        <f>EXP(-Paramètres!B$11)*O57+(1-EXP(-Paramètres!B$11))*L57*K57/Paramètres!B$11</f>
        <v>0</v>
      </c>
      <c r="P58" s="54">
        <f>EXP(-Paramètres!C$11)*P57+(1-EXP(-Paramètres!C$11))*M57*K57/Paramètres!C$11</f>
        <v>278.55016030468778</v>
      </c>
      <c r="Q58" s="41">
        <f>EXP(-Paramètres!D$11)*P57+(1-EXP(-Paramètres!D$11))*N57*K57/Paramètres!D$11</f>
        <v>202.5021388890915</v>
      </c>
      <c r="R58" s="56">
        <f t="shared" si="15"/>
        <v>481.05229919377928</v>
      </c>
      <c r="S58"/>
    </row>
    <row r="59" spans="1:19" x14ac:dyDescent="0.25">
      <c r="A59" s="13">
        <f t="shared" si="14"/>
        <v>56</v>
      </c>
      <c r="B59" s="14">
        <v>5</v>
      </c>
      <c r="C59" s="15">
        <f t="shared" si="1"/>
        <v>18.333333333333332</v>
      </c>
      <c r="D59" s="29">
        <v>49</v>
      </c>
      <c r="E59" s="28">
        <v>784</v>
      </c>
      <c r="F59" s="16">
        <f>E59*Paramètres!K$2*Paramètres!I$2</f>
        <v>355.85759999999999</v>
      </c>
      <c r="G59" s="16">
        <f t="shared" si="5"/>
        <v>82.767484341475438</v>
      </c>
      <c r="H59" s="16">
        <f t="shared" si="2"/>
        <v>438.62508434147543</v>
      </c>
      <c r="I59" s="17">
        <f t="shared" si="7"/>
        <v>763.93868856140307</v>
      </c>
      <c r="J59" s="28">
        <f t="shared" si="6"/>
        <v>73</v>
      </c>
      <c r="K59" s="43">
        <f t="shared" si="9"/>
        <v>93.683333333333323</v>
      </c>
      <c r="L59" s="64">
        <v>0</v>
      </c>
      <c r="M59" s="64">
        <v>0.56000000000000005</v>
      </c>
      <c r="N59" s="64">
        <v>0.44</v>
      </c>
      <c r="O59" s="54">
        <f>EXP(-Paramètres!B$11)*O58+(1-EXP(-Paramètres!B$11))*L58*K58/Paramètres!B$11</f>
        <v>0</v>
      </c>
      <c r="P59" s="70">
        <v>278.60000000000002</v>
      </c>
      <c r="Q59" s="71">
        <v>202.5</v>
      </c>
      <c r="R59" s="56">
        <f t="shared" si="15"/>
        <v>481.1</v>
      </c>
      <c r="S59"/>
    </row>
    <row r="60" spans="1:19" x14ac:dyDescent="0.25">
      <c r="A60" s="13">
        <f t="shared" si="14"/>
        <v>57</v>
      </c>
      <c r="B60" s="14">
        <v>5</v>
      </c>
      <c r="C60" s="15">
        <f t="shared" si="1"/>
        <v>18.333333333333332</v>
      </c>
      <c r="D60" s="29">
        <v>50</v>
      </c>
      <c r="E60" s="28">
        <v>813.8</v>
      </c>
      <c r="F60" s="16">
        <f>E60*Paramètres!K$2*Paramètres!I$2</f>
        <v>369.38382000000001</v>
      </c>
      <c r="G60" s="16">
        <f t="shared" si="5"/>
        <v>85.54123365660837</v>
      </c>
      <c r="H60" s="16">
        <f t="shared" si="2"/>
        <v>454.92505365660838</v>
      </c>
      <c r="I60" s="17">
        <f t="shared" si="7"/>
        <v>792.32780178525957</v>
      </c>
      <c r="J60" s="28">
        <f t="shared" si="6"/>
        <v>0</v>
      </c>
      <c r="K60" s="43">
        <f t="shared" si="9"/>
        <v>0</v>
      </c>
      <c r="L60" s="64"/>
      <c r="M60" s="64"/>
      <c r="N60" s="64"/>
      <c r="O60" s="54">
        <f>EXP(-Paramètres!B$11)*O59+(1-EXP(-Paramètres!B$11))*L59*K59/Paramètres!B$11</f>
        <v>0</v>
      </c>
      <c r="P60" s="54">
        <f>EXP(-Paramètres!C$11)*P59+(1-EXP(-Paramètres!C$11))*M59*K59/Paramètres!C$11</f>
        <v>322.72372325191998</v>
      </c>
      <c r="Q60" s="41">
        <f>EXP(-Paramètres!D$11)*P59+(1-EXP(-Paramètres!D$11))*N59*K59/Paramètres!D$11</f>
        <v>231.83599583947802</v>
      </c>
      <c r="R60" s="56">
        <f t="shared" si="15"/>
        <v>554.55971909139794</v>
      </c>
      <c r="S60"/>
    </row>
    <row r="61" spans="1:19" x14ac:dyDescent="0.25">
      <c r="A61" s="13">
        <f t="shared" si="14"/>
        <v>58</v>
      </c>
      <c r="B61" s="14">
        <v>5</v>
      </c>
      <c r="C61" s="15">
        <f t="shared" si="1"/>
        <v>18.333333333333332</v>
      </c>
      <c r="D61" s="29">
        <v>51</v>
      </c>
      <c r="E61" s="28">
        <v>843.6</v>
      </c>
      <c r="F61" s="16">
        <f>E61*Paramètres!K$2*Paramètres!I$2</f>
        <v>382.91003999999998</v>
      </c>
      <c r="G61" s="16">
        <f t="shared" si="5"/>
        <v>88.303182589750847</v>
      </c>
      <c r="H61" s="16">
        <f t="shared" si="2"/>
        <v>471.21322258975084</v>
      </c>
      <c r="I61" s="17">
        <f t="shared" si="7"/>
        <v>820.6963626771493</v>
      </c>
      <c r="J61" s="28">
        <f t="shared" si="6"/>
        <v>0</v>
      </c>
      <c r="K61" s="43">
        <f t="shared" si="9"/>
        <v>0</v>
      </c>
      <c r="L61" s="64"/>
      <c r="M61" s="64"/>
      <c r="N61" s="64"/>
      <c r="O61" s="54">
        <f>EXP(-Paramètres!B$11)*O60+(1-EXP(-Paramètres!B$11))*L60*K60/Paramètres!B$11</f>
        <v>0</v>
      </c>
      <c r="P61" s="54">
        <f>EXP(-Paramètres!C$11)*P60+(1-EXP(-Paramètres!C$11))*M60*K60/Paramètres!C$11</f>
        <v>313.8988260682932</v>
      </c>
      <c r="Q61" s="41">
        <f>EXP(-Paramètres!D$11)*P60+(1-EXP(-Paramètres!D$11))*N60*K60/Paramètres!D$11</f>
        <v>228.20013316120333</v>
      </c>
      <c r="R61" s="56">
        <f t="shared" ref="R61:R66" si="16">Q61+P61</f>
        <v>542.09895922949659</v>
      </c>
      <c r="S61"/>
    </row>
    <row r="62" spans="1:19" x14ac:dyDescent="0.25">
      <c r="A62" s="13">
        <f t="shared" si="14"/>
        <v>59</v>
      </c>
      <c r="B62" s="14">
        <v>5</v>
      </c>
      <c r="C62" s="15">
        <f t="shared" si="1"/>
        <v>18.333333333333332</v>
      </c>
      <c r="D62" s="29">
        <v>52</v>
      </c>
      <c r="E62" s="28">
        <v>873.4</v>
      </c>
      <c r="F62" s="16">
        <f>E62*Paramètres!K$2*Paramètres!I$2</f>
        <v>396.43626</v>
      </c>
      <c r="G62" s="16">
        <f t="shared" si="5"/>
        <v>91.053795748921786</v>
      </c>
      <c r="H62" s="16">
        <f t="shared" si="2"/>
        <v>487.4900557489218</v>
      </c>
      <c r="I62" s="17">
        <f t="shared" si="7"/>
        <v>849.04518042937218</v>
      </c>
      <c r="J62" s="28">
        <f t="shared" si="6"/>
        <v>0</v>
      </c>
      <c r="K62" s="43">
        <f t="shared" si="9"/>
        <v>0</v>
      </c>
      <c r="L62" s="64"/>
      <c r="M62" s="64"/>
      <c r="N62" s="64"/>
      <c r="O62" s="54">
        <f>EXP(-Paramètres!B$11)*O61+(1-EXP(-Paramètres!B$11))*L61*K61/Paramètres!B$11</f>
        <v>0</v>
      </c>
      <c r="P62" s="54">
        <f>EXP(-Paramètres!C$11)*P61+(1-EXP(-Paramètres!C$11))*M61*K61/Paramètres!C$11</f>
        <v>305.3152461622339</v>
      </c>
      <c r="Q62" s="41">
        <f>EXP(-Paramètres!D$11)*P61+(1-EXP(-Paramètres!D$11))*N61*K61/Paramètres!D$11</f>
        <v>221.95998851938677</v>
      </c>
      <c r="R62" s="56">
        <f t="shared" si="16"/>
        <v>527.27523468162065</v>
      </c>
      <c r="S62"/>
    </row>
    <row r="63" spans="1:19" x14ac:dyDescent="0.25">
      <c r="A63" s="13">
        <f t="shared" si="14"/>
        <v>60</v>
      </c>
      <c r="B63" s="14">
        <v>5</v>
      </c>
      <c r="C63" s="15">
        <f t="shared" si="1"/>
        <v>18.333333333333332</v>
      </c>
      <c r="D63" s="29">
        <v>53</v>
      </c>
      <c r="E63">
        <v>903.2</v>
      </c>
      <c r="F63" s="16">
        <f>E63*Paramètres!K$2*Paramètres!I$2</f>
        <v>409.96248000000003</v>
      </c>
      <c r="G63" s="16">
        <f t="shared" si="5"/>
        <v>93.793504239276487</v>
      </c>
      <c r="H63" s="16">
        <f t="shared" si="2"/>
        <v>503.75598423927653</v>
      </c>
      <c r="I63" s="17">
        <f t="shared" si="7"/>
        <v>877.37500588340663</v>
      </c>
      <c r="J63" s="28">
        <f t="shared" si="6"/>
        <v>0</v>
      </c>
      <c r="K63" s="43">
        <f t="shared" si="9"/>
        <v>0</v>
      </c>
      <c r="L63" s="64"/>
      <c r="M63" s="64"/>
      <c r="N63" s="64"/>
      <c r="O63" s="54">
        <f>EXP(-Paramètres!B$11)*O62+(1-EXP(-Paramètres!B$11))*L62*K62/Paramètres!B$11</f>
        <v>0</v>
      </c>
      <c r="P63" s="54">
        <f>EXP(-Paramètres!C$11)*P62+(1-EXP(-Paramètres!C$11))*M62*K62/Paramètres!C$11</f>
        <v>296.96638470009663</v>
      </c>
      <c r="Q63" s="41">
        <f>EXP(-Paramètres!D$11)*P62+(1-EXP(-Paramètres!D$11))*N62*K62/Paramètres!D$11</f>
        <v>215.89048096095564</v>
      </c>
      <c r="R63" s="56">
        <f t="shared" si="16"/>
        <v>512.85686566105232</v>
      </c>
      <c r="S63"/>
    </row>
    <row r="64" spans="1:19" x14ac:dyDescent="0.25">
      <c r="A64" s="46"/>
      <c r="B64" s="48"/>
      <c r="C64" s="57"/>
      <c r="D64" s="27">
        <v>54</v>
      </c>
      <c r="E64" s="28">
        <v>933</v>
      </c>
      <c r="F64" s="16">
        <f>E64*Paramètres!K$2*Paramètres!I$2</f>
        <v>423.48870000000005</v>
      </c>
      <c r="G64" s="16">
        <f t="shared" ref="G64:G72" si="17">EXP(-1.0587+0.8836*LN(F64)+0.284)</f>
        <v>96.522709103877816</v>
      </c>
      <c r="H64" s="16">
        <f t="shared" ref="H64:H72" si="18">F64+G64</f>
        <v>520.0114091038779</v>
      </c>
      <c r="I64" s="17">
        <f t="shared" ref="I64:I72" si="19">H64*0.475*44/12</f>
        <v>905.6865375225874</v>
      </c>
      <c r="J64" s="28">
        <f t="shared" si="6"/>
        <v>0</v>
      </c>
      <c r="K64" s="43">
        <f t="shared" si="9"/>
        <v>0</v>
      </c>
      <c r="L64" s="64"/>
      <c r="M64" s="64"/>
      <c r="N64" s="64"/>
      <c r="O64" s="54">
        <f>EXP(-Paramètres!B$11)*O63+(1-EXP(-Paramètres!B$11))*L63*K63/Paramètres!B$11</f>
        <v>0</v>
      </c>
      <c r="P64" s="54">
        <f>EXP(-Paramètres!C$11)*P63+(1-EXP(-Paramètres!C$11))*M63*K63/Paramètres!C$11</f>
        <v>288.84582329368902</v>
      </c>
      <c r="Q64" s="41">
        <f>EXP(-Paramètres!D$11)*P63+(1-EXP(-Paramètres!D$11))*N63*K63/Paramètres!D$11</f>
        <v>209.98694440589134</v>
      </c>
      <c r="R64" s="56">
        <f t="shared" si="16"/>
        <v>498.83276769958036</v>
      </c>
      <c r="S64"/>
    </row>
    <row r="65" spans="1:19" x14ac:dyDescent="0.25">
      <c r="A65" s="46"/>
      <c r="B65" s="48"/>
      <c r="C65" s="57"/>
      <c r="D65" s="27">
        <v>54</v>
      </c>
      <c r="E65" s="28">
        <v>933</v>
      </c>
      <c r="F65" s="16">
        <f>E65*Paramètres!K$2*Paramètres!I$2</f>
        <v>423.48870000000005</v>
      </c>
      <c r="G65" s="16">
        <f t="shared" si="17"/>
        <v>96.522709103877816</v>
      </c>
      <c r="H65" s="16">
        <f t="shared" si="18"/>
        <v>520.0114091038779</v>
      </c>
      <c r="I65" s="17">
        <f t="shared" si="19"/>
        <v>905.6865375225874</v>
      </c>
      <c r="J65" s="28">
        <f t="shared" si="6"/>
        <v>0</v>
      </c>
      <c r="K65" s="43">
        <f t="shared" si="9"/>
        <v>0</v>
      </c>
      <c r="L65" s="64">
        <v>0</v>
      </c>
      <c r="M65" s="64">
        <v>0.56000000000000005</v>
      </c>
      <c r="N65" s="64">
        <v>0.44</v>
      </c>
      <c r="O65" s="54">
        <f>EXP(-Paramètres!B$11)*O64+(1-EXP(-Paramètres!B$11))*L64*K64/Paramètres!B$11</f>
        <v>0</v>
      </c>
      <c r="P65" s="70">
        <v>288.8</v>
      </c>
      <c r="Q65" s="71">
        <v>210</v>
      </c>
      <c r="R65" s="56">
        <f t="shared" si="16"/>
        <v>498.8</v>
      </c>
      <c r="S65"/>
    </row>
    <row r="66" spans="1:19" x14ac:dyDescent="0.25">
      <c r="A66" s="46"/>
      <c r="B66" s="48"/>
      <c r="C66" s="57"/>
      <c r="D66" s="27">
        <v>55</v>
      </c>
      <c r="E66" s="28">
        <v>982</v>
      </c>
      <c r="F66" s="16">
        <f>E66*Paramètres!K$2*Paramètres!I$2</f>
        <v>445.72980000000007</v>
      </c>
      <c r="G66" s="16">
        <f t="shared" si="17"/>
        <v>100.9884700853892</v>
      </c>
      <c r="H66" s="16">
        <f t="shared" si="18"/>
        <v>546.71827008538924</v>
      </c>
      <c r="I66" s="17">
        <f t="shared" si="19"/>
        <v>952.20098706538636</v>
      </c>
      <c r="J66" s="28">
        <f t="shared" si="6"/>
        <v>0</v>
      </c>
      <c r="K66" s="43">
        <f t="shared" si="9"/>
        <v>0</v>
      </c>
      <c r="L66" s="64"/>
      <c r="M66" s="64"/>
      <c r="N66" s="64"/>
      <c r="O66" s="54">
        <f>EXP(-Paramètres!B$11)*O65+(1-EXP(-Paramètres!B$11))*L65*K65/Paramètres!B$11</f>
        <v>0</v>
      </c>
      <c r="P66" s="54">
        <f>EXP(-Paramètres!C$11)*P65+(1-EXP(-Paramètres!C$11))*M65*K65/Paramètres!C$11</f>
        <v>280.90274881266805</v>
      </c>
      <c r="Q66" s="41">
        <f>EXP(-Paramètres!D$11)*P65+(1-EXP(-Paramètres!D$11))*N65*K65/Paramètres!D$11</f>
        <v>204.21243840667495</v>
      </c>
      <c r="R66" s="56">
        <f t="shared" si="16"/>
        <v>485.115187219343</v>
      </c>
      <c r="S66"/>
    </row>
    <row r="67" spans="1:19" x14ac:dyDescent="0.25">
      <c r="A67" s="46"/>
      <c r="B67" s="48"/>
      <c r="C67" s="57"/>
      <c r="D67" s="27">
        <v>56</v>
      </c>
      <c r="E67" s="28">
        <v>1031</v>
      </c>
      <c r="F67" s="16">
        <f>E67*Paramètres!K$2*Paramètres!I$2</f>
        <v>467.97090000000003</v>
      </c>
      <c r="G67" s="16">
        <f t="shared" si="17"/>
        <v>105.42835711618329</v>
      </c>
      <c r="H67" s="16">
        <f t="shared" si="18"/>
        <v>573.39925711618332</v>
      </c>
      <c r="I67" s="17">
        <f t="shared" si="19"/>
        <v>998.67037281068588</v>
      </c>
      <c r="J67" s="28">
        <f t="shared" si="6"/>
        <v>0</v>
      </c>
      <c r="K67" s="43">
        <f t="shared" ref="K67:K94" si="20">J67*0.35*44/12</f>
        <v>0</v>
      </c>
      <c r="L67" s="64"/>
      <c r="M67" s="64"/>
      <c r="N67" s="64"/>
      <c r="O67" s="54">
        <f>EXP(-Paramètres!B$11)*O66+(1-EXP(-Paramètres!B$11))*L66*K66/Paramètres!B$11</f>
        <v>0</v>
      </c>
      <c r="P67" s="54">
        <f>EXP(-Paramètres!C$11)*P66+(1-EXP(-Paramètres!C$11))*M66*K66/Paramètres!C$11</f>
        <v>273.22144837435212</v>
      </c>
      <c r="Q67" s="41">
        <f>EXP(-Paramètres!D$11)*P66+(1-EXP(-Paramètres!D$11))*N66*K66/Paramètres!D$11</f>
        <v>198.628238539379</v>
      </c>
      <c r="R67" s="56">
        <f t="shared" ref="R67:R94" si="21">Q67+P67</f>
        <v>471.84968691373115</v>
      </c>
      <c r="S67"/>
    </row>
    <row r="68" spans="1:19" x14ac:dyDescent="0.25">
      <c r="A68" s="46"/>
      <c r="B68" s="48"/>
      <c r="C68" s="57"/>
      <c r="D68" s="27">
        <v>57</v>
      </c>
      <c r="E68" s="28">
        <v>1080</v>
      </c>
      <c r="F68" s="16">
        <f>E68*Paramètres!K$2*Paramètres!I$2</f>
        <v>490.21200000000005</v>
      </c>
      <c r="G68" s="16">
        <f t="shared" si="17"/>
        <v>109.84374030121892</v>
      </c>
      <c r="H68" s="16">
        <f t="shared" si="18"/>
        <v>600.05574030121898</v>
      </c>
      <c r="I68" s="17">
        <f t="shared" si="19"/>
        <v>1045.0970810246229</v>
      </c>
      <c r="J68" s="28">
        <f t="shared" si="6"/>
        <v>0</v>
      </c>
      <c r="K68" s="43">
        <f t="shared" si="20"/>
        <v>0</v>
      </c>
      <c r="L68" s="64"/>
      <c r="M68" s="64"/>
      <c r="N68" s="64"/>
      <c r="O68" s="54">
        <f>EXP(-Paramètres!B$11)*O67+(1-EXP(-Paramètres!B$11))*L67*K67/Paramètres!B$11</f>
        <v>0</v>
      </c>
      <c r="P68" s="54">
        <f>EXP(-Paramètres!C$11)*P67+(1-EXP(-Paramètres!C$11))*M67*K67/Paramètres!C$11</f>
        <v>265.75019350046392</v>
      </c>
      <c r="Q68" s="41">
        <f>EXP(-Paramètres!D$11)*P67+(1-EXP(-Paramètres!D$11))*N67*K67/Paramètres!D$11</f>
        <v>193.19673891111461</v>
      </c>
      <c r="R68" s="56">
        <f t="shared" si="21"/>
        <v>458.94693241157853</v>
      </c>
      <c r="S68"/>
    </row>
    <row r="69" spans="1:19" x14ac:dyDescent="0.25">
      <c r="A69" s="46"/>
      <c r="B69" s="48"/>
      <c r="C69" s="57"/>
      <c r="D69" s="27">
        <v>58</v>
      </c>
      <c r="E69" s="28">
        <v>1129</v>
      </c>
      <c r="F69" s="16">
        <f>E69*Paramètres!K$2*Paramètres!I$2</f>
        <v>512.45309999999995</v>
      </c>
      <c r="G69" s="16">
        <f t="shared" si="17"/>
        <v>114.23585839341081</v>
      </c>
      <c r="H69" s="16">
        <f t="shared" si="18"/>
        <v>626.68895839341076</v>
      </c>
      <c r="I69" s="17">
        <f t="shared" si="19"/>
        <v>1091.483269201857</v>
      </c>
      <c r="J69" s="28">
        <f t="shared" ref="J69:J94" si="22">IF(E68-E69&gt;0,E68-E69,0)</f>
        <v>0</v>
      </c>
      <c r="K69" s="43">
        <f t="shared" si="20"/>
        <v>0</v>
      </c>
      <c r="L69" s="64"/>
      <c r="M69" s="64"/>
      <c r="N69" s="64"/>
      <c r="O69" s="54">
        <f>EXP(-Paramètres!B$11)*O68+(1-EXP(-Paramètres!B$11))*L68*K68/Paramètres!B$11</f>
        <v>0</v>
      </c>
      <c r="P69" s="54">
        <f>EXP(-Paramètres!C$11)*P68+(1-EXP(-Paramètres!C$11))*M68*K68/Paramètres!C$11</f>
        <v>258.48324048399843</v>
      </c>
      <c r="Q69" s="41">
        <f>EXP(-Paramètres!D$11)*P68+(1-EXP(-Paramètres!D$11))*N68*K68/Paramètres!D$11</f>
        <v>187.91376392581523</v>
      </c>
      <c r="R69" s="56">
        <f t="shared" si="21"/>
        <v>446.39700440981369</v>
      </c>
      <c r="S69"/>
    </row>
    <row r="70" spans="1:19" x14ac:dyDescent="0.25">
      <c r="A70" s="46"/>
      <c r="B70" s="48"/>
      <c r="C70" s="57"/>
      <c r="D70" s="27">
        <v>59</v>
      </c>
      <c r="E70" s="28">
        <v>1178</v>
      </c>
      <c r="F70" s="16">
        <f>E70*Paramètres!K$2*Paramètres!I$2</f>
        <v>534.69420000000002</v>
      </c>
      <c r="G70" s="16">
        <f t="shared" si="17"/>
        <v>118.60583653809212</v>
      </c>
      <c r="H70" s="16">
        <f t="shared" si="18"/>
        <v>653.30003653809217</v>
      </c>
      <c r="I70" s="17">
        <f t="shared" si="19"/>
        <v>1137.8308969705106</v>
      </c>
      <c r="J70" s="28">
        <f t="shared" si="22"/>
        <v>0</v>
      </c>
      <c r="K70" s="43">
        <f t="shared" si="20"/>
        <v>0</v>
      </c>
      <c r="L70" s="64"/>
      <c r="M70" s="64"/>
      <c r="N70" s="64"/>
      <c r="O70" s="54">
        <f>EXP(-Paramètres!B$11)*O69+(1-EXP(-Paramètres!B$11))*L69*K69/Paramètres!B$11</f>
        <v>0</v>
      </c>
      <c r="P70" s="54">
        <f>EXP(-Paramètres!C$11)*P69+(1-EXP(-Paramètres!C$11))*M69*K69/Paramètres!C$11</f>
        <v>251.41500267992063</v>
      </c>
      <c r="Q70" s="41">
        <f>EXP(-Paramètres!D$11)*P69+(1-EXP(-Paramètres!D$11))*N69*K69/Paramètres!D$11</f>
        <v>182.77525216930843</v>
      </c>
      <c r="R70" s="56">
        <f t="shared" si="21"/>
        <v>434.19025484922906</v>
      </c>
      <c r="S70"/>
    </row>
    <row r="71" spans="1:19" x14ac:dyDescent="0.25">
      <c r="A71" s="46"/>
      <c r="B71" s="48"/>
      <c r="C71" s="57"/>
      <c r="D71" s="13">
        <v>59</v>
      </c>
      <c r="E71" s="28">
        <v>1057</v>
      </c>
      <c r="F71" s="16">
        <f>E71*Paramètres!K$2*Paramètres!I$2</f>
        <v>479.77230000000003</v>
      </c>
      <c r="G71" s="16">
        <f t="shared" si="17"/>
        <v>107.77418345379427</v>
      </c>
      <c r="H71" s="16">
        <f t="shared" si="18"/>
        <v>587.54648345379428</v>
      </c>
      <c r="I71" s="17">
        <f t="shared" si="19"/>
        <v>1023.3101253486916</v>
      </c>
      <c r="J71" s="28">
        <f t="shared" si="22"/>
        <v>121</v>
      </c>
      <c r="K71" s="43">
        <f t="shared" si="20"/>
        <v>155.2833333333333</v>
      </c>
      <c r="L71" s="64">
        <v>0</v>
      </c>
      <c r="M71" s="64">
        <v>0.56000000000000005</v>
      </c>
      <c r="N71" s="64">
        <v>0.44</v>
      </c>
      <c r="O71" s="54">
        <f>EXP(-Paramètres!B$11)*O70+(1-EXP(-Paramètres!B$11))*L70*K70/Paramètres!B$11</f>
        <v>0</v>
      </c>
      <c r="P71" s="70">
        <v>251.4</v>
      </c>
      <c r="Q71" s="71">
        <v>182.8</v>
      </c>
      <c r="R71" s="56">
        <f t="shared" si="21"/>
        <v>434.20000000000005</v>
      </c>
      <c r="S71"/>
    </row>
    <row r="72" spans="1:19" x14ac:dyDescent="0.25">
      <c r="A72" s="46"/>
      <c r="B72" s="48"/>
      <c r="C72" s="57"/>
      <c r="D72" s="13">
        <v>60</v>
      </c>
      <c r="E72" s="28">
        <v>1068</v>
      </c>
      <c r="F72" s="16">
        <f>E72*Paramètres!K$2*Paramètres!I$2</f>
        <v>484.76519999999999</v>
      </c>
      <c r="G72" s="16">
        <f t="shared" si="17"/>
        <v>108.76461858886444</v>
      </c>
      <c r="H72" s="16">
        <f t="shared" si="18"/>
        <v>593.52981858886437</v>
      </c>
      <c r="I72" s="17">
        <f t="shared" si="19"/>
        <v>1033.7311007089386</v>
      </c>
      <c r="J72" s="28">
        <f t="shared" si="22"/>
        <v>0</v>
      </c>
      <c r="K72" s="43">
        <f t="shared" si="20"/>
        <v>0</v>
      </c>
      <c r="L72" s="64"/>
      <c r="M72" s="64"/>
      <c r="N72" s="64"/>
      <c r="O72" s="54">
        <f>EXP(-Paramètres!B$11)*O71+(1-EXP(-Paramètres!B$11))*L71*K71/Paramètres!B$11</f>
        <v>0</v>
      </c>
      <c r="P72" s="54">
        <f>EXP(-Paramètres!C$11)*P71+(1-EXP(-Paramètres!C$11))*M71*K71/Paramètres!C$11</f>
        <v>330.28968176911599</v>
      </c>
      <c r="Q72" s="41">
        <f>EXP(-Paramètres!D$11)*P71+(1-EXP(-Paramètres!D$11))*N71*K71/Paramètres!D$11</f>
        <v>235.50858504659408</v>
      </c>
      <c r="R72" s="56">
        <f t="shared" si="21"/>
        <v>565.79826681571012</v>
      </c>
      <c r="S72"/>
    </row>
    <row r="73" spans="1:19" x14ac:dyDescent="0.25">
      <c r="A73" s="46"/>
      <c r="B73" s="48"/>
      <c r="C73" s="57"/>
      <c r="D73" s="46"/>
      <c r="E73" s="47">
        <v>1079</v>
      </c>
      <c r="F73" s="16">
        <f>E73*Paramètres!K$2*Paramètres!I$2</f>
        <v>489.75810000000001</v>
      </c>
      <c r="G73" s="16">
        <f t="shared" ref="G73:G94" si="23">EXP(-1.0587+0.8836*LN(F73)+0.284)</f>
        <v>109.75386700392522</v>
      </c>
      <c r="H73" s="16">
        <f t="shared" ref="H73:H94" si="24">F73+G73</f>
        <v>599.51196700392529</v>
      </c>
      <c r="I73" s="17">
        <f t="shared" ref="I73:I94" si="25">H73*0.475*44/12</f>
        <v>1044.1500091985033</v>
      </c>
      <c r="J73" s="28">
        <f t="shared" si="22"/>
        <v>0</v>
      </c>
      <c r="K73" s="65">
        <f t="shared" si="20"/>
        <v>0</v>
      </c>
      <c r="L73" s="66"/>
      <c r="M73" s="66"/>
      <c r="N73" s="66"/>
      <c r="O73" s="67">
        <f>EXP(-Paramètres!B$11)*O72+(1-EXP(-Paramètres!B$11))*L72*K72/Paramètres!B$11</f>
        <v>0</v>
      </c>
      <c r="P73" s="67">
        <f>EXP(-Paramètres!C$11)*P72+(1-EXP(-Paramètres!C$11))*M72*K72/Paramètres!C$11</f>
        <v>321.25789305196002</v>
      </c>
      <c r="Q73" s="68">
        <f>EXP(-Paramètres!D$11)*P72+(1-EXP(-Paramètres!D$11))*N72*K72/Paramètres!D$11</f>
        <v>233.55007373488874</v>
      </c>
      <c r="R73" s="69">
        <f t="shared" si="21"/>
        <v>554.80796678684874</v>
      </c>
      <c r="S73"/>
    </row>
    <row r="74" spans="1:19" x14ac:dyDescent="0.25">
      <c r="A74" s="46"/>
      <c r="B74" s="48"/>
      <c r="C74" s="57"/>
      <c r="D74" s="46"/>
      <c r="E74" s="47">
        <v>1090</v>
      </c>
      <c r="F74" s="16">
        <f>E74*Paramètres!K$2*Paramètres!I$2</f>
        <v>494.75100000000003</v>
      </c>
      <c r="G74" s="16">
        <f t="shared" si="23"/>
        <v>110.74194219782717</v>
      </c>
      <c r="H74" s="16">
        <f t="shared" si="24"/>
        <v>605.49294219782723</v>
      </c>
      <c r="I74" s="17">
        <f t="shared" si="25"/>
        <v>1054.5668743278825</v>
      </c>
      <c r="J74" s="28">
        <f t="shared" si="22"/>
        <v>0</v>
      </c>
      <c r="K74" s="65">
        <f t="shared" si="20"/>
        <v>0</v>
      </c>
      <c r="L74" s="66"/>
      <c r="M74" s="66"/>
      <c r="N74" s="66"/>
      <c r="O74" s="67">
        <f>EXP(-Paramètres!B$11)*O73+(1-EXP(-Paramètres!B$11))*L73*K73/Paramètres!B$11</f>
        <v>0</v>
      </c>
      <c r="P74" s="67">
        <f>EXP(-Paramètres!C$11)*P73+(1-EXP(-Paramètres!C$11))*M73*K73/Paramètres!C$11</f>
        <v>312.47307907223581</v>
      </c>
      <c r="Q74" s="68">
        <f>EXP(-Paramètres!D$11)*P73+(1-EXP(-Paramètres!D$11))*N73*K73/Paramètres!D$11</f>
        <v>227.16363468674359</v>
      </c>
      <c r="R74" s="69">
        <f t="shared" si="21"/>
        <v>539.63671375897934</v>
      </c>
      <c r="S74"/>
    </row>
    <row r="75" spans="1:19" x14ac:dyDescent="0.25">
      <c r="A75" s="46"/>
      <c r="B75" s="48"/>
      <c r="C75" s="57"/>
      <c r="D75" s="46"/>
      <c r="E75" s="47">
        <v>1101</v>
      </c>
      <c r="F75" s="16">
        <f>E75*Paramètres!K$2*Paramètres!I$2</f>
        <v>499.74390000000005</v>
      </c>
      <c r="G75" s="16">
        <f t="shared" si="23"/>
        <v>111.7288573812651</v>
      </c>
      <c r="H75" s="16">
        <f t="shared" si="24"/>
        <v>611.47275738126518</v>
      </c>
      <c r="I75" s="17">
        <f t="shared" si="25"/>
        <v>1064.9817191057034</v>
      </c>
      <c r="J75" s="28">
        <f t="shared" si="22"/>
        <v>0</v>
      </c>
      <c r="K75" s="65">
        <f t="shared" si="20"/>
        <v>0</v>
      </c>
      <c r="L75" s="66"/>
      <c r="M75" s="66"/>
      <c r="N75" s="66"/>
      <c r="O75" s="67">
        <f>EXP(-Paramètres!B$11)*O74+(1-EXP(-Paramètres!B$11))*L74*K74/Paramètres!B$11</f>
        <v>0</v>
      </c>
      <c r="P75" s="67">
        <f>EXP(-Paramètres!C$11)*P74+(1-EXP(-Paramètres!C$11))*M74*K74/Paramètres!C$11</f>
        <v>303.92848629276045</v>
      </c>
      <c r="Q75" s="68">
        <f>EXP(-Paramètres!D$11)*P74+(1-EXP(-Paramètres!D$11))*N74*K74/Paramètres!D$11</f>
        <v>220.95183315021822</v>
      </c>
      <c r="R75" s="69">
        <f t="shared" si="21"/>
        <v>524.8803194429787</v>
      </c>
      <c r="S75"/>
    </row>
    <row r="76" spans="1:19" x14ac:dyDescent="0.25">
      <c r="A76" s="46"/>
      <c r="B76" s="48"/>
      <c r="C76" s="57"/>
      <c r="D76" s="46"/>
      <c r="E76" s="47">
        <v>1112</v>
      </c>
      <c r="F76" s="16">
        <f>E76*Paramètres!K$2*Paramètres!I$2</f>
        <v>504.73680000000002</v>
      </c>
      <c r="G76" s="16">
        <f t="shared" si="23"/>
        <v>112.71462548574512</v>
      </c>
      <c r="H76" s="16">
        <f t="shared" si="24"/>
        <v>617.45142548574518</v>
      </c>
      <c r="I76" s="17">
        <f t="shared" si="25"/>
        <v>1075.3945660543393</v>
      </c>
      <c r="J76" s="28">
        <f t="shared" si="22"/>
        <v>0</v>
      </c>
      <c r="K76" s="65">
        <f t="shared" si="20"/>
        <v>0</v>
      </c>
      <c r="L76" s="66"/>
      <c r="M76" s="66"/>
      <c r="N76" s="66"/>
      <c r="O76" s="67">
        <f>EXP(-Paramètres!B$11)*O75+(1-EXP(-Paramètres!B$11))*L75*K75/Paramètres!B$11</f>
        <v>0</v>
      </c>
      <c r="P76" s="67">
        <f>EXP(-Paramètres!C$11)*P75+(1-EXP(-Paramètres!C$11))*M75*K75/Paramètres!C$11</f>
        <v>295.61754585218046</v>
      </c>
      <c r="Q76" s="68">
        <f>EXP(-Paramètres!D$11)*P75+(1-EXP(-Paramètres!D$11))*N75*K75/Paramètres!D$11</f>
        <v>214.90989365337359</v>
      </c>
      <c r="R76" s="69">
        <f t="shared" si="21"/>
        <v>510.52743950555407</v>
      </c>
      <c r="S76"/>
    </row>
    <row r="77" spans="1:19" x14ac:dyDescent="0.25">
      <c r="A77" s="46"/>
      <c r="B77" s="48"/>
      <c r="C77" s="57"/>
      <c r="D77" s="46"/>
      <c r="E77" s="47">
        <v>1004</v>
      </c>
      <c r="F77" s="16">
        <f>E77*Paramètres!K$2*Paramètres!I$2</f>
        <v>455.71559999999999</v>
      </c>
      <c r="G77" s="16">
        <f t="shared" si="23"/>
        <v>102.98500418513709</v>
      </c>
      <c r="H77" s="16">
        <f t="shared" si="24"/>
        <v>558.70060418513708</v>
      </c>
      <c r="I77" s="17">
        <f t="shared" si="25"/>
        <v>973.07021895578043</v>
      </c>
      <c r="J77" s="28">
        <f t="shared" si="22"/>
        <v>108</v>
      </c>
      <c r="K77" s="65">
        <f t="shared" si="20"/>
        <v>138.6</v>
      </c>
      <c r="L77" s="66">
        <v>0</v>
      </c>
      <c r="M77" s="66">
        <v>0.56000000000000005</v>
      </c>
      <c r="N77" s="66">
        <v>0.44</v>
      </c>
      <c r="O77" s="67">
        <f>EXP(-Paramètres!B$11)*O76+(1-EXP(-Paramètres!B$11))*L76*K76/Paramètres!B$11</f>
        <v>0</v>
      </c>
      <c r="P77" s="67">
        <f>EXP(-Paramètres!C$11)*P76+(1-EXP(-Paramètres!C$11))*M76*K76/Paramètres!C$11</f>
        <v>287.53386851500147</v>
      </c>
      <c r="Q77" s="68">
        <f>EXP(-Paramètres!D$11)*P76+(1-EXP(-Paramètres!D$11))*N76*K76/Paramètres!D$11</f>
        <v>209.03317130980196</v>
      </c>
      <c r="R77" s="69">
        <f t="shared" si="21"/>
        <v>496.56703982480343</v>
      </c>
      <c r="S77"/>
    </row>
    <row r="78" spans="1:19" x14ac:dyDescent="0.25">
      <c r="A78" s="46"/>
      <c r="B78" s="48"/>
      <c r="C78" s="57"/>
      <c r="D78" s="46"/>
      <c r="E78" s="47">
        <v>1023.2</v>
      </c>
      <c r="F78" s="16">
        <f>E78*Paramètres!K$2*Paramètres!I$2</f>
        <v>464.43048000000005</v>
      </c>
      <c r="G78" s="16">
        <f t="shared" si="23"/>
        <v>104.7232732029899</v>
      </c>
      <c r="H78" s="16">
        <f t="shared" si="24"/>
        <v>569.15375320298995</v>
      </c>
      <c r="I78" s="17">
        <f t="shared" si="25"/>
        <v>991.27612016187413</v>
      </c>
      <c r="J78" s="28">
        <f t="shared" si="22"/>
        <v>0</v>
      </c>
      <c r="K78" s="65">
        <f t="shared" si="20"/>
        <v>0</v>
      </c>
      <c r="L78" s="66"/>
      <c r="M78" s="66"/>
      <c r="N78" s="66"/>
      <c r="O78" s="67">
        <f>EXP(-Paramètres!B$11)*O77+(1-EXP(-Paramètres!B$11))*L77*K77/Paramètres!B$11</f>
        <v>0</v>
      </c>
      <c r="P78" s="67">
        <f>EXP(-Paramètres!C$11)*P77+(1-EXP(-Paramètres!C$11))*M77*K77/Paramètres!C$11</f>
        <v>356.22112920503281</v>
      </c>
      <c r="Q78" s="68">
        <f>EXP(-Paramètres!D$11)*P77+(1-EXP(-Paramètres!D$11))*N77*K77/Paramètres!D$11</f>
        <v>254.85540897238656</v>
      </c>
      <c r="R78" s="69">
        <f t="shared" si="21"/>
        <v>611.07653817741937</v>
      </c>
      <c r="S78"/>
    </row>
    <row r="79" spans="1:19" x14ac:dyDescent="0.25">
      <c r="A79" s="46"/>
      <c r="B79" s="48"/>
      <c r="C79" s="57"/>
      <c r="D79" s="46"/>
      <c r="E79" s="47">
        <v>1042.4000000000001</v>
      </c>
      <c r="F79" s="16">
        <f>E79*Paramètres!K$2*Paramètres!I$2</f>
        <v>473.14536000000004</v>
      </c>
      <c r="G79" s="16">
        <f t="shared" si="23"/>
        <v>106.45774939062136</v>
      </c>
      <c r="H79" s="16">
        <f t="shared" si="24"/>
        <v>579.6031093906214</v>
      </c>
      <c r="I79" s="17">
        <f t="shared" si="25"/>
        <v>1009.4754155219989</v>
      </c>
      <c r="J79" s="28">
        <f t="shared" si="22"/>
        <v>0</v>
      </c>
      <c r="K79" s="65">
        <f t="shared" si="20"/>
        <v>0</v>
      </c>
      <c r="L79" s="66"/>
      <c r="M79" s="66"/>
      <c r="N79" s="66"/>
      <c r="O79" s="67">
        <f>EXP(-Paramètres!B$11)*O78+(1-EXP(-Paramètres!B$11))*L78*K78/Paramètres!B$11</f>
        <v>0</v>
      </c>
      <c r="P79" s="67">
        <f>EXP(-Paramètres!C$11)*P78+(1-EXP(-Paramètres!C$11))*M78*K78/Paramètres!C$11</f>
        <v>346.48024369406613</v>
      </c>
      <c r="Q79" s="68">
        <f>EXP(-Paramètres!D$11)*P78+(1-EXP(-Paramètres!D$11))*N78*K78/Paramètres!D$11</f>
        <v>251.88637606280804</v>
      </c>
      <c r="R79" s="69">
        <f t="shared" si="21"/>
        <v>598.36661975687412</v>
      </c>
      <c r="S79"/>
    </row>
    <row r="80" spans="1:19" x14ac:dyDescent="0.25">
      <c r="A80" s="46"/>
      <c r="B80" s="48"/>
      <c r="C80" s="57"/>
      <c r="D80" s="46"/>
      <c r="E80" s="47">
        <v>1061.5999999999999</v>
      </c>
      <c r="F80" s="16">
        <f>E80*Paramètres!K$2*Paramètres!I$2</f>
        <v>481.86024000000003</v>
      </c>
      <c r="G80" s="16">
        <f t="shared" si="23"/>
        <v>108.18851066536948</v>
      </c>
      <c r="H80" s="16">
        <f t="shared" si="24"/>
        <v>590.04875066536954</v>
      </c>
      <c r="I80" s="17">
        <f t="shared" si="25"/>
        <v>1027.6682407421854</v>
      </c>
      <c r="J80" s="28">
        <f t="shared" si="22"/>
        <v>0</v>
      </c>
      <c r="K80" s="65">
        <f t="shared" si="20"/>
        <v>0</v>
      </c>
      <c r="L80" s="66"/>
      <c r="M80" s="66"/>
      <c r="N80" s="66"/>
      <c r="O80" s="67">
        <f>EXP(-Paramètres!B$11)*O79+(1-EXP(-Paramètres!B$11))*L79*K79/Paramètres!B$11</f>
        <v>0</v>
      </c>
      <c r="P80" s="67">
        <f>EXP(-Paramètres!C$11)*P79+(1-EXP(-Paramètres!C$11))*M79*K79/Paramètres!C$11</f>
        <v>337.00572320964778</v>
      </c>
      <c r="Q80" s="68">
        <f>EXP(-Paramètres!D$11)*P79+(1-EXP(-Paramètres!D$11))*N79*K79/Paramètres!D$11</f>
        <v>244.99852986324171</v>
      </c>
      <c r="R80" s="69">
        <f t="shared" si="21"/>
        <v>582.00425307288947</v>
      </c>
      <c r="S80"/>
    </row>
    <row r="81" spans="1:19" x14ac:dyDescent="0.25">
      <c r="A81" s="46"/>
      <c r="B81" s="48"/>
      <c r="C81" s="57"/>
      <c r="D81" s="46"/>
      <c r="E81" s="47">
        <v>1080.8</v>
      </c>
      <c r="F81" s="16">
        <f>E81*Paramètres!K$2*Paramètres!I$2</f>
        <v>490.57512000000003</v>
      </c>
      <c r="G81" s="16">
        <f t="shared" si="23"/>
        <v>109.91563196478042</v>
      </c>
      <c r="H81" s="16">
        <f t="shared" si="24"/>
        <v>600.49075196478043</v>
      </c>
      <c r="I81" s="17">
        <f t="shared" si="25"/>
        <v>1045.8547263386592</v>
      </c>
      <c r="J81" s="28">
        <f t="shared" si="22"/>
        <v>0</v>
      </c>
      <c r="K81" s="65">
        <f t="shared" si="20"/>
        <v>0</v>
      </c>
      <c r="L81" s="66"/>
      <c r="M81" s="66"/>
      <c r="N81" s="66"/>
      <c r="O81" s="67">
        <f>EXP(-Paramètres!B$11)*O80+(1-EXP(-Paramètres!B$11))*L80*K80/Paramètres!B$11</f>
        <v>0</v>
      </c>
      <c r="P81" s="67">
        <f>EXP(-Paramètres!C$11)*P80+(1-EXP(-Paramètres!C$11))*M80*K80/Paramètres!C$11</f>
        <v>327.79028398611922</v>
      </c>
      <c r="Q81" s="68">
        <f>EXP(-Paramètres!D$11)*P80+(1-EXP(-Paramètres!D$11))*N80*K80/Paramètres!D$11</f>
        <v>238.29903218021863</v>
      </c>
      <c r="R81" s="69">
        <f t="shared" si="21"/>
        <v>566.08931616633788</v>
      </c>
      <c r="S81"/>
    </row>
    <row r="82" spans="1:19" x14ac:dyDescent="0.25">
      <c r="A82" s="46"/>
      <c r="B82" s="48"/>
      <c r="C82" s="57"/>
      <c r="D82" s="46"/>
      <c r="E82" s="47">
        <v>1100</v>
      </c>
      <c r="F82" s="16">
        <f>E82*Paramètres!K$2*Paramètres!I$2</f>
        <v>499.28999999999996</v>
      </c>
      <c r="G82" s="16">
        <f t="shared" si="23"/>
        <v>111.63918541143811</v>
      </c>
      <c r="H82" s="16">
        <f t="shared" si="24"/>
        <v>610.92918541143808</v>
      </c>
      <c r="I82" s="17">
        <f t="shared" si="25"/>
        <v>1064.0349979249211</v>
      </c>
      <c r="J82" s="28">
        <f t="shared" si="22"/>
        <v>0</v>
      </c>
      <c r="K82" s="65">
        <f t="shared" si="20"/>
        <v>0</v>
      </c>
      <c r="L82" s="66"/>
      <c r="M82" s="66"/>
      <c r="N82" s="66"/>
      <c r="O82" s="67">
        <f>EXP(-Paramètres!B$11)*O81+(1-EXP(-Paramètres!B$11))*L81*K81/Paramètres!B$11</f>
        <v>0</v>
      </c>
      <c r="P82" s="67">
        <f>EXP(-Paramètres!C$11)*P81+(1-EXP(-Paramètres!C$11))*M81*K81/Paramètres!C$11</f>
        <v>318.82684143277692</v>
      </c>
      <c r="Q82" s="68">
        <f>EXP(-Paramètres!D$11)*P81+(1-EXP(-Paramètres!D$11))*N81*K81/Paramètres!D$11</f>
        <v>231.7827326136491</v>
      </c>
      <c r="R82" s="69">
        <f t="shared" si="21"/>
        <v>550.60957404642602</v>
      </c>
      <c r="S82"/>
    </row>
    <row r="83" spans="1:19" x14ac:dyDescent="0.25">
      <c r="A83" s="44"/>
      <c r="B83" s="7"/>
      <c r="C83" s="45"/>
      <c r="D83" s="46"/>
      <c r="E83" s="5">
        <v>1100</v>
      </c>
      <c r="F83" s="16">
        <f>E83*Paramètres!K$2*Paramètres!I$2</f>
        <v>499.28999999999996</v>
      </c>
      <c r="G83" s="16">
        <f t="shared" si="23"/>
        <v>111.63918541143811</v>
      </c>
      <c r="H83" s="16">
        <f t="shared" si="24"/>
        <v>610.92918541143808</v>
      </c>
      <c r="I83" s="17">
        <f t="shared" si="25"/>
        <v>1064.0349979249211</v>
      </c>
      <c r="J83" s="28">
        <f t="shared" si="22"/>
        <v>0</v>
      </c>
      <c r="K83" s="65">
        <f t="shared" si="20"/>
        <v>0</v>
      </c>
      <c r="L83" s="66"/>
      <c r="M83" s="66"/>
      <c r="N83" s="66"/>
      <c r="O83" s="67">
        <f>EXP(-Paramètres!B$11)*O82+(1-EXP(-Paramètres!B$11))*L82*K82/Paramètres!B$11</f>
        <v>0</v>
      </c>
      <c r="P83" s="67">
        <f>EXP(-Paramètres!C$11)*P82+(1-EXP(-Paramètres!C$11))*M82*K82/Paramètres!C$11</f>
        <v>310.10850468742274</v>
      </c>
      <c r="Q83" s="68">
        <f>EXP(-Paramètres!D$11)*P82+(1-EXP(-Paramètres!D$11))*N82*K82/Paramètres!D$11</f>
        <v>225.44462160140469</v>
      </c>
      <c r="R83" s="69">
        <f t="shared" si="21"/>
        <v>535.55312628882746</v>
      </c>
      <c r="S83"/>
    </row>
    <row r="84" spans="1:19" x14ac:dyDescent="0.25">
      <c r="A84" s="44"/>
      <c r="B84" s="7"/>
      <c r="C84" s="45"/>
      <c r="D84" s="46"/>
      <c r="E84" s="47">
        <v>1115.4000000000001</v>
      </c>
      <c r="F84" s="16">
        <f>E84*Paramètres!K$2*Paramètres!I$2</f>
        <v>506.28006000000005</v>
      </c>
      <c r="G84" s="16">
        <f t="shared" si="23"/>
        <v>113.0190873538169</v>
      </c>
      <c r="H84" s="16">
        <f t="shared" si="24"/>
        <v>619.29914735381692</v>
      </c>
      <c r="I84" s="17">
        <f t="shared" si="25"/>
        <v>1078.6126816412311</v>
      </c>
      <c r="J84" s="28">
        <f t="shared" si="22"/>
        <v>0</v>
      </c>
      <c r="K84" s="65">
        <f t="shared" si="20"/>
        <v>0</v>
      </c>
      <c r="L84" s="66"/>
      <c r="M84" s="66"/>
      <c r="N84" s="66"/>
      <c r="O84" s="67">
        <f>EXP(-Paramètres!B$11)*O83+(1-EXP(-Paramètres!B$11))*L83*K83/Paramètres!B$11</f>
        <v>0</v>
      </c>
      <c r="P84" s="67">
        <f>EXP(-Paramètres!C$11)*P83+(1-EXP(-Paramètres!C$11))*M83*K83/Paramètres!C$11</f>
        <v>301.62857131884766</v>
      </c>
      <c r="Q84" s="68">
        <f>EXP(-Paramètres!D$11)*P83+(1-EXP(-Paramètres!D$11))*N83*K83/Paramètres!D$11</f>
        <v>219.27982656809689</v>
      </c>
      <c r="R84" s="69">
        <f t="shared" si="21"/>
        <v>520.90839788694461</v>
      </c>
      <c r="S84"/>
    </row>
    <row r="85" spans="1:19" x14ac:dyDescent="0.25">
      <c r="A85" s="44"/>
      <c r="B85" s="7"/>
      <c r="C85" s="45"/>
      <c r="D85" s="46"/>
      <c r="E85" s="47">
        <v>1130.8</v>
      </c>
      <c r="F85" s="16">
        <f>E85*Paramètres!K$2*Paramètres!I$2</f>
        <v>513.27012000000002</v>
      </c>
      <c r="G85" s="16">
        <f t="shared" si="23"/>
        <v>114.39677336155617</v>
      </c>
      <c r="H85" s="16">
        <f t="shared" si="24"/>
        <v>627.66689336155616</v>
      </c>
      <c r="I85" s="17">
        <f t="shared" si="25"/>
        <v>1093.1865059380436</v>
      </c>
      <c r="J85" s="28">
        <f t="shared" si="22"/>
        <v>0</v>
      </c>
      <c r="K85" s="65">
        <f t="shared" si="20"/>
        <v>0</v>
      </c>
      <c r="L85" s="66"/>
      <c r="M85" s="66"/>
      <c r="N85" s="66"/>
      <c r="O85" s="67">
        <f>EXP(-Paramètres!B$11)*O84+(1-EXP(-Paramètres!B$11))*L84*K84/Paramètres!B$11</f>
        <v>0</v>
      </c>
      <c r="P85" s="67">
        <f>EXP(-Paramètres!C$11)*P84+(1-EXP(-Paramètres!C$11))*M84*K84/Paramètres!C$11</f>
        <v>293.38052217417658</v>
      </c>
      <c r="Q85" s="68">
        <f>EXP(-Paramètres!D$11)*P84+(1-EXP(-Paramètres!D$11))*N84*K84/Paramètres!D$11</f>
        <v>213.28360817916737</v>
      </c>
      <c r="R85" s="69">
        <f t="shared" si="21"/>
        <v>506.66413035334392</v>
      </c>
      <c r="S85"/>
    </row>
    <row r="86" spans="1:19" x14ac:dyDescent="0.25">
      <c r="A86" s="44"/>
      <c r="B86" s="7"/>
      <c r="C86" s="45"/>
      <c r="D86" s="46"/>
      <c r="E86" s="47">
        <v>1146.2</v>
      </c>
      <c r="F86" s="16">
        <f>E86*Paramètres!K$2*Paramètres!I$2</f>
        <v>520.26017999999999</v>
      </c>
      <c r="G86" s="16">
        <f t="shared" si="23"/>
        <v>115.77227710089004</v>
      </c>
      <c r="H86" s="16">
        <f t="shared" si="24"/>
        <v>636.03245710089004</v>
      </c>
      <c r="I86" s="17">
        <f t="shared" si="25"/>
        <v>1107.7565294507167</v>
      </c>
      <c r="J86" s="28">
        <f t="shared" si="22"/>
        <v>0</v>
      </c>
      <c r="K86" s="65">
        <f t="shared" si="20"/>
        <v>0</v>
      </c>
      <c r="L86" s="66"/>
      <c r="M86" s="66"/>
      <c r="N86" s="66"/>
      <c r="O86" s="67">
        <f>EXP(-Paramètres!B$11)*O85+(1-EXP(-Paramètres!B$11))*L85*K85/Paramètres!B$11</f>
        <v>0</v>
      </c>
      <c r="P86" s="67">
        <f>EXP(-Paramètres!C$11)*P85+(1-EXP(-Paramètres!C$11))*M85*K85/Paramètres!C$11</f>
        <v>285.35801636711261</v>
      </c>
      <c r="Q86" s="68">
        <f>EXP(-Paramètres!D$11)*P85+(1-EXP(-Paramètres!D$11))*N85*K85/Paramètres!D$11</f>
        <v>207.45135669741055</v>
      </c>
      <c r="R86" s="69">
        <f t="shared" si="21"/>
        <v>492.80937306452313</v>
      </c>
      <c r="S86"/>
    </row>
    <row r="87" spans="1:19" x14ac:dyDescent="0.25">
      <c r="A87" s="44"/>
      <c r="B87" s="7"/>
      <c r="C87" s="45"/>
      <c r="D87" s="46"/>
      <c r="E87" s="47">
        <v>1161.5999999999999</v>
      </c>
      <c r="F87" s="16">
        <f>E87*Paramètres!K$2*Paramètres!I$2</f>
        <v>527.25023999999996</v>
      </c>
      <c r="G87" s="16">
        <f t="shared" si="23"/>
        <v>117.14563128140382</v>
      </c>
      <c r="H87" s="16">
        <f t="shared" si="24"/>
        <v>644.39587128140374</v>
      </c>
      <c r="I87" s="17">
        <f t="shared" si="25"/>
        <v>1122.322809148445</v>
      </c>
      <c r="J87" s="28">
        <f t="shared" si="22"/>
        <v>0</v>
      </c>
      <c r="K87" s="65">
        <f t="shared" si="20"/>
        <v>0</v>
      </c>
      <c r="L87" s="66"/>
      <c r="M87" s="66"/>
      <c r="N87" s="66"/>
      <c r="O87" s="67">
        <f>EXP(-Paramètres!B$11)*O86+(1-EXP(-Paramètres!B$11))*L86*K86/Paramètres!B$11</f>
        <v>0</v>
      </c>
      <c r="P87" s="67">
        <f>EXP(-Paramètres!C$11)*P86+(1-EXP(-Paramètres!C$11))*M86*K86/Paramètres!C$11</f>
        <v>277.55488640322801</v>
      </c>
      <c r="Q87" s="68">
        <f>EXP(-Paramètres!D$11)*P86+(1-EXP(-Paramètres!D$11))*N86*K86/Paramètres!D$11</f>
        <v>201.77858843912716</v>
      </c>
      <c r="R87" s="69">
        <f t="shared" si="21"/>
        <v>479.33347484235514</v>
      </c>
      <c r="S87"/>
    </row>
    <row r="88" spans="1:19" x14ac:dyDescent="0.25">
      <c r="A88" s="44"/>
      <c r="B88" s="7"/>
      <c r="C88" s="45"/>
      <c r="D88" s="46"/>
      <c r="E88" s="47">
        <v>1177</v>
      </c>
      <c r="F88" s="16">
        <f>E88*Paramètres!K$2*Paramètres!I$2</f>
        <v>534.24030000000005</v>
      </c>
      <c r="G88" s="16">
        <f t="shared" si="23"/>
        <v>118.51686769553503</v>
      </c>
      <c r="H88" s="16">
        <f t="shared" si="24"/>
        <v>652.75716769553503</v>
      </c>
      <c r="I88" s="17">
        <f t="shared" si="25"/>
        <v>1136.8854004030568</v>
      </c>
      <c r="J88" s="28">
        <f t="shared" si="22"/>
        <v>0</v>
      </c>
      <c r="K88" s="65">
        <f t="shared" si="20"/>
        <v>0</v>
      </c>
      <c r="L88" s="66"/>
      <c r="M88" s="66"/>
      <c r="N88" s="66"/>
      <c r="O88" s="67">
        <f>EXP(-Paramètres!B$11)*O87+(1-EXP(-Paramètres!B$11))*L87*K87/Paramètres!B$11</f>
        <v>0</v>
      </c>
      <c r="P88" s="67">
        <f>EXP(-Paramètres!C$11)*P87+(1-EXP(-Paramètres!C$11))*M87*K87/Paramètres!C$11</f>
        <v>269.96513343855463</v>
      </c>
      <c r="Q88" s="68">
        <f>EXP(-Paramètres!D$11)*P87+(1-EXP(-Paramètres!D$11))*N87*K87/Paramètres!D$11</f>
        <v>196.26094232718441</v>
      </c>
      <c r="R88" s="69">
        <f t="shared" si="21"/>
        <v>466.22607576573904</v>
      </c>
      <c r="S88"/>
    </row>
    <row r="89" spans="1:19" x14ac:dyDescent="0.25">
      <c r="A89" s="44"/>
      <c r="B89" s="7"/>
      <c r="C89" s="45"/>
      <c r="D89" s="46"/>
      <c r="E89" s="47">
        <v>1092</v>
      </c>
      <c r="F89" s="16">
        <f>E89*Paramètres!K$2*Paramètres!I$2</f>
        <v>495.65880000000004</v>
      </c>
      <c r="G89" s="16">
        <f t="shared" si="23"/>
        <v>110.9214672212816</v>
      </c>
      <c r="H89" s="16">
        <f t="shared" si="24"/>
        <v>606.5802672212817</v>
      </c>
      <c r="I89" s="17">
        <f t="shared" si="25"/>
        <v>1056.4606320770656</v>
      </c>
      <c r="J89" s="28">
        <f t="shared" si="22"/>
        <v>85</v>
      </c>
      <c r="K89" s="65">
        <f t="shared" si="20"/>
        <v>109.08333333333331</v>
      </c>
      <c r="L89" s="66">
        <v>0</v>
      </c>
      <c r="M89" s="66">
        <v>0.56000000000000005</v>
      </c>
      <c r="N89" s="66">
        <v>0.44</v>
      </c>
      <c r="O89" s="67">
        <f>EXP(-Paramètres!B$11)*O88+(1-EXP(-Paramètres!B$11))*L88*K88/Paramètres!B$11</f>
        <v>0</v>
      </c>
      <c r="P89" s="67">
        <f>EXP(-Paramètres!C$11)*P88+(1-EXP(-Paramètres!C$11))*M88*K88/Paramètres!C$11</f>
        <v>262.58292266782797</v>
      </c>
      <c r="Q89" s="68">
        <f>EXP(-Paramètres!D$11)*P88+(1-EXP(-Paramètres!D$11))*N88*K88/Paramètres!D$11</f>
        <v>190.89417653833317</v>
      </c>
      <c r="R89" s="69">
        <f t="shared" si="21"/>
        <v>453.47709920616114</v>
      </c>
      <c r="S89"/>
    </row>
    <row r="90" spans="1:19" x14ac:dyDescent="0.25">
      <c r="A90" s="44"/>
      <c r="B90" s="7"/>
      <c r="C90" s="45"/>
      <c r="D90" s="46"/>
      <c r="E90" s="47">
        <v>1104.4000000000001</v>
      </c>
      <c r="F90" s="16">
        <f>E90*Paramètres!K$2*Paramètres!I$2</f>
        <v>501.28716000000003</v>
      </c>
      <c r="G90" s="16">
        <f t="shared" si="23"/>
        <v>112.03367122715026</v>
      </c>
      <c r="H90" s="16">
        <f t="shared" si="24"/>
        <v>613.32083122715028</v>
      </c>
      <c r="I90" s="17">
        <f t="shared" si="25"/>
        <v>1068.2004477206199</v>
      </c>
      <c r="J90" s="28">
        <f t="shared" si="22"/>
        <v>0</v>
      </c>
      <c r="K90" s="65">
        <f t="shared" si="20"/>
        <v>0</v>
      </c>
      <c r="L90" s="66"/>
      <c r="M90" s="66"/>
      <c r="N90" s="66"/>
      <c r="O90" s="67">
        <f>EXP(-Paramètres!B$11)*O89+(1-EXP(-Paramètres!B$11))*L89*K89/Paramètres!B$11</f>
        <v>0</v>
      </c>
      <c r="P90" s="67">
        <f>EXP(-Paramètres!C$11)*P89+(1-EXP(-Paramètres!C$11))*M89*K89/Paramètres!C$11</f>
        <v>315.6501770134002</v>
      </c>
      <c r="Q90" s="68">
        <f>EXP(-Paramètres!D$11)*P89+(1-EXP(-Paramètres!D$11))*N89*K89/Paramètres!D$11</f>
        <v>226.23668525695737</v>
      </c>
      <c r="R90" s="69">
        <f t="shared" si="21"/>
        <v>541.8868622703576</v>
      </c>
      <c r="S90"/>
    </row>
    <row r="91" spans="1:19" x14ac:dyDescent="0.25">
      <c r="A91" s="44"/>
      <c r="B91" s="7"/>
      <c r="C91" s="45"/>
      <c r="D91" s="46"/>
      <c r="E91" s="47">
        <v>1116.8</v>
      </c>
      <c r="F91" s="16">
        <f>E91*Paramètres!K$2*Paramètres!I$2</f>
        <v>506.91551999999996</v>
      </c>
      <c r="G91" s="16">
        <f t="shared" si="23"/>
        <v>113.14442259097527</v>
      </c>
      <c r="H91" s="16">
        <f t="shared" si="24"/>
        <v>620.0599425909752</v>
      </c>
      <c r="I91" s="17">
        <f t="shared" si="25"/>
        <v>1079.9377333459483</v>
      </c>
      <c r="J91" s="28">
        <f t="shared" si="22"/>
        <v>0</v>
      </c>
      <c r="K91" s="65">
        <f t="shared" si="20"/>
        <v>0</v>
      </c>
      <c r="L91" s="66"/>
      <c r="M91" s="66"/>
      <c r="N91" s="66"/>
      <c r="O91" s="67">
        <f>EXP(-Paramètres!B$11)*O90+(1-EXP(-Paramètres!B$11))*L90*K90/Paramètres!B$11</f>
        <v>0</v>
      </c>
      <c r="P91" s="67">
        <f>EXP(-Paramètres!C$11)*P90+(1-EXP(-Paramètres!C$11))*M90*K90/Paramètres!C$11</f>
        <v>307.01870632364739</v>
      </c>
      <c r="Q91" s="68">
        <f>EXP(-Paramètres!D$11)*P90+(1-EXP(-Paramètres!D$11))*N90*K90/Paramètres!D$11</f>
        <v>223.19838064890939</v>
      </c>
      <c r="R91" s="69">
        <f t="shared" si="21"/>
        <v>530.21708697255679</v>
      </c>
      <c r="S91"/>
    </row>
    <row r="92" spans="1:19" x14ac:dyDescent="0.25">
      <c r="A92" s="44"/>
      <c r="B92" s="7"/>
      <c r="C92" s="45"/>
      <c r="D92" s="46"/>
      <c r="E92" s="47">
        <v>1129.2</v>
      </c>
      <c r="F92" s="16">
        <f>E92*Paramètres!K$2*Paramètres!I$2</f>
        <v>512.54388000000006</v>
      </c>
      <c r="G92" s="16">
        <f t="shared" si="23"/>
        <v>114.25373930817879</v>
      </c>
      <c r="H92" s="16">
        <f t="shared" si="24"/>
        <v>626.79761930817881</v>
      </c>
      <c r="I92" s="17">
        <f t="shared" si="25"/>
        <v>1091.6725202950781</v>
      </c>
      <c r="J92" s="28">
        <f t="shared" si="22"/>
        <v>0</v>
      </c>
      <c r="K92" s="65">
        <f t="shared" si="20"/>
        <v>0</v>
      </c>
      <c r="L92" s="66"/>
      <c r="M92" s="66"/>
      <c r="N92" s="66"/>
      <c r="O92" s="67">
        <f>EXP(-Paramètres!B$11)*O91+(1-EXP(-Paramètres!B$11))*L91*K91/Paramètres!B$11</f>
        <v>0</v>
      </c>
      <c r="P92" s="67">
        <f>EXP(-Paramètres!C$11)*P91+(1-EXP(-Paramètres!C$11))*M91*K91/Paramètres!C$11</f>
        <v>298.62326365381517</v>
      </c>
      <c r="Q92" s="68">
        <f>EXP(-Paramètres!D$11)*P91+(1-EXP(-Paramètres!D$11))*N91*K91/Paramètres!D$11</f>
        <v>217.09500919257223</v>
      </c>
      <c r="R92" s="69">
        <f t="shared" si="21"/>
        <v>515.71827284638744</v>
      </c>
      <c r="S92"/>
    </row>
    <row r="93" spans="1:19" x14ac:dyDescent="0.25">
      <c r="A93" s="44"/>
      <c r="B93" s="7"/>
      <c r="C93" s="45"/>
      <c r="D93" s="46"/>
      <c r="E93" s="5">
        <v>1141.5999999999999</v>
      </c>
      <c r="F93" s="16">
        <f>E93*Paramètres!K$2*Paramètres!I$2</f>
        <v>518.17223999999999</v>
      </c>
      <c r="G93" s="16">
        <f t="shared" si="23"/>
        <v>115.36163895619984</v>
      </c>
      <c r="H93" s="16">
        <f t="shared" si="24"/>
        <v>633.53387895619983</v>
      </c>
      <c r="I93" s="17">
        <f t="shared" si="25"/>
        <v>1103.4048391820481</v>
      </c>
      <c r="J93" s="28">
        <f t="shared" si="22"/>
        <v>0</v>
      </c>
      <c r="K93" s="65">
        <f t="shared" si="20"/>
        <v>0</v>
      </c>
      <c r="L93" s="66"/>
      <c r="M93" s="66"/>
      <c r="N93" s="66"/>
      <c r="O93" s="67">
        <f>EXP(-Paramètres!B$11)*O92+(1-EXP(-Paramètres!B$11))*L92*K92/Paramètres!B$11</f>
        <v>0</v>
      </c>
      <c r="P93" s="67">
        <f>EXP(-Paramètres!C$11)*P92+(1-EXP(-Paramètres!C$11))*M92*K92/Paramètres!C$11</f>
        <v>290.4573948052867</v>
      </c>
      <c r="Q93" s="68">
        <f>EXP(-Paramètres!D$11)*P92+(1-EXP(-Paramètres!D$11))*N92*K92/Paramètres!D$11</f>
        <v>211.15853474967099</v>
      </c>
      <c r="R93" s="69">
        <f t="shared" si="21"/>
        <v>501.61592955495769</v>
      </c>
      <c r="S93"/>
    </row>
    <row r="94" spans="1:19" x14ac:dyDescent="0.25">
      <c r="A94" s="44"/>
      <c r="B94" s="44"/>
      <c r="C94" s="45"/>
      <c r="D94" s="46"/>
      <c r="E94" s="47">
        <v>1154</v>
      </c>
      <c r="F94" s="16">
        <f>E94*Paramètres!K$2*Paramètres!I$2</f>
        <v>523.80060000000003</v>
      </c>
      <c r="G94" s="16">
        <f t="shared" si="23"/>
        <v>116.46813870863447</v>
      </c>
      <c r="H94" s="16">
        <f t="shared" si="24"/>
        <v>640.26873870863449</v>
      </c>
      <c r="I94" s="17">
        <f t="shared" si="25"/>
        <v>1115.1347199175384</v>
      </c>
      <c r="J94" s="28">
        <f t="shared" si="22"/>
        <v>0</v>
      </c>
      <c r="K94" s="65">
        <f t="shared" si="20"/>
        <v>0</v>
      </c>
      <c r="L94" s="66"/>
      <c r="M94" s="66"/>
      <c r="N94" s="66"/>
      <c r="O94" s="67">
        <f>EXP(-Paramètres!B$11)*O93+(1-EXP(-Paramètres!B$11))*L93*K93/Paramètres!B$11</f>
        <v>0</v>
      </c>
      <c r="P94" s="67">
        <f>EXP(-Paramètres!C$11)*P93+(1-EXP(-Paramètres!C$11))*M93*K93/Paramètres!C$11</f>
        <v>282.51482206984559</v>
      </c>
      <c r="Q94" s="68">
        <f>EXP(-Paramètres!D$11)*P93+(1-EXP(-Paramètres!D$11))*N93*K93/Paramètres!D$11</f>
        <v>205.38439351259652</v>
      </c>
      <c r="R94" s="69">
        <f t="shared" si="21"/>
        <v>487.89921558244214</v>
      </c>
      <c r="S94"/>
    </row>
    <row r="95" spans="1:19" x14ac:dyDescent="0.25">
      <c r="A95" s="44"/>
      <c r="B95" s="44"/>
      <c r="C95" s="45"/>
      <c r="D95" s="46"/>
      <c r="E95" s="47"/>
      <c r="F95" s="47"/>
      <c r="G95" s="24"/>
      <c r="H95" s="24"/>
      <c r="I95" s="24"/>
      <c r="J95" s="50"/>
      <c r="K95" s="5"/>
      <c r="L95" s="5"/>
      <c r="M95" s="5"/>
      <c r="N95" s="5"/>
      <c r="O95" s="5"/>
      <c r="P95" s="5"/>
    </row>
    <row r="96" spans="1:19" x14ac:dyDescent="0.25">
      <c r="A96" s="44"/>
      <c r="B96" s="44"/>
      <c r="C96" s="45"/>
      <c r="D96" s="46"/>
      <c r="E96" s="47"/>
      <c r="F96" s="47"/>
      <c r="G96" s="24"/>
      <c r="H96" s="24"/>
      <c r="I96" s="24"/>
      <c r="J96" s="50"/>
      <c r="K96" s="5"/>
      <c r="L96" s="5"/>
      <c r="M96" s="5"/>
      <c r="N96" s="5"/>
      <c r="O96" s="5"/>
      <c r="P96" s="5"/>
    </row>
    <row r="97" spans="1:16" x14ac:dyDescent="0.25">
      <c r="A97" s="44"/>
      <c r="B97" s="44"/>
      <c r="C97" s="45"/>
      <c r="D97" s="46"/>
      <c r="E97" s="47"/>
      <c r="F97" s="47"/>
      <c r="G97" s="24"/>
      <c r="H97" s="24"/>
      <c r="I97" s="24"/>
      <c r="J97" s="50"/>
      <c r="K97" s="5"/>
      <c r="L97" s="5"/>
      <c r="M97" s="5"/>
      <c r="N97" s="5"/>
      <c r="O97" s="5"/>
      <c r="P97" s="5"/>
    </row>
    <row r="98" spans="1:16" x14ac:dyDescent="0.25">
      <c r="A98" s="44"/>
      <c r="B98" s="44"/>
      <c r="C98" s="45"/>
      <c r="D98" s="46"/>
      <c r="E98" s="47"/>
      <c r="F98" s="47"/>
      <c r="G98" s="24"/>
      <c r="H98" s="24"/>
      <c r="I98" s="24"/>
      <c r="J98" s="50"/>
      <c r="K98" s="5"/>
      <c r="L98" s="5"/>
      <c r="M98" s="5"/>
      <c r="N98" s="5"/>
      <c r="O98" s="5"/>
      <c r="P98" s="5"/>
    </row>
    <row r="99" spans="1:16" x14ac:dyDescent="0.25">
      <c r="A99" s="44"/>
      <c r="B99" s="44"/>
      <c r="C99" s="45"/>
      <c r="D99" s="46"/>
      <c r="E99" s="47"/>
      <c r="F99" s="47"/>
      <c r="G99" s="24"/>
      <c r="H99" s="24"/>
      <c r="I99" s="24"/>
      <c r="J99" s="50"/>
      <c r="K99" s="5"/>
      <c r="L99" s="5"/>
      <c r="M99" s="5"/>
      <c r="N99" s="5"/>
      <c r="O99" s="5"/>
      <c r="P99" s="5"/>
    </row>
    <row r="100" spans="1:16" x14ac:dyDescent="0.25">
      <c r="A100" s="44"/>
      <c r="B100" s="44"/>
      <c r="C100" s="45"/>
      <c r="D100" s="46"/>
      <c r="E100" s="47"/>
      <c r="F100" s="47"/>
      <c r="G100" s="24"/>
      <c r="H100" s="24"/>
      <c r="I100" s="24"/>
      <c r="J100" s="50"/>
      <c r="K100" s="5"/>
      <c r="L100" s="5"/>
      <c r="M100" s="5"/>
      <c r="N100" s="5"/>
      <c r="O100" s="5"/>
      <c r="P100" s="5"/>
    </row>
    <row r="101" spans="1:16" x14ac:dyDescent="0.25">
      <c r="A101" s="44"/>
      <c r="B101" s="44"/>
      <c r="C101" s="45"/>
      <c r="D101" s="46"/>
      <c r="E101" s="47"/>
      <c r="F101" s="47"/>
      <c r="G101" s="24"/>
      <c r="H101" s="24"/>
      <c r="I101" s="24"/>
      <c r="J101" s="50"/>
      <c r="K101" s="5"/>
      <c r="L101" s="5"/>
      <c r="M101" s="5"/>
      <c r="N101" s="5"/>
      <c r="O101" s="5"/>
      <c r="P101" s="5"/>
    </row>
    <row r="102" spans="1:16" x14ac:dyDescent="0.25">
      <c r="A102" s="44"/>
      <c r="B102" s="44"/>
      <c r="C102" s="45"/>
      <c r="D102" s="46"/>
      <c r="E102" s="47"/>
      <c r="F102" s="47"/>
      <c r="G102" s="24"/>
      <c r="H102" s="24"/>
      <c r="I102" s="24"/>
      <c r="J102" s="50"/>
      <c r="K102" s="5"/>
      <c r="L102" s="5"/>
      <c r="M102" s="5"/>
      <c r="N102" s="5"/>
      <c r="O102" s="5"/>
      <c r="P102" s="5"/>
    </row>
    <row r="103" spans="1:16" x14ac:dyDescent="0.25">
      <c r="A103" s="44"/>
      <c r="B103" s="44"/>
      <c r="C103" s="45"/>
      <c r="D103" s="46"/>
      <c r="E103" s="5"/>
      <c r="F103" s="47"/>
      <c r="G103" s="24"/>
      <c r="H103" s="24"/>
      <c r="I103" s="24"/>
      <c r="J103" s="50"/>
      <c r="K103" s="5"/>
      <c r="L103" s="5"/>
      <c r="M103" s="5"/>
      <c r="N103" s="5"/>
      <c r="O103" s="5"/>
      <c r="P103" s="5"/>
    </row>
    <row r="104" spans="1:16" x14ac:dyDescent="0.25">
      <c r="A104" s="44"/>
      <c r="B104" s="44"/>
      <c r="C104" s="45"/>
      <c r="D104" s="46"/>
      <c r="E104" s="24"/>
      <c r="F104" s="48"/>
      <c r="G104" s="24"/>
      <c r="H104" s="24"/>
      <c r="I104" s="24"/>
      <c r="J104" s="50"/>
      <c r="K104" s="5"/>
      <c r="L104" s="5"/>
      <c r="M104" s="5"/>
      <c r="N104" s="5"/>
      <c r="O104" s="5"/>
      <c r="P104" s="5"/>
    </row>
    <row r="105" spans="1:16" x14ac:dyDescent="0.25">
      <c r="A105" s="44"/>
      <c r="B105" s="44"/>
      <c r="C105" s="45"/>
      <c r="D105" s="46"/>
      <c r="E105" s="24"/>
      <c r="F105" s="48"/>
      <c r="G105" s="24"/>
      <c r="H105" s="24"/>
      <c r="I105" s="24"/>
      <c r="J105" s="50"/>
      <c r="K105" s="5"/>
      <c r="L105" s="5"/>
      <c r="M105" s="5"/>
      <c r="N105" s="5"/>
      <c r="O105" s="5"/>
      <c r="P105" s="5"/>
    </row>
    <row r="106" spans="1:16" x14ac:dyDescent="0.25">
      <c r="A106" s="44"/>
      <c r="B106" s="44"/>
      <c r="C106" s="45"/>
      <c r="D106" s="46"/>
      <c r="E106" s="24"/>
      <c r="F106" s="48"/>
      <c r="G106" s="24"/>
      <c r="H106" s="24"/>
      <c r="I106" s="24"/>
      <c r="J106" s="50"/>
      <c r="K106" s="5"/>
      <c r="L106" s="5"/>
      <c r="M106" s="5"/>
      <c r="N106" s="5"/>
      <c r="O106" s="5"/>
      <c r="P106" s="5"/>
    </row>
    <row r="107" spans="1:16" x14ac:dyDescent="0.25">
      <c r="A107" s="44"/>
      <c r="B107" s="44"/>
      <c r="C107" s="45"/>
      <c r="D107" s="46"/>
      <c r="E107" s="24"/>
      <c r="F107" s="48"/>
      <c r="G107" s="24"/>
      <c r="H107" s="24"/>
      <c r="I107" s="24"/>
      <c r="J107" s="50"/>
      <c r="K107" s="5"/>
      <c r="L107" s="5"/>
      <c r="M107" s="5"/>
      <c r="N107" s="5"/>
      <c r="O107" s="5"/>
      <c r="P107" s="5"/>
    </row>
    <row r="108" spans="1:16" x14ac:dyDescent="0.25">
      <c r="A108" s="44"/>
      <c r="B108" s="44"/>
      <c r="C108" s="45"/>
      <c r="D108" s="25"/>
      <c r="E108" s="24"/>
      <c r="F108" s="48"/>
      <c r="G108" s="24"/>
      <c r="H108" s="24"/>
      <c r="I108" s="24"/>
      <c r="J108" s="50"/>
      <c r="K108" s="5"/>
      <c r="L108" s="5"/>
      <c r="M108" s="5"/>
      <c r="N108" s="5"/>
      <c r="O108" s="5"/>
      <c r="P108" s="5"/>
    </row>
    <row r="109" spans="1:16" x14ac:dyDescent="0.25">
      <c r="A109" s="44"/>
      <c r="B109" s="44"/>
      <c r="C109" s="32"/>
      <c r="D109" s="25"/>
      <c r="E109" s="24"/>
      <c r="F109" s="24"/>
      <c r="G109" s="24"/>
      <c r="H109" s="24"/>
      <c r="I109" s="24"/>
      <c r="J109" s="50"/>
      <c r="K109" s="5"/>
      <c r="L109" s="5"/>
      <c r="M109" s="5"/>
      <c r="N109" s="5"/>
      <c r="O109" s="5"/>
      <c r="P109" s="5"/>
    </row>
    <row r="110" spans="1:16" x14ac:dyDescent="0.25">
      <c r="A110" s="44"/>
      <c r="B110" s="44"/>
      <c r="C110" s="32"/>
      <c r="D110" s="25"/>
      <c r="E110" s="24"/>
      <c r="F110" s="24"/>
      <c r="G110" s="24"/>
      <c r="H110" s="24"/>
      <c r="I110" s="24"/>
      <c r="J110" s="50"/>
      <c r="K110" s="5"/>
      <c r="L110" s="5"/>
      <c r="M110" s="5"/>
      <c r="N110" s="5"/>
      <c r="O110" s="5"/>
      <c r="P110" s="5"/>
    </row>
    <row r="111" spans="1:16" x14ac:dyDescent="0.25">
      <c r="A111" s="44"/>
      <c r="B111" s="44"/>
      <c r="C111" s="32"/>
      <c r="D111" s="25"/>
      <c r="E111" s="24"/>
      <c r="F111" s="24"/>
      <c r="G111" s="24"/>
      <c r="H111" s="24"/>
      <c r="I111" s="24"/>
      <c r="J111" s="50"/>
      <c r="K111" s="5"/>
      <c r="L111" s="5"/>
      <c r="M111" s="5"/>
      <c r="N111" s="5"/>
      <c r="O111" s="5"/>
      <c r="P111" s="5"/>
    </row>
    <row r="112" spans="1:16" x14ac:dyDescent="0.25">
      <c r="A112" s="44"/>
      <c r="B112" s="44"/>
      <c r="C112" s="32"/>
      <c r="D112" s="25"/>
      <c r="E112" s="24"/>
      <c r="F112" s="24"/>
      <c r="G112" s="24"/>
      <c r="H112" s="24"/>
      <c r="I112" s="24"/>
      <c r="J112" s="50"/>
      <c r="K112" s="5"/>
      <c r="L112" s="5"/>
      <c r="M112" s="5"/>
      <c r="N112" s="5"/>
      <c r="O112" s="5"/>
      <c r="P112" s="5"/>
    </row>
    <row r="113" spans="1:16" x14ac:dyDescent="0.25">
      <c r="A113" s="44"/>
      <c r="B113" s="44"/>
      <c r="C113" s="32"/>
      <c r="D113" s="25"/>
      <c r="E113" s="24"/>
      <c r="F113" s="24"/>
      <c r="G113" s="24"/>
      <c r="H113" s="24"/>
      <c r="I113" s="24"/>
      <c r="J113" s="50"/>
      <c r="K113" s="5"/>
      <c r="L113" s="5"/>
      <c r="M113" s="5"/>
      <c r="N113" s="5"/>
      <c r="O113" s="5"/>
      <c r="P113" s="5"/>
    </row>
    <row r="114" spans="1:16" x14ac:dyDescent="0.25">
      <c r="A114" s="44"/>
      <c r="B114" s="44"/>
      <c r="C114" s="32"/>
      <c r="D114" s="25"/>
      <c r="E114" s="24"/>
      <c r="F114" s="24"/>
      <c r="G114" s="24"/>
      <c r="H114" s="24"/>
      <c r="I114" s="24"/>
      <c r="J114" s="50"/>
      <c r="K114" s="5"/>
      <c r="L114" s="5"/>
      <c r="M114" s="5"/>
      <c r="N114" s="5"/>
      <c r="O114" s="5"/>
      <c r="P114" s="5"/>
    </row>
    <row r="115" spans="1:16" x14ac:dyDescent="0.25">
      <c r="A115" s="13"/>
      <c r="B115" s="13"/>
      <c r="D115" s="49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x14ac:dyDescent="0.25">
      <c r="A116" s="13"/>
      <c r="B116" s="13"/>
      <c r="D116" s="49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 x14ac:dyDescent="0.25">
      <c r="A117" s="13"/>
      <c r="B117" s="13"/>
      <c r="D117" s="49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x14ac:dyDescent="0.25">
      <c r="A118" s="13"/>
      <c r="B118" s="13"/>
      <c r="D118" s="49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 x14ac:dyDescent="0.25">
      <c r="A119" s="13"/>
      <c r="B119" s="13"/>
      <c r="D119" s="49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6" x14ac:dyDescent="0.25">
      <c r="A120" s="13"/>
      <c r="B120" s="13"/>
      <c r="D120" s="49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</sheetData>
  <mergeCells count="1">
    <mergeCell ref="D1:J1"/>
  </mergeCells>
  <pageMargins left="0.7" right="0.7" top="0.75" bottom="0.75" header="0.3" footer="0.3"/>
  <pageSetup paperSize="9" orientation="portrait" horizontalDpi="4294967293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3" sqref="K3"/>
    </sheetView>
  </sheetViews>
  <sheetFormatPr baseColWidth="10" defaultRowHeight="15" x14ac:dyDescent="0.25"/>
  <sheetData>
    <row r="1" spans="1:12" ht="63.75" x14ac:dyDescent="0.25">
      <c r="A1" s="1" t="s">
        <v>1</v>
      </c>
      <c r="B1" s="1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2" t="s">
        <v>11</v>
      </c>
      <c r="L1" s="1" t="s">
        <v>12</v>
      </c>
    </row>
    <row r="2" spans="1:12" x14ac:dyDescent="0.25">
      <c r="A2" t="s">
        <v>82</v>
      </c>
      <c r="B2" t="s">
        <v>83</v>
      </c>
      <c r="C2" t="s">
        <v>83</v>
      </c>
      <c r="D2" t="s">
        <v>83</v>
      </c>
      <c r="E2" t="s">
        <v>83</v>
      </c>
      <c r="F2" t="s">
        <v>83</v>
      </c>
      <c r="G2" t="s">
        <v>13</v>
      </c>
      <c r="H2">
        <v>1.3</v>
      </c>
      <c r="I2">
        <v>1.335</v>
      </c>
      <c r="J2" t="s">
        <v>82</v>
      </c>
      <c r="K2">
        <v>0.34</v>
      </c>
    </row>
    <row r="7" spans="1:12" x14ac:dyDescent="0.25">
      <c r="A7" s="3"/>
      <c r="B7" s="3"/>
      <c r="C7" s="3"/>
      <c r="D7" s="3"/>
      <c r="E7" s="3"/>
    </row>
    <row r="8" spans="1:12" x14ac:dyDescent="0.25">
      <c r="A8" s="4" t="s">
        <v>14</v>
      </c>
      <c r="B8" s="3"/>
      <c r="C8" s="3"/>
      <c r="D8" s="3"/>
      <c r="E8" s="3"/>
    </row>
    <row r="9" spans="1:12" x14ac:dyDescent="0.25">
      <c r="B9" s="3" t="s">
        <v>15</v>
      </c>
      <c r="C9" s="3" t="s">
        <v>16</v>
      </c>
      <c r="D9" s="3" t="s">
        <v>17</v>
      </c>
      <c r="E9" s="5" t="s">
        <v>18</v>
      </c>
    </row>
    <row r="10" spans="1:12" x14ac:dyDescent="0.25">
      <c r="A10" s="6" t="s">
        <v>19</v>
      </c>
      <c r="B10" s="3">
        <v>35</v>
      </c>
      <c r="C10" s="3">
        <v>25</v>
      </c>
      <c r="D10" s="3">
        <v>2</v>
      </c>
      <c r="E10" s="3">
        <v>1</v>
      </c>
    </row>
    <row r="11" spans="1:12" x14ac:dyDescent="0.25">
      <c r="A11" s="6" t="s">
        <v>20</v>
      </c>
      <c r="B11" s="3">
        <f>LN(2)/B10</f>
        <v>1.980420515885558E-2</v>
      </c>
      <c r="C11" s="3">
        <f>LN(2)/C10</f>
        <v>2.7725887222397813E-2</v>
      </c>
      <c r="D11" s="3">
        <f>LN(2)/D10</f>
        <v>0.34657359027997264</v>
      </c>
      <c r="E11" s="3">
        <f>LN(2)/E10</f>
        <v>0.69314718055994529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opLeftCell="A70" workbookViewId="0">
      <selection activeCell="H72" sqref="H72"/>
    </sheetView>
  </sheetViews>
  <sheetFormatPr baseColWidth="10" defaultRowHeight="15" x14ac:dyDescent="0.25"/>
  <cols>
    <col min="5" max="5" width="14.140625" customWidth="1"/>
  </cols>
  <sheetData>
    <row r="1" spans="1:15" ht="30" x14ac:dyDescent="0.25">
      <c r="A1" t="s">
        <v>0</v>
      </c>
      <c r="C1" t="s">
        <v>81</v>
      </c>
      <c r="D1" s="59" t="s">
        <v>89</v>
      </c>
      <c r="E1" s="59" t="s">
        <v>90</v>
      </c>
    </row>
    <row r="2" spans="1:15" x14ac:dyDescent="0.25">
      <c r="A2">
        <v>0</v>
      </c>
      <c r="B2" s="28">
        <v>0</v>
      </c>
      <c r="C2" s="28">
        <v>0</v>
      </c>
      <c r="D2" s="28"/>
    </row>
    <row r="3" spans="1:15" x14ac:dyDescent="0.25">
      <c r="A3">
        <v>1</v>
      </c>
      <c r="B3" s="28">
        <v>1</v>
      </c>
      <c r="C3" s="28">
        <f>C2+B3</f>
        <v>1</v>
      </c>
      <c r="D3" s="28" t="str">
        <f>IF(C2-C3&gt;0,C2-C3,"")</f>
        <v/>
      </c>
      <c r="E3" s="60" t="s">
        <v>91</v>
      </c>
    </row>
    <row r="4" spans="1:15" x14ac:dyDescent="0.25">
      <c r="A4">
        <v>2</v>
      </c>
      <c r="B4" s="28">
        <v>1</v>
      </c>
      <c r="C4" s="28">
        <f t="shared" ref="C4:C15" si="0">C3+B4</f>
        <v>2</v>
      </c>
      <c r="D4" s="28" t="str">
        <f t="shared" ref="D4:D67" si="1">IF(C3-C4&gt;0,C3-C4,"")</f>
        <v/>
      </c>
      <c r="E4" s="60" t="s">
        <v>91</v>
      </c>
      <c r="H4" t="s">
        <v>80</v>
      </c>
      <c r="I4" t="s">
        <v>79</v>
      </c>
    </row>
    <row r="5" spans="1:15" x14ac:dyDescent="0.25">
      <c r="A5">
        <v>3</v>
      </c>
      <c r="B5" s="28">
        <v>2</v>
      </c>
      <c r="C5" s="28">
        <f t="shared" si="0"/>
        <v>4</v>
      </c>
      <c r="D5" s="28" t="str">
        <f t="shared" si="1"/>
        <v/>
      </c>
      <c r="E5" s="60" t="s">
        <v>91</v>
      </c>
      <c r="G5" s="37" t="s">
        <v>71</v>
      </c>
      <c r="H5" s="37" t="s">
        <v>77</v>
      </c>
      <c r="I5" s="37" t="s">
        <v>77</v>
      </c>
      <c r="N5" t="s">
        <v>92</v>
      </c>
    </row>
    <row r="6" spans="1:15" x14ac:dyDescent="0.25">
      <c r="A6">
        <v>4</v>
      </c>
      <c r="B6" s="28">
        <v>2</v>
      </c>
      <c r="C6" s="28">
        <f t="shared" si="0"/>
        <v>6</v>
      </c>
      <c r="D6" s="28" t="str">
        <f t="shared" si="1"/>
        <v/>
      </c>
      <c r="E6" s="60" t="s">
        <v>91</v>
      </c>
      <c r="G6" s="38">
        <v>14</v>
      </c>
      <c r="H6" s="38">
        <v>92</v>
      </c>
      <c r="I6" s="38">
        <v>92</v>
      </c>
    </row>
    <row r="7" spans="1:15" x14ac:dyDescent="0.25">
      <c r="A7">
        <v>5</v>
      </c>
      <c r="B7" s="28">
        <v>3</v>
      </c>
      <c r="C7" s="28">
        <f t="shared" si="0"/>
        <v>9</v>
      </c>
      <c r="D7" s="28" t="str">
        <f t="shared" si="1"/>
        <v/>
      </c>
      <c r="E7" s="60" t="s">
        <v>91</v>
      </c>
      <c r="G7" s="38">
        <v>19</v>
      </c>
      <c r="H7" s="38">
        <v>235</v>
      </c>
      <c r="I7" s="38">
        <v>130</v>
      </c>
      <c r="J7" s="30"/>
      <c r="K7" s="30"/>
      <c r="L7" s="30"/>
      <c r="M7" s="30"/>
      <c r="N7" s="30"/>
      <c r="O7" s="30"/>
    </row>
    <row r="8" spans="1:15" x14ac:dyDescent="0.25">
      <c r="A8">
        <v>6</v>
      </c>
      <c r="B8" s="28">
        <v>4</v>
      </c>
      <c r="C8" s="28">
        <f t="shared" si="0"/>
        <v>13</v>
      </c>
      <c r="D8" s="28" t="str">
        <f t="shared" si="1"/>
        <v/>
      </c>
      <c r="E8" s="60" t="s">
        <v>91</v>
      </c>
      <c r="G8" s="38">
        <v>24</v>
      </c>
      <c r="H8" s="38">
        <v>444</v>
      </c>
      <c r="I8" s="38">
        <v>234</v>
      </c>
      <c r="J8" s="30"/>
      <c r="K8" s="30"/>
      <c r="L8" s="30"/>
      <c r="M8" s="31"/>
      <c r="N8" s="30">
        <v>220</v>
      </c>
      <c r="O8" s="30">
        <v>240</v>
      </c>
    </row>
    <row r="9" spans="1:15" x14ac:dyDescent="0.25">
      <c r="A9">
        <v>7</v>
      </c>
      <c r="B9" s="28">
        <v>4</v>
      </c>
      <c r="C9" s="28">
        <f t="shared" si="0"/>
        <v>17</v>
      </c>
      <c r="D9" s="28" t="str">
        <f t="shared" si="1"/>
        <v/>
      </c>
      <c r="E9" s="60" t="s">
        <v>91</v>
      </c>
      <c r="G9" s="38">
        <v>29</v>
      </c>
      <c r="H9" s="38">
        <v>675</v>
      </c>
      <c r="I9" s="38">
        <v>360</v>
      </c>
      <c r="J9" s="30"/>
      <c r="K9" s="30"/>
      <c r="L9" s="30"/>
      <c r="M9" s="31"/>
      <c r="N9" s="30">
        <v>549.98347114800004</v>
      </c>
      <c r="O9" s="30">
        <v>695.52617089199998</v>
      </c>
    </row>
    <row r="10" spans="1:15" x14ac:dyDescent="0.25">
      <c r="A10">
        <v>8</v>
      </c>
      <c r="B10" s="28">
        <v>5</v>
      </c>
      <c r="C10" s="28">
        <f t="shared" si="0"/>
        <v>22</v>
      </c>
      <c r="D10" s="28" t="str">
        <f t="shared" si="1"/>
        <v/>
      </c>
      <c r="E10" s="60" t="s">
        <v>91</v>
      </c>
      <c r="G10" s="38">
        <v>34</v>
      </c>
      <c r="H10" s="38">
        <v>901</v>
      </c>
      <c r="I10" s="38">
        <v>481</v>
      </c>
      <c r="J10" s="30"/>
      <c r="K10" s="30"/>
      <c r="L10" s="30"/>
      <c r="M10" s="31"/>
      <c r="N10" s="30">
        <v>909.64187340000001</v>
      </c>
      <c r="O10" s="30">
        <v>1133.5537191600001</v>
      </c>
    </row>
    <row r="11" spans="1:15" x14ac:dyDescent="0.25">
      <c r="A11">
        <v>9</v>
      </c>
      <c r="B11" s="28">
        <v>6</v>
      </c>
      <c r="C11" s="28">
        <f t="shared" si="0"/>
        <v>28</v>
      </c>
      <c r="D11" s="28" t="str">
        <f t="shared" si="1"/>
        <v/>
      </c>
      <c r="E11" s="60" t="s">
        <v>91</v>
      </c>
      <c r="G11" s="38">
        <v>39</v>
      </c>
      <c r="H11" s="38">
        <v>1109</v>
      </c>
      <c r="I11" s="38">
        <v>584</v>
      </c>
      <c r="J11" s="30"/>
      <c r="K11" s="30"/>
      <c r="L11" s="30"/>
      <c r="M11" s="31"/>
      <c r="N11" s="30">
        <v>1259.5041324000001</v>
      </c>
      <c r="O11" s="30">
        <v>1539.3939396000001</v>
      </c>
    </row>
    <row r="12" spans="1:15" x14ac:dyDescent="0.25">
      <c r="A12">
        <v>10</v>
      </c>
      <c r="B12" s="28">
        <v>7</v>
      </c>
      <c r="C12" s="28">
        <f t="shared" si="0"/>
        <v>35</v>
      </c>
      <c r="D12" s="28" t="str">
        <f t="shared" si="1"/>
        <v/>
      </c>
      <c r="E12" s="60" t="s">
        <v>91</v>
      </c>
      <c r="G12" s="38">
        <v>44</v>
      </c>
      <c r="H12" s="38">
        <v>1299</v>
      </c>
      <c r="I12" s="38">
        <v>687</v>
      </c>
      <c r="J12" s="30"/>
      <c r="K12" s="30"/>
      <c r="L12" s="30"/>
      <c r="M12" s="31"/>
      <c r="N12" s="30">
        <v>1609.3663914000001</v>
      </c>
      <c r="O12" s="30">
        <v>1945.23416004</v>
      </c>
    </row>
    <row r="13" spans="1:15" x14ac:dyDescent="0.25">
      <c r="A13">
        <v>11</v>
      </c>
      <c r="B13" s="28">
        <v>9</v>
      </c>
      <c r="C13" s="28">
        <f t="shared" si="0"/>
        <v>44</v>
      </c>
      <c r="D13" s="28" t="str">
        <f t="shared" si="1"/>
        <v/>
      </c>
      <c r="E13" s="60" t="s">
        <v>91</v>
      </c>
      <c r="G13" s="38">
        <v>49</v>
      </c>
      <c r="H13" s="38">
        <v>1468</v>
      </c>
      <c r="I13" s="38">
        <v>784</v>
      </c>
      <c r="J13" s="30"/>
      <c r="K13" s="30"/>
      <c r="L13" s="30"/>
      <c r="M13" s="31"/>
      <c r="N13" s="30">
        <v>1929.8402206440001</v>
      </c>
      <c r="O13" s="30">
        <v>2310.490358436</v>
      </c>
    </row>
    <row r="14" spans="1:15" x14ac:dyDescent="0.25">
      <c r="A14">
        <v>12</v>
      </c>
      <c r="B14">
        <v>12</v>
      </c>
      <c r="C14" s="28">
        <f t="shared" si="0"/>
        <v>56</v>
      </c>
      <c r="D14" s="28" t="str">
        <f t="shared" si="1"/>
        <v/>
      </c>
      <c r="E14" s="60" t="s">
        <v>91</v>
      </c>
      <c r="G14" s="38">
        <v>54</v>
      </c>
      <c r="H14" s="38">
        <v>1617</v>
      </c>
      <c r="I14" s="38">
        <v>869</v>
      </c>
      <c r="J14" s="30"/>
      <c r="K14" s="30"/>
      <c r="L14" s="30"/>
      <c r="M14" s="31"/>
      <c r="N14" s="30">
        <v>2239.1184576000001</v>
      </c>
      <c r="O14" s="30">
        <v>2658.9531683999999</v>
      </c>
    </row>
    <row r="15" spans="1:15" x14ac:dyDescent="0.25">
      <c r="A15">
        <v>13</v>
      </c>
      <c r="B15">
        <v>18</v>
      </c>
      <c r="C15" s="28">
        <f t="shared" si="0"/>
        <v>74</v>
      </c>
      <c r="D15" s="28" t="str">
        <f t="shared" si="1"/>
        <v/>
      </c>
      <c r="E15" s="60" t="s">
        <v>91</v>
      </c>
      <c r="G15" s="38">
        <v>59</v>
      </c>
      <c r="H15" s="38">
        <v>1747</v>
      </c>
      <c r="I15" s="38">
        <v>943</v>
      </c>
      <c r="J15" s="30"/>
      <c r="K15" s="30"/>
      <c r="L15" s="30"/>
      <c r="M15" s="31"/>
      <c r="N15" s="30">
        <v>2523.206611908</v>
      </c>
      <c r="O15" s="30">
        <v>2976.6280995719999</v>
      </c>
    </row>
    <row r="16" spans="1:15" x14ac:dyDescent="0.25">
      <c r="A16">
        <v>14</v>
      </c>
      <c r="C16" s="28">
        <v>92</v>
      </c>
      <c r="D16" s="28" t="str">
        <f t="shared" si="1"/>
        <v/>
      </c>
      <c r="E16" s="60" t="s">
        <v>91</v>
      </c>
      <c r="G16" s="38">
        <v>64</v>
      </c>
      <c r="H16" s="38">
        <v>1859</v>
      </c>
      <c r="I16" s="38">
        <v>1004</v>
      </c>
      <c r="J16" s="30"/>
      <c r="K16" s="30"/>
      <c r="L16" s="30"/>
      <c r="M16" s="31"/>
      <c r="N16" s="30">
        <v>2794.6997248920002</v>
      </c>
      <c r="O16" s="30">
        <v>3266.3140500240002</v>
      </c>
    </row>
    <row r="17" spans="1:15" x14ac:dyDescent="0.25">
      <c r="A17">
        <v>15</v>
      </c>
      <c r="C17" s="28">
        <f>$C$16+(A17-$A$16)*($C$21-$C$16)/($A$21-$A$16)</f>
        <v>120.6</v>
      </c>
      <c r="D17" s="28" t="str">
        <f t="shared" si="1"/>
        <v/>
      </c>
      <c r="E17" s="60" t="s">
        <v>91</v>
      </c>
      <c r="G17" s="38">
        <v>69</v>
      </c>
      <c r="H17" s="38">
        <v>1955</v>
      </c>
      <c r="I17" s="38">
        <v>1055</v>
      </c>
      <c r="J17" s="30"/>
      <c r="K17" s="30"/>
      <c r="L17" s="30"/>
      <c r="M17" s="31"/>
      <c r="N17" s="30">
        <v>3059.1955926959999</v>
      </c>
      <c r="O17" s="30">
        <v>3574.1928379440001</v>
      </c>
    </row>
    <row r="18" spans="1:15" x14ac:dyDescent="0.25">
      <c r="A18">
        <v>16</v>
      </c>
      <c r="C18" s="28">
        <f t="shared" ref="C18:C20" si="2">$C$16+(A18-$A$16)*($C$21-$C$16)/($A$21-$A$16)</f>
        <v>149.19999999999999</v>
      </c>
      <c r="D18" s="28" t="str">
        <f t="shared" si="1"/>
        <v/>
      </c>
      <c r="E18" s="60" t="s">
        <v>91</v>
      </c>
      <c r="G18" s="38">
        <v>74</v>
      </c>
      <c r="H18" s="38">
        <v>2033</v>
      </c>
      <c r="I18" s="38">
        <v>1092</v>
      </c>
    </row>
    <row r="19" spans="1:15" x14ac:dyDescent="0.25">
      <c r="A19">
        <v>17</v>
      </c>
      <c r="C19" s="28">
        <f t="shared" si="2"/>
        <v>177.8</v>
      </c>
      <c r="D19" s="28" t="str">
        <f t="shared" si="1"/>
        <v/>
      </c>
      <c r="E19" s="60" t="s">
        <v>91</v>
      </c>
      <c r="G19" s="38">
        <v>79</v>
      </c>
      <c r="H19" s="38">
        <v>2094</v>
      </c>
      <c r="I19" s="38">
        <v>1118</v>
      </c>
    </row>
    <row r="20" spans="1:15" x14ac:dyDescent="0.25">
      <c r="A20">
        <v>18</v>
      </c>
      <c r="C20" s="28">
        <f t="shared" si="2"/>
        <v>206.4</v>
      </c>
      <c r="D20" s="28" t="str">
        <f t="shared" si="1"/>
        <v/>
      </c>
      <c r="E20" s="60" t="s">
        <v>91</v>
      </c>
    </row>
    <row r="21" spans="1:15" x14ac:dyDescent="0.25">
      <c r="A21">
        <v>19</v>
      </c>
      <c r="C21" s="28">
        <f>C22+105</f>
        <v>235</v>
      </c>
      <c r="D21" s="28" t="str">
        <f t="shared" si="1"/>
        <v/>
      </c>
      <c r="E21" s="60" t="s">
        <v>91</v>
      </c>
    </row>
    <row r="22" spans="1:15" x14ac:dyDescent="0.25">
      <c r="A22">
        <v>19</v>
      </c>
      <c r="C22" s="28">
        <v>130</v>
      </c>
      <c r="D22" s="28">
        <f t="shared" si="1"/>
        <v>105</v>
      </c>
      <c r="E22" s="60">
        <v>105</v>
      </c>
    </row>
    <row r="23" spans="1:15" x14ac:dyDescent="0.25">
      <c r="A23">
        <v>20</v>
      </c>
      <c r="C23" s="28">
        <f>$C$22+(A23-$A$22)*($C$27-$C$22)/($A$27-$A$22)</f>
        <v>171.8</v>
      </c>
      <c r="D23" s="28" t="str">
        <f t="shared" si="1"/>
        <v/>
      </c>
      <c r="E23" s="60" t="s">
        <v>91</v>
      </c>
    </row>
    <row r="24" spans="1:15" x14ac:dyDescent="0.25">
      <c r="A24">
        <v>21</v>
      </c>
      <c r="C24" s="28">
        <f t="shared" ref="C24:C26" si="3">$C$22+(A24-$A$22)*($C$27-$C$22)/($A$27-$A$22)</f>
        <v>213.6</v>
      </c>
      <c r="D24" s="28" t="str">
        <f t="shared" si="1"/>
        <v/>
      </c>
      <c r="E24" s="60" t="s">
        <v>91</v>
      </c>
    </row>
    <row r="25" spans="1:15" x14ac:dyDescent="0.25">
      <c r="A25">
        <v>22</v>
      </c>
      <c r="C25" s="28">
        <f t="shared" si="3"/>
        <v>255.4</v>
      </c>
      <c r="D25" s="28" t="str">
        <f t="shared" si="1"/>
        <v/>
      </c>
      <c r="E25" s="60" t="s">
        <v>91</v>
      </c>
    </row>
    <row r="26" spans="1:15" x14ac:dyDescent="0.25">
      <c r="A26">
        <v>23</v>
      </c>
      <c r="C26" s="28">
        <f t="shared" si="3"/>
        <v>297.2</v>
      </c>
      <c r="D26" s="28" t="str">
        <f t="shared" si="1"/>
        <v/>
      </c>
      <c r="E26" s="60" t="s">
        <v>91</v>
      </c>
    </row>
    <row r="27" spans="1:15" x14ac:dyDescent="0.25">
      <c r="A27">
        <v>24</v>
      </c>
      <c r="C27" s="28">
        <f>C28+105</f>
        <v>339</v>
      </c>
      <c r="D27" s="28" t="str">
        <f t="shared" si="1"/>
        <v/>
      </c>
      <c r="E27" s="60" t="s">
        <v>91</v>
      </c>
    </row>
    <row r="28" spans="1:15" x14ac:dyDescent="0.25">
      <c r="A28">
        <v>24</v>
      </c>
      <c r="C28" s="28">
        <v>234</v>
      </c>
      <c r="D28" s="28">
        <f t="shared" si="1"/>
        <v>105</v>
      </c>
      <c r="E28" s="60">
        <v>105</v>
      </c>
    </row>
    <row r="29" spans="1:15" x14ac:dyDescent="0.25">
      <c r="A29">
        <v>25</v>
      </c>
      <c r="C29" s="28">
        <f>$C$28+(A29-$A$28)*($C$33-$C$28)/($A$33-$A$28)</f>
        <v>280.2</v>
      </c>
      <c r="D29" s="28" t="str">
        <f t="shared" si="1"/>
        <v/>
      </c>
      <c r="E29" s="60" t="s">
        <v>91</v>
      </c>
    </row>
    <row r="30" spans="1:15" x14ac:dyDescent="0.25">
      <c r="A30">
        <v>26</v>
      </c>
      <c r="C30" s="28">
        <f t="shared" ref="C30:C32" si="4">$C$28+(A30-$A$28)*($C$33-$C$28)/($A$33-$A$28)</f>
        <v>326.39999999999998</v>
      </c>
      <c r="D30" s="28" t="str">
        <f t="shared" si="1"/>
        <v/>
      </c>
      <c r="E30" s="60" t="s">
        <v>91</v>
      </c>
    </row>
    <row r="31" spans="1:15" x14ac:dyDescent="0.25">
      <c r="A31">
        <v>27</v>
      </c>
      <c r="C31" s="28">
        <f t="shared" si="4"/>
        <v>372.6</v>
      </c>
      <c r="D31" s="28" t="str">
        <f t="shared" si="1"/>
        <v/>
      </c>
      <c r="E31" s="60" t="s">
        <v>91</v>
      </c>
    </row>
    <row r="32" spans="1:15" x14ac:dyDescent="0.25">
      <c r="A32">
        <v>28</v>
      </c>
      <c r="C32" s="28">
        <f t="shared" si="4"/>
        <v>418.8</v>
      </c>
      <c r="D32" s="28" t="str">
        <f t="shared" si="1"/>
        <v/>
      </c>
      <c r="E32" s="60" t="s">
        <v>91</v>
      </c>
    </row>
    <row r="33" spans="1:5" x14ac:dyDescent="0.25">
      <c r="A33">
        <v>29</v>
      </c>
      <c r="C33" s="28">
        <f>C34+105</f>
        <v>465</v>
      </c>
      <c r="D33" s="28" t="str">
        <f t="shared" si="1"/>
        <v/>
      </c>
      <c r="E33" s="60" t="s">
        <v>91</v>
      </c>
    </row>
    <row r="34" spans="1:5" x14ac:dyDescent="0.25">
      <c r="A34">
        <v>29</v>
      </c>
      <c r="C34" s="28">
        <v>360</v>
      </c>
      <c r="D34" s="28">
        <f t="shared" si="1"/>
        <v>105</v>
      </c>
      <c r="E34" s="60">
        <v>105</v>
      </c>
    </row>
    <row r="35" spans="1:5" x14ac:dyDescent="0.25">
      <c r="A35">
        <v>30</v>
      </c>
      <c r="C35" s="28">
        <f>$C$34+(A35-$A$34)*($C$39-$C$34)/($A$39-$A$34)</f>
        <v>405.2</v>
      </c>
      <c r="D35" s="28" t="str">
        <f t="shared" si="1"/>
        <v/>
      </c>
      <c r="E35" s="60" t="s">
        <v>91</v>
      </c>
    </row>
    <row r="36" spans="1:5" x14ac:dyDescent="0.25">
      <c r="A36">
        <v>31</v>
      </c>
      <c r="C36" s="28">
        <f t="shared" ref="C36:C38" si="5">$C$34+(A36-$A$34)*($C$39-$C$34)/($A$39-$A$34)</f>
        <v>450.4</v>
      </c>
      <c r="D36" s="28" t="str">
        <f t="shared" si="1"/>
        <v/>
      </c>
      <c r="E36" s="60" t="s">
        <v>91</v>
      </c>
    </row>
    <row r="37" spans="1:5" x14ac:dyDescent="0.25">
      <c r="A37">
        <v>32</v>
      </c>
      <c r="C37" s="28">
        <f t="shared" si="5"/>
        <v>495.6</v>
      </c>
      <c r="D37" s="28" t="str">
        <f t="shared" si="1"/>
        <v/>
      </c>
      <c r="E37" s="60" t="s">
        <v>91</v>
      </c>
    </row>
    <row r="38" spans="1:5" x14ac:dyDescent="0.25">
      <c r="A38">
        <v>33</v>
      </c>
      <c r="C38" s="28">
        <f t="shared" si="5"/>
        <v>540.79999999999995</v>
      </c>
      <c r="D38" s="28" t="str">
        <f t="shared" si="1"/>
        <v/>
      </c>
      <c r="E38" s="60" t="s">
        <v>91</v>
      </c>
    </row>
    <row r="39" spans="1:5" x14ac:dyDescent="0.25">
      <c r="A39">
        <v>34</v>
      </c>
      <c r="C39" s="28">
        <f>C40+105</f>
        <v>586</v>
      </c>
      <c r="D39" s="28" t="str">
        <f t="shared" si="1"/>
        <v/>
      </c>
      <c r="E39" s="60" t="s">
        <v>91</v>
      </c>
    </row>
    <row r="40" spans="1:5" x14ac:dyDescent="0.25">
      <c r="A40">
        <v>34</v>
      </c>
      <c r="C40" s="28">
        <v>481</v>
      </c>
      <c r="D40" s="28">
        <f t="shared" si="1"/>
        <v>105</v>
      </c>
      <c r="E40" s="60">
        <v>105</v>
      </c>
    </row>
    <row r="41" spans="1:5" x14ac:dyDescent="0.25">
      <c r="A41">
        <v>35</v>
      </c>
      <c r="C41" s="28">
        <f>$C$40+(A41-$A$40)*($C$45-$C$40)/($A$45-$A$40)</f>
        <v>522.6</v>
      </c>
      <c r="D41" s="28" t="str">
        <f t="shared" si="1"/>
        <v/>
      </c>
      <c r="E41" s="60" t="s">
        <v>91</v>
      </c>
    </row>
    <row r="42" spans="1:5" x14ac:dyDescent="0.25">
      <c r="A42">
        <v>36</v>
      </c>
      <c r="C42" s="28">
        <f t="shared" ref="C42:C44" si="6">$C$40+(A42-$A$40)*($C$45-$C$40)/($A$45-$A$40)</f>
        <v>564.20000000000005</v>
      </c>
      <c r="D42" s="28" t="str">
        <f t="shared" si="1"/>
        <v/>
      </c>
      <c r="E42" s="60" t="s">
        <v>91</v>
      </c>
    </row>
    <row r="43" spans="1:5" x14ac:dyDescent="0.25">
      <c r="A43">
        <v>37</v>
      </c>
      <c r="C43" s="28">
        <f t="shared" si="6"/>
        <v>605.79999999999995</v>
      </c>
      <c r="D43" s="28" t="str">
        <f t="shared" si="1"/>
        <v/>
      </c>
      <c r="E43" s="60" t="s">
        <v>91</v>
      </c>
    </row>
    <row r="44" spans="1:5" x14ac:dyDescent="0.25">
      <c r="A44">
        <v>38</v>
      </c>
      <c r="C44" s="28">
        <f t="shared" si="6"/>
        <v>647.4</v>
      </c>
      <c r="D44" s="28" t="str">
        <f t="shared" si="1"/>
        <v/>
      </c>
      <c r="E44" s="60" t="s">
        <v>91</v>
      </c>
    </row>
    <row r="45" spans="1:5" x14ac:dyDescent="0.25">
      <c r="A45">
        <v>39</v>
      </c>
      <c r="C45" s="28">
        <f>C46+105</f>
        <v>689</v>
      </c>
      <c r="D45" s="28" t="str">
        <f t="shared" si="1"/>
        <v/>
      </c>
      <c r="E45" s="60" t="s">
        <v>91</v>
      </c>
    </row>
    <row r="46" spans="1:5" x14ac:dyDescent="0.25">
      <c r="A46">
        <v>39</v>
      </c>
      <c r="C46" s="28">
        <v>584</v>
      </c>
      <c r="D46" s="28">
        <f t="shared" si="1"/>
        <v>105</v>
      </c>
      <c r="E46" s="60">
        <v>105</v>
      </c>
    </row>
    <row r="47" spans="1:5" x14ac:dyDescent="0.25">
      <c r="A47">
        <v>40</v>
      </c>
      <c r="C47" s="28">
        <f>$C$46+(A47-$A$46)*($C$51-$C$46)/($A$51-$A$46)</f>
        <v>621.79999999999995</v>
      </c>
      <c r="D47" s="28" t="str">
        <f t="shared" si="1"/>
        <v/>
      </c>
      <c r="E47" s="60" t="s">
        <v>91</v>
      </c>
    </row>
    <row r="48" spans="1:5" x14ac:dyDescent="0.25">
      <c r="A48">
        <v>41</v>
      </c>
      <c r="C48" s="28">
        <f t="shared" ref="C48:C50" si="7">$C$46+(A48-$A$46)*($C$51-$C$46)/($A$51-$A$46)</f>
        <v>659.6</v>
      </c>
      <c r="D48" s="28" t="str">
        <f t="shared" si="1"/>
        <v/>
      </c>
      <c r="E48" s="60" t="s">
        <v>91</v>
      </c>
    </row>
    <row r="49" spans="1:13" x14ac:dyDescent="0.25">
      <c r="A49">
        <v>42</v>
      </c>
      <c r="C49" s="28">
        <f t="shared" si="7"/>
        <v>697.4</v>
      </c>
      <c r="D49" s="28" t="str">
        <f t="shared" si="1"/>
        <v/>
      </c>
      <c r="E49" s="60" t="s">
        <v>91</v>
      </c>
    </row>
    <row r="50" spans="1:13" x14ac:dyDescent="0.25">
      <c r="A50">
        <v>43</v>
      </c>
      <c r="C50" s="28">
        <f t="shared" si="7"/>
        <v>735.2</v>
      </c>
      <c r="D50" s="28" t="str">
        <f t="shared" si="1"/>
        <v/>
      </c>
      <c r="E50" s="60" t="s">
        <v>91</v>
      </c>
    </row>
    <row r="51" spans="1:13" x14ac:dyDescent="0.25">
      <c r="A51">
        <v>44</v>
      </c>
      <c r="C51" s="28">
        <f>C52+86</f>
        <v>773</v>
      </c>
      <c r="D51" s="28" t="str">
        <f t="shared" si="1"/>
        <v/>
      </c>
      <c r="E51" s="60" t="s">
        <v>91</v>
      </c>
    </row>
    <row r="52" spans="1:13" x14ac:dyDescent="0.25">
      <c r="A52">
        <v>44</v>
      </c>
      <c r="C52" s="28">
        <v>687</v>
      </c>
      <c r="D52" s="28">
        <f t="shared" si="1"/>
        <v>86</v>
      </c>
      <c r="E52" s="60">
        <v>86</v>
      </c>
    </row>
    <row r="53" spans="1:13" x14ac:dyDescent="0.25">
      <c r="A53">
        <v>45</v>
      </c>
      <c r="C53" s="28">
        <f>$C$52+(A53-$A$52)*($C$57-$C$52)/($A$57-$A$52)</f>
        <v>721</v>
      </c>
      <c r="D53" s="28" t="str">
        <f t="shared" si="1"/>
        <v/>
      </c>
      <c r="E53" s="60" t="s">
        <v>91</v>
      </c>
      <c r="I53" s="32"/>
      <c r="J53" s="32"/>
      <c r="K53" s="32"/>
      <c r="L53" s="32"/>
      <c r="M53" s="32"/>
    </row>
    <row r="54" spans="1:13" x14ac:dyDescent="0.25">
      <c r="A54">
        <v>46</v>
      </c>
      <c r="C54" s="28">
        <f t="shared" ref="C54:C56" si="8">$C$52+(A54-$A$52)*($C$57-$C$52)/($A$57-$A$52)</f>
        <v>755</v>
      </c>
      <c r="D54" s="28" t="str">
        <f t="shared" si="1"/>
        <v/>
      </c>
      <c r="E54" s="60" t="s">
        <v>91</v>
      </c>
      <c r="I54" s="32"/>
      <c r="J54" s="32"/>
      <c r="K54" s="32"/>
      <c r="L54" s="32"/>
      <c r="M54" s="32"/>
    </row>
    <row r="55" spans="1:13" x14ac:dyDescent="0.25">
      <c r="A55">
        <v>47</v>
      </c>
      <c r="C55" s="28">
        <f t="shared" si="8"/>
        <v>789</v>
      </c>
      <c r="D55" s="28" t="str">
        <f t="shared" si="1"/>
        <v/>
      </c>
      <c r="E55" s="60" t="s">
        <v>91</v>
      </c>
      <c r="I55" s="32"/>
      <c r="J55" s="32"/>
      <c r="K55" s="32"/>
      <c r="L55" s="32"/>
      <c r="M55" s="32"/>
    </row>
    <row r="56" spans="1:13" x14ac:dyDescent="0.25">
      <c r="A56">
        <v>48</v>
      </c>
      <c r="C56" s="28">
        <f t="shared" si="8"/>
        <v>823</v>
      </c>
      <c r="D56" s="28" t="str">
        <f t="shared" si="1"/>
        <v/>
      </c>
      <c r="E56" s="60" t="s">
        <v>91</v>
      </c>
      <c r="I56" s="32"/>
      <c r="J56" s="32"/>
      <c r="K56" s="33"/>
      <c r="L56" s="32"/>
      <c r="M56" s="32"/>
    </row>
    <row r="57" spans="1:13" x14ac:dyDescent="0.25">
      <c r="A57">
        <v>49</v>
      </c>
      <c r="C57" s="28">
        <f>C58+73</f>
        <v>857</v>
      </c>
      <c r="D57" s="28" t="str">
        <f t="shared" si="1"/>
        <v/>
      </c>
      <c r="E57" s="60" t="s">
        <v>91</v>
      </c>
      <c r="I57" s="32"/>
      <c r="J57" s="32"/>
      <c r="K57" s="33"/>
      <c r="L57" s="32"/>
      <c r="M57" s="32"/>
    </row>
    <row r="58" spans="1:13" x14ac:dyDescent="0.25">
      <c r="A58">
        <v>49</v>
      </c>
      <c r="C58" s="28">
        <v>784</v>
      </c>
      <c r="D58" s="28">
        <f t="shared" si="1"/>
        <v>73</v>
      </c>
      <c r="E58" s="60">
        <v>73</v>
      </c>
      <c r="I58" s="32"/>
      <c r="J58" s="32"/>
      <c r="K58" s="33"/>
      <c r="L58" s="32"/>
      <c r="M58" s="32"/>
    </row>
    <row r="59" spans="1:13" x14ac:dyDescent="0.25">
      <c r="A59">
        <v>50</v>
      </c>
      <c r="C59" s="28">
        <f>$C$58+(A59-$A$58)*($C$63-$C$58)/($A$63-$A$58)</f>
        <v>813.8</v>
      </c>
      <c r="D59" s="28" t="str">
        <f t="shared" si="1"/>
        <v/>
      </c>
      <c r="E59" s="60" t="s">
        <v>91</v>
      </c>
      <c r="I59" s="32"/>
      <c r="J59" s="32"/>
      <c r="K59" s="33"/>
      <c r="L59" s="32"/>
      <c r="M59" s="32"/>
    </row>
    <row r="60" spans="1:13" x14ac:dyDescent="0.25">
      <c r="A60">
        <v>51</v>
      </c>
      <c r="C60" s="28">
        <f t="shared" ref="C60:C62" si="9">$C$58+(A60-$A$58)*($C$63-$C$58)/($A$63-$A$58)</f>
        <v>843.6</v>
      </c>
      <c r="D60" s="28" t="str">
        <f t="shared" si="1"/>
        <v/>
      </c>
      <c r="E60" s="60" t="s">
        <v>91</v>
      </c>
      <c r="I60" s="32"/>
      <c r="J60" s="32"/>
      <c r="K60" s="33"/>
      <c r="L60" s="32"/>
      <c r="M60" s="32"/>
    </row>
    <row r="61" spans="1:13" x14ac:dyDescent="0.25">
      <c r="A61">
        <v>52</v>
      </c>
      <c r="C61" s="28">
        <f t="shared" si="9"/>
        <v>873.4</v>
      </c>
      <c r="D61" s="28" t="str">
        <f t="shared" si="1"/>
        <v/>
      </c>
      <c r="E61" s="60" t="s">
        <v>91</v>
      </c>
      <c r="I61" s="32"/>
      <c r="J61" s="32"/>
      <c r="K61" s="32"/>
      <c r="L61" s="32"/>
      <c r="M61" s="32"/>
    </row>
    <row r="62" spans="1:13" x14ac:dyDescent="0.25">
      <c r="A62">
        <v>53</v>
      </c>
      <c r="C62" s="28">
        <f t="shared" si="9"/>
        <v>903.2</v>
      </c>
      <c r="D62" s="28" t="str">
        <f t="shared" si="1"/>
        <v/>
      </c>
      <c r="E62" s="60" t="s">
        <v>91</v>
      </c>
      <c r="I62" s="32"/>
      <c r="J62" s="32"/>
      <c r="K62" s="32"/>
      <c r="L62" s="32"/>
      <c r="M62" s="32"/>
    </row>
    <row r="63" spans="1:13" x14ac:dyDescent="0.25">
      <c r="A63">
        <v>54</v>
      </c>
      <c r="C63" s="28">
        <v>933</v>
      </c>
      <c r="D63" s="28" t="str">
        <f t="shared" si="1"/>
        <v/>
      </c>
      <c r="E63" s="60" t="s">
        <v>91</v>
      </c>
      <c r="I63" s="32"/>
      <c r="J63" s="32"/>
      <c r="K63" s="32"/>
      <c r="L63" s="32"/>
      <c r="M63" s="32"/>
    </row>
    <row r="64" spans="1:13" x14ac:dyDescent="0.25">
      <c r="A64">
        <v>54</v>
      </c>
      <c r="C64" s="28">
        <v>933</v>
      </c>
      <c r="D64" s="28" t="str">
        <f t="shared" si="1"/>
        <v/>
      </c>
      <c r="E64" s="60">
        <v>64</v>
      </c>
      <c r="I64" s="32"/>
      <c r="J64" s="32"/>
      <c r="K64" s="32"/>
      <c r="L64" s="32"/>
      <c r="M64" s="32"/>
    </row>
    <row r="65" spans="1:13" x14ac:dyDescent="0.25">
      <c r="A65">
        <v>55</v>
      </c>
      <c r="C65" s="28">
        <f>$C$64+(A65-$A$64)*($C$69-$C$64)/($A$69-$A$64)</f>
        <v>982</v>
      </c>
      <c r="D65" s="28" t="str">
        <f t="shared" si="1"/>
        <v/>
      </c>
      <c r="E65" s="60" t="s">
        <v>91</v>
      </c>
      <c r="I65" s="32"/>
      <c r="J65" s="32"/>
      <c r="K65" s="32"/>
      <c r="L65" s="32"/>
      <c r="M65" s="32"/>
    </row>
    <row r="66" spans="1:13" x14ac:dyDescent="0.25">
      <c r="A66">
        <v>56</v>
      </c>
      <c r="C66" s="28">
        <f t="shared" ref="C66:C68" si="10">$C$64+(A66-$A$64)*($C$69-$C$64)/($A$69-$A$64)</f>
        <v>1031</v>
      </c>
      <c r="D66" s="28" t="str">
        <f t="shared" si="1"/>
        <v/>
      </c>
      <c r="E66" s="60" t="s">
        <v>91</v>
      </c>
      <c r="I66" s="32"/>
      <c r="J66" s="32"/>
      <c r="K66" s="32"/>
      <c r="L66" s="32"/>
      <c r="M66" s="32"/>
    </row>
    <row r="67" spans="1:13" x14ac:dyDescent="0.25">
      <c r="A67">
        <v>57</v>
      </c>
      <c r="C67" s="28">
        <f t="shared" si="10"/>
        <v>1080</v>
      </c>
      <c r="D67" s="28" t="str">
        <f t="shared" si="1"/>
        <v/>
      </c>
      <c r="E67" s="60" t="s">
        <v>91</v>
      </c>
    </row>
    <row r="68" spans="1:13" x14ac:dyDescent="0.25">
      <c r="A68">
        <v>58</v>
      </c>
      <c r="C68" s="28">
        <f t="shared" si="10"/>
        <v>1129</v>
      </c>
      <c r="D68" s="28" t="str">
        <f t="shared" ref="D68:D93" si="11">IF(C67-C68&gt;0,C67-C68,"")</f>
        <v/>
      </c>
      <c r="E68" s="60" t="s">
        <v>91</v>
      </c>
    </row>
    <row r="69" spans="1:13" x14ac:dyDescent="0.25">
      <c r="A69">
        <v>59</v>
      </c>
      <c r="C69" s="28">
        <v>1178</v>
      </c>
      <c r="D69" s="28" t="str">
        <f t="shared" si="11"/>
        <v/>
      </c>
      <c r="E69" s="60"/>
    </row>
    <row r="70" spans="1:13" x14ac:dyDescent="0.25">
      <c r="A70">
        <v>59</v>
      </c>
      <c r="C70" s="28">
        <v>1057</v>
      </c>
      <c r="D70" s="28">
        <f t="shared" si="11"/>
        <v>121</v>
      </c>
      <c r="E70" s="60">
        <v>57</v>
      </c>
    </row>
    <row r="71" spans="1:13" x14ac:dyDescent="0.25">
      <c r="A71">
        <v>60</v>
      </c>
      <c r="C71" s="28">
        <f>$C$70+(A71-$A$70)*($C$75-$C$70)/($A$75-$A$70)</f>
        <v>1068</v>
      </c>
      <c r="D71" s="28" t="str">
        <f t="shared" si="11"/>
        <v/>
      </c>
      <c r="E71" s="60" t="s">
        <v>91</v>
      </c>
    </row>
    <row r="72" spans="1:13" x14ac:dyDescent="0.25">
      <c r="A72">
        <v>61</v>
      </c>
      <c r="C72" s="28">
        <f t="shared" ref="C72:C74" si="12">$C$70+(A72-$A$70)*($C$75-$C$70)/($A$75-$A$70)</f>
        <v>1079</v>
      </c>
      <c r="D72" s="28" t="str">
        <f t="shared" si="11"/>
        <v/>
      </c>
      <c r="E72" s="60" t="s">
        <v>91</v>
      </c>
    </row>
    <row r="73" spans="1:13" x14ac:dyDescent="0.25">
      <c r="A73">
        <v>62</v>
      </c>
      <c r="C73" s="28">
        <f t="shared" si="12"/>
        <v>1090</v>
      </c>
      <c r="D73" s="28" t="str">
        <f t="shared" si="11"/>
        <v/>
      </c>
      <c r="E73" s="60" t="s">
        <v>91</v>
      </c>
    </row>
    <row r="74" spans="1:13" x14ac:dyDescent="0.25">
      <c r="A74">
        <v>63</v>
      </c>
      <c r="C74" s="28">
        <f t="shared" si="12"/>
        <v>1101</v>
      </c>
      <c r="D74" s="28" t="str">
        <f t="shared" si="11"/>
        <v/>
      </c>
      <c r="E74" s="60" t="s">
        <v>91</v>
      </c>
    </row>
    <row r="75" spans="1:13" x14ac:dyDescent="0.25">
      <c r="A75">
        <v>64</v>
      </c>
      <c r="C75" s="28">
        <v>1112</v>
      </c>
      <c r="D75" s="28" t="str">
        <f t="shared" si="11"/>
        <v/>
      </c>
      <c r="E75" s="61"/>
    </row>
    <row r="76" spans="1:13" x14ac:dyDescent="0.25">
      <c r="A76">
        <v>64</v>
      </c>
      <c r="C76" s="28">
        <v>1004</v>
      </c>
      <c r="D76" s="28">
        <f t="shared" si="11"/>
        <v>108</v>
      </c>
      <c r="E76" s="60">
        <v>51</v>
      </c>
    </row>
    <row r="77" spans="1:13" x14ac:dyDescent="0.25">
      <c r="A77">
        <v>65</v>
      </c>
      <c r="C77" s="28">
        <f>$C$76+(A77-$A$76)*($C$81-$C$76)/($A$81-$A$76)</f>
        <v>1023.2</v>
      </c>
      <c r="D77" s="28" t="str">
        <f t="shared" si="11"/>
        <v/>
      </c>
      <c r="E77" s="60" t="s">
        <v>91</v>
      </c>
    </row>
    <row r="78" spans="1:13" x14ac:dyDescent="0.25">
      <c r="A78">
        <v>66</v>
      </c>
      <c r="C78" s="28">
        <f t="shared" ref="C78:C80" si="13">$C$76+(A78-$A$76)*($C$81-$C$76)/($A$81-$A$76)</f>
        <v>1042.4000000000001</v>
      </c>
      <c r="D78" s="28" t="str">
        <f t="shared" si="11"/>
        <v/>
      </c>
      <c r="E78" s="60" t="s">
        <v>91</v>
      </c>
    </row>
    <row r="79" spans="1:13" x14ac:dyDescent="0.25">
      <c r="A79">
        <v>67</v>
      </c>
      <c r="C79" s="28">
        <f t="shared" si="13"/>
        <v>1061.5999999999999</v>
      </c>
      <c r="D79" s="28" t="str">
        <f t="shared" si="11"/>
        <v/>
      </c>
      <c r="E79" s="60" t="s">
        <v>91</v>
      </c>
    </row>
    <row r="80" spans="1:13" x14ac:dyDescent="0.25">
      <c r="A80">
        <v>68</v>
      </c>
      <c r="C80" s="28">
        <f t="shared" si="13"/>
        <v>1080.8</v>
      </c>
      <c r="D80" s="28" t="str">
        <f t="shared" si="11"/>
        <v/>
      </c>
      <c r="E80" s="60" t="s">
        <v>91</v>
      </c>
    </row>
    <row r="81" spans="1:5" x14ac:dyDescent="0.25">
      <c r="A81">
        <v>69</v>
      </c>
      <c r="C81" s="28">
        <v>1100</v>
      </c>
      <c r="D81" s="28" t="str">
        <f t="shared" si="11"/>
        <v/>
      </c>
      <c r="E81" s="60" t="s">
        <v>91</v>
      </c>
    </row>
    <row r="82" spans="1:5" x14ac:dyDescent="0.25">
      <c r="A82">
        <v>69</v>
      </c>
      <c r="C82">
        <f>1055+45</f>
        <v>1100</v>
      </c>
      <c r="D82" s="28" t="str">
        <f t="shared" si="11"/>
        <v/>
      </c>
      <c r="E82" s="60">
        <v>45</v>
      </c>
    </row>
    <row r="83" spans="1:5" x14ac:dyDescent="0.25">
      <c r="A83">
        <v>70</v>
      </c>
      <c r="C83" s="28">
        <f>$C$82+(A83-$A$82)*($C$87-$C$82)/($A$87-$A$82)</f>
        <v>1115.4000000000001</v>
      </c>
      <c r="D83" s="28" t="str">
        <f t="shared" si="11"/>
        <v/>
      </c>
      <c r="E83" s="60" t="s">
        <v>91</v>
      </c>
    </row>
    <row r="84" spans="1:5" x14ac:dyDescent="0.25">
      <c r="A84">
        <v>71</v>
      </c>
      <c r="C84" s="28">
        <f t="shared" ref="C84:C86" si="14">$C$82+(A84-$A$82)*($C$87-$C$82)/($A$87-$A$82)</f>
        <v>1130.8</v>
      </c>
      <c r="D84" s="28" t="str">
        <f t="shared" si="11"/>
        <v/>
      </c>
      <c r="E84" s="60" t="s">
        <v>91</v>
      </c>
    </row>
    <row r="85" spans="1:5" x14ac:dyDescent="0.25">
      <c r="A85">
        <v>72</v>
      </c>
      <c r="C85" s="28">
        <f t="shared" si="14"/>
        <v>1146.2</v>
      </c>
      <c r="D85" s="28" t="str">
        <f t="shared" si="11"/>
        <v/>
      </c>
      <c r="E85" s="60" t="s">
        <v>91</v>
      </c>
    </row>
    <row r="86" spans="1:5" x14ac:dyDescent="0.25">
      <c r="A86">
        <v>73</v>
      </c>
      <c r="C86" s="28">
        <f t="shared" si="14"/>
        <v>1161.5999999999999</v>
      </c>
      <c r="D86" s="28" t="str">
        <f t="shared" si="11"/>
        <v/>
      </c>
      <c r="E86" s="60" t="s">
        <v>91</v>
      </c>
    </row>
    <row r="87" spans="1:5" x14ac:dyDescent="0.25">
      <c r="A87">
        <v>74</v>
      </c>
      <c r="C87" s="28">
        <v>1177</v>
      </c>
      <c r="D87" s="28" t="str">
        <f t="shared" si="11"/>
        <v/>
      </c>
      <c r="E87" s="61"/>
    </row>
    <row r="88" spans="1:5" x14ac:dyDescent="0.25">
      <c r="A88">
        <v>74</v>
      </c>
      <c r="C88" s="28">
        <v>1092</v>
      </c>
      <c r="D88" s="28">
        <f t="shared" si="11"/>
        <v>85</v>
      </c>
      <c r="E88" s="60">
        <v>40</v>
      </c>
    </row>
    <row r="89" spans="1:5" x14ac:dyDescent="0.25">
      <c r="A89">
        <v>75</v>
      </c>
      <c r="C89" s="28">
        <f>$C$88+(A89-$A$88)*($C$93-$C$88)/($A$93-$A$88)</f>
        <v>1104.4000000000001</v>
      </c>
      <c r="D89" s="28" t="str">
        <f t="shared" si="11"/>
        <v/>
      </c>
      <c r="E89" s="60" t="s">
        <v>91</v>
      </c>
    </row>
    <row r="90" spans="1:5" x14ac:dyDescent="0.25">
      <c r="A90">
        <v>76</v>
      </c>
      <c r="C90" s="28">
        <f t="shared" ref="C90:C92" si="15">$C$88+(A90-$A$88)*($C$93-$C$88)/($A$93-$A$88)</f>
        <v>1116.8</v>
      </c>
      <c r="D90" s="28" t="str">
        <f t="shared" si="11"/>
        <v/>
      </c>
      <c r="E90" s="60" t="s">
        <v>91</v>
      </c>
    </row>
    <row r="91" spans="1:5" x14ac:dyDescent="0.25">
      <c r="A91">
        <v>77</v>
      </c>
      <c r="C91" s="28">
        <f t="shared" si="15"/>
        <v>1129.2</v>
      </c>
      <c r="D91" s="28" t="str">
        <f t="shared" si="11"/>
        <v/>
      </c>
      <c r="E91" s="60" t="s">
        <v>91</v>
      </c>
    </row>
    <row r="92" spans="1:5" x14ac:dyDescent="0.25">
      <c r="A92">
        <v>78</v>
      </c>
      <c r="C92" s="28">
        <f t="shared" si="15"/>
        <v>1141.5999999999999</v>
      </c>
      <c r="D92" s="28" t="str">
        <f t="shared" si="11"/>
        <v/>
      </c>
      <c r="E92" s="60" t="s">
        <v>91</v>
      </c>
    </row>
    <row r="93" spans="1:5" x14ac:dyDescent="0.25">
      <c r="A93">
        <v>79</v>
      </c>
      <c r="C93" s="28">
        <f>1118+36</f>
        <v>1154</v>
      </c>
      <c r="D93" s="28" t="str">
        <f t="shared" si="11"/>
        <v/>
      </c>
      <c r="E93" s="60" t="s">
        <v>91</v>
      </c>
    </row>
    <row r="94" spans="1:5" x14ac:dyDescent="0.25">
      <c r="C94" s="28"/>
      <c r="D94" s="28"/>
    </row>
    <row r="95" spans="1:5" x14ac:dyDescent="0.25">
      <c r="C95" s="28"/>
      <c r="D95" s="28"/>
    </row>
    <row r="96" spans="1:5" x14ac:dyDescent="0.25">
      <c r="C96" s="28"/>
      <c r="D96" s="28"/>
    </row>
    <row r="97" spans="3:4" x14ac:dyDescent="0.25">
      <c r="C97" s="28"/>
      <c r="D97" s="28"/>
    </row>
    <row r="98" spans="3:4" x14ac:dyDescent="0.25">
      <c r="C98" s="28"/>
      <c r="D98" s="28"/>
    </row>
    <row r="99" spans="3:4" x14ac:dyDescent="0.25">
      <c r="C99" s="28"/>
      <c r="D99" s="28"/>
    </row>
    <row r="100" spans="3:4" x14ac:dyDescent="0.25">
      <c r="C100" s="28"/>
      <c r="D100" s="28"/>
    </row>
    <row r="101" spans="3:4" x14ac:dyDescent="0.25">
      <c r="C101" s="28"/>
      <c r="D101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L7" sqref="L7:L20"/>
    </sheetView>
  </sheetViews>
  <sheetFormatPr baseColWidth="10" defaultRowHeight="15" x14ac:dyDescent="0.25"/>
  <sheetData>
    <row r="1" spans="1:15" ht="21" x14ac:dyDescent="0.25">
      <c r="A1" s="34" t="s">
        <v>46</v>
      </c>
      <c r="B1" s="34" t="s">
        <v>47</v>
      </c>
      <c r="C1" s="34" t="s">
        <v>48</v>
      </c>
      <c r="D1" s="34" t="s">
        <v>49</v>
      </c>
      <c r="E1" s="34" t="s">
        <v>50</v>
      </c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5">
      <c r="A2" s="35" t="s">
        <v>51</v>
      </c>
      <c r="B2" s="36">
        <v>30</v>
      </c>
      <c r="C2" s="35" t="s">
        <v>52</v>
      </c>
      <c r="D2" s="36">
        <v>1.8</v>
      </c>
      <c r="E2" s="36">
        <v>1</v>
      </c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1" x14ac:dyDescent="0.25">
      <c r="A3" s="34" t="s">
        <v>53</v>
      </c>
      <c r="B3" s="34" t="s">
        <v>54</v>
      </c>
      <c r="C3" s="34" t="s">
        <v>55</v>
      </c>
      <c r="D3" s="34" t="s">
        <v>56</v>
      </c>
      <c r="E3" s="34" t="s">
        <v>57</v>
      </c>
      <c r="F3" s="34" t="s">
        <v>58</v>
      </c>
      <c r="G3" s="34" t="s">
        <v>59</v>
      </c>
      <c r="H3" s="34" t="s">
        <v>60</v>
      </c>
      <c r="I3" s="35"/>
      <c r="J3" s="35"/>
      <c r="K3" s="35"/>
      <c r="L3" s="35"/>
      <c r="M3" s="35"/>
      <c r="N3" s="35"/>
      <c r="O3" s="35"/>
    </row>
    <row r="4" spans="1:15" x14ac:dyDescent="0.25">
      <c r="A4" s="35" t="s">
        <v>61</v>
      </c>
      <c r="B4" s="35" t="s">
        <v>62</v>
      </c>
      <c r="C4" s="35" t="s">
        <v>63</v>
      </c>
      <c r="D4" s="35" t="s">
        <v>64</v>
      </c>
      <c r="E4" s="35" t="s">
        <v>65</v>
      </c>
      <c r="F4" s="35" t="s">
        <v>62</v>
      </c>
      <c r="G4" s="35" t="s">
        <v>66</v>
      </c>
      <c r="H4" s="35" t="s">
        <v>66</v>
      </c>
      <c r="I4" s="35"/>
      <c r="J4" s="35"/>
      <c r="K4" s="35"/>
      <c r="L4" s="35"/>
      <c r="M4" s="35"/>
      <c r="N4" s="35"/>
      <c r="O4" s="35"/>
    </row>
    <row r="5" spans="1:15" x14ac:dyDescent="0.25">
      <c r="A5" s="34"/>
      <c r="B5" s="34"/>
      <c r="C5" s="74" t="s">
        <v>67</v>
      </c>
      <c r="D5" s="74"/>
      <c r="E5" s="74"/>
      <c r="F5" s="74"/>
      <c r="G5" s="74"/>
      <c r="H5" s="74" t="s">
        <v>68</v>
      </c>
      <c r="I5" s="74"/>
      <c r="J5" s="74"/>
      <c r="K5" s="74"/>
      <c r="L5" s="74"/>
      <c r="M5" s="74" t="s">
        <v>69</v>
      </c>
      <c r="N5" s="74"/>
      <c r="O5" s="37" t="s">
        <v>70</v>
      </c>
    </row>
    <row r="6" spans="1:15" ht="21" x14ac:dyDescent="0.25">
      <c r="A6" s="37" t="s">
        <v>71</v>
      </c>
      <c r="B6" s="37" t="s">
        <v>72</v>
      </c>
      <c r="C6" s="37" t="s">
        <v>73</v>
      </c>
      <c r="D6" s="37" t="s">
        <v>74</v>
      </c>
      <c r="E6" s="37" t="s">
        <v>75</v>
      </c>
      <c r="F6" s="37" t="s">
        <v>76</v>
      </c>
      <c r="G6" s="37" t="s">
        <v>77</v>
      </c>
      <c r="H6" s="37" t="s">
        <v>73</v>
      </c>
      <c r="I6" s="37" t="s">
        <v>74</v>
      </c>
      <c r="J6" s="37" t="s">
        <v>75</v>
      </c>
      <c r="K6" s="37" t="s">
        <v>76</v>
      </c>
      <c r="L6" s="37" t="s">
        <v>77</v>
      </c>
      <c r="M6" s="37" t="s">
        <v>75</v>
      </c>
      <c r="N6" s="37" t="s">
        <v>77</v>
      </c>
      <c r="O6" s="37" t="s">
        <v>78</v>
      </c>
    </row>
    <row r="7" spans="1:15" x14ac:dyDescent="0.25">
      <c r="A7" s="38">
        <v>14</v>
      </c>
      <c r="B7" s="38">
        <v>9.1</v>
      </c>
      <c r="C7" s="38">
        <v>2722</v>
      </c>
      <c r="D7" s="38">
        <v>12</v>
      </c>
      <c r="E7" s="38">
        <v>31</v>
      </c>
      <c r="F7" s="38">
        <v>0.03</v>
      </c>
      <c r="G7" s="38">
        <v>92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31</v>
      </c>
      <c r="N7" s="38">
        <v>92</v>
      </c>
      <c r="O7" s="36">
        <v>6.5</v>
      </c>
    </row>
    <row r="8" spans="1:15" x14ac:dyDescent="0.25">
      <c r="A8" s="38">
        <v>19</v>
      </c>
      <c r="B8" s="38">
        <v>14.1</v>
      </c>
      <c r="C8" s="38">
        <v>1271</v>
      </c>
      <c r="D8" s="38">
        <v>15</v>
      </c>
      <c r="E8" s="38">
        <v>23</v>
      </c>
      <c r="F8" s="38">
        <v>0.1</v>
      </c>
      <c r="G8" s="38">
        <v>130</v>
      </c>
      <c r="H8" s="38">
        <v>1451</v>
      </c>
      <c r="I8" s="38">
        <v>14</v>
      </c>
      <c r="J8" s="38">
        <v>22</v>
      </c>
      <c r="K8" s="38">
        <v>7.0000000000000007E-2</v>
      </c>
      <c r="L8" s="38">
        <v>105</v>
      </c>
      <c r="M8" s="38">
        <v>46</v>
      </c>
      <c r="N8" s="38">
        <v>235</v>
      </c>
      <c r="O8" s="36">
        <v>12.4</v>
      </c>
    </row>
    <row r="9" spans="1:15" x14ac:dyDescent="0.25">
      <c r="A9" s="38">
        <v>24</v>
      </c>
      <c r="B9" s="38">
        <v>19.2</v>
      </c>
      <c r="C9" s="38">
        <v>784</v>
      </c>
      <c r="D9" s="38">
        <v>21</v>
      </c>
      <c r="E9" s="38">
        <v>27</v>
      </c>
      <c r="F9" s="38">
        <v>0.3</v>
      </c>
      <c r="G9" s="38">
        <v>234</v>
      </c>
      <c r="H9" s="38">
        <v>487</v>
      </c>
      <c r="I9" s="38">
        <v>18</v>
      </c>
      <c r="J9" s="38">
        <v>13</v>
      </c>
      <c r="K9" s="38">
        <v>0.22</v>
      </c>
      <c r="L9" s="38">
        <v>105</v>
      </c>
      <c r="M9" s="38">
        <v>62</v>
      </c>
      <c r="N9" s="38">
        <v>444</v>
      </c>
      <c r="O9" s="36">
        <v>18.5</v>
      </c>
    </row>
    <row r="10" spans="1:15" x14ac:dyDescent="0.25">
      <c r="A10" s="38">
        <v>29</v>
      </c>
      <c r="B10" s="38">
        <v>23.9</v>
      </c>
      <c r="C10" s="38">
        <v>555</v>
      </c>
      <c r="D10" s="38">
        <v>27</v>
      </c>
      <c r="E10" s="38">
        <v>32</v>
      </c>
      <c r="F10" s="38">
        <v>0.65</v>
      </c>
      <c r="G10" s="38">
        <v>360</v>
      </c>
      <c r="H10" s="38">
        <v>230</v>
      </c>
      <c r="I10" s="38">
        <v>24</v>
      </c>
      <c r="J10" s="38">
        <v>10</v>
      </c>
      <c r="K10" s="38">
        <v>0.46</v>
      </c>
      <c r="L10" s="38">
        <v>105</v>
      </c>
      <c r="M10" s="38">
        <v>77</v>
      </c>
      <c r="N10" s="38">
        <v>675</v>
      </c>
      <c r="O10" s="36">
        <v>23.3</v>
      </c>
    </row>
    <row r="11" spans="1:15" x14ac:dyDescent="0.25">
      <c r="A11" s="38">
        <v>34</v>
      </c>
      <c r="B11" s="38">
        <v>28.1</v>
      </c>
      <c r="C11" s="38">
        <v>435</v>
      </c>
      <c r="D11" s="38">
        <v>33</v>
      </c>
      <c r="E11" s="38">
        <v>37</v>
      </c>
      <c r="F11" s="38">
        <v>1.1000000000000001</v>
      </c>
      <c r="G11" s="38">
        <v>481</v>
      </c>
      <c r="H11" s="38">
        <v>119</v>
      </c>
      <c r="I11" s="38">
        <v>29</v>
      </c>
      <c r="J11" s="38">
        <v>8</v>
      </c>
      <c r="K11" s="38">
        <v>0.88</v>
      </c>
      <c r="L11" s="38">
        <v>105</v>
      </c>
      <c r="M11" s="38">
        <v>90</v>
      </c>
      <c r="N11" s="38">
        <v>901</v>
      </c>
      <c r="O11" s="36">
        <v>26.5</v>
      </c>
    </row>
    <row r="12" spans="1:15" x14ac:dyDescent="0.25">
      <c r="A12" s="38">
        <v>39</v>
      </c>
      <c r="B12" s="38">
        <v>31.7</v>
      </c>
      <c r="C12" s="38">
        <v>358</v>
      </c>
      <c r="D12" s="38">
        <v>38</v>
      </c>
      <c r="E12" s="38">
        <v>41</v>
      </c>
      <c r="F12" s="38">
        <v>1.63</v>
      </c>
      <c r="G12" s="38">
        <v>584</v>
      </c>
      <c r="H12" s="38">
        <v>78</v>
      </c>
      <c r="I12" s="38">
        <v>34</v>
      </c>
      <c r="J12" s="38">
        <v>7</v>
      </c>
      <c r="K12" s="38">
        <v>1.35</v>
      </c>
      <c r="L12" s="38">
        <v>105</v>
      </c>
      <c r="M12" s="38">
        <v>101</v>
      </c>
      <c r="N12" s="38">
        <v>1109</v>
      </c>
      <c r="O12" s="36">
        <v>28.4</v>
      </c>
    </row>
    <row r="13" spans="1:15" x14ac:dyDescent="0.25">
      <c r="A13" s="38">
        <v>44</v>
      </c>
      <c r="B13" s="38">
        <v>34.700000000000003</v>
      </c>
      <c r="C13" s="38">
        <v>312</v>
      </c>
      <c r="D13" s="38">
        <v>43</v>
      </c>
      <c r="E13" s="38">
        <v>45</v>
      </c>
      <c r="F13" s="38">
        <v>2.2000000000000002</v>
      </c>
      <c r="G13" s="38">
        <v>687</v>
      </c>
      <c r="H13" s="38">
        <v>46</v>
      </c>
      <c r="I13" s="38">
        <v>39</v>
      </c>
      <c r="J13" s="38">
        <v>6</v>
      </c>
      <c r="K13" s="38">
        <v>1.89</v>
      </c>
      <c r="L13" s="38">
        <v>86</v>
      </c>
      <c r="M13" s="38">
        <v>111</v>
      </c>
      <c r="N13" s="38">
        <v>1299</v>
      </c>
      <c r="O13" s="36">
        <v>29.5</v>
      </c>
    </row>
    <row r="14" spans="1:15" x14ac:dyDescent="0.25">
      <c r="A14" s="38">
        <v>49</v>
      </c>
      <c r="B14" s="38">
        <v>37.200000000000003</v>
      </c>
      <c r="C14" s="38">
        <v>282</v>
      </c>
      <c r="D14" s="38">
        <v>47</v>
      </c>
      <c r="E14" s="38">
        <v>49</v>
      </c>
      <c r="F14" s="38">
        <v>2.78</v>
      </c>
      <c r="G14" s="38">
        <v>784</v>
      </c>
      <c r="H14" s="38">
        <v>30</v>
      </c>
      <c r="I14" s="38">
        <v>44</v>
      </c>
      <c r="J14" s="38">
        <v>5</v>
      </c>
      <c r="K14" s="38">
        <v>2.42</v>
      </c>
      <c r="L14" s="38">
        <v>73</v>
      </c>
      <c r="M14" s="38">
        <v>120</v>
      </c>
      <c r="N14" s="38">
        <v>1468</v>
      </c>
      <c r="O14" s="36">
        <v>30</v>
      </c>
    </row>
    <row r="15" spans="1:15" x14ac:dyDescent="0.25">
      <c r="A15" s="38">
        <v>54</v>
      </c>
      <c r="B15" s="38">
        <v>39.299999999999997</v>
      </c>
      <c r="C15" s="38">
        <v>260</v>
      </c>
      <c r="D15" s="38">
        <v>51</v>
      </c>
      <c r="E15" s="38">
        <v>53</v>
      </c>
      <c r="F15" s="38">
        <v>3.34</v>
      </c>
      <c r="G15" s="38">
        <v>869</v>
      </c>
      <c r="H15" s="38">
        <v>22</v>
      </c>
      <c r="I15" s="38">
        <v>48</v>
      </c>
      <c r="J15" s="38">
        <v>4</v>
      </c>
      <c r="K15" s="38">
        <v>2.96</v>
      </c>
      <c r="L15" s="38">
        <v>64</v>
      </c>
      <c r="M15" s="38">
        <v>128</v>
      </c>
      <c r="N15" s="38">
        <v>1617</v>
      </c>
      <c r="O15" s="36">
        <v>29.9</v>
      </c>
    </row>
    <row r="16" spans="1:15" x14ac:dyDescent="0.25">
      <c r="A16" s="38">
        <v>59</v>
      </c>
      <c r="B16" s="38">
        <v>41.1</v>
      </c>
      <c r="C16" s="38">
        <v>244</v>
      </c>
      <c r="D16" s="38">
        <v>54</v>
      </c>
      <c r="E16" s="38">
        <v>57</v>
      </c>
      <c r="F16" s="38">
        <v>3.86</v>
      </c>
      <c r="G16" s="38">
        <v>943</v>
      </c>
      <c r="H16" s="38">
        <v>16</v>
      </c>
      <c r="I16" s="38">
        <v>52</v>
      </c>
      <c r="J16" s="38">
        <v>3</v>
      </c>
      <c r="K16" s="38">
        <v>3.49</v>
      </c>
      <c r="L16" s="38">
        <v>57</v>
      </c>
      <c r="M16" s="38">
        <v>135</v>
      </c>
      <c r="N16" s="38">
        <v>1747</v>
      </c>
      <c r="O16" s="36">
        <v>29.6</v>
      </c>
    </row>
    <row r="17" spans="1:15" x14ac:dyDescent="0.25">
      <c r="A17" s="38">
        <v>64</v>
      </c>
      <c r="B17" s="38">
        <v>42.6</v>
      </c>
      <c r="C17" s="38">
        <v>232</v>
      </c>
      <c r="D17" s="38">
        <v>57</v>
      </c>
      <c r="E17" s="38">
        <v>60</v>
      </c>
      <c r="F17" s="38">
        <v>4.33</v>
      </c>
      <c r="G17" s="38">
        <v>1004</v>
      </c>
      <c r="H17" s="38">
        <v>13</v>
      </c>
      <c r="I17" s="38">
        <v>56</v>
      </c>
      <c r="J17" s="38">
        <v>3</v>
      </c>
      <c r="K17" s="38">
        <v>4.05</v>
      </c>
      <c r="L17" s="38">
        <v>51</v>
      </c>
      <c r="M17" s="38">
        <v>141</v>
      </c>
      <c r="N17" s="38">
        <v>1859</v>
      </c>
      <c r="O17" s="36">
        <v>29.1</v>
      </c>
    </row>
    <row r="18" spans="1:15" x14ac:dyDescent="0.25">
      <c r="A18" s="38">
        <v>69</v>
      </c>
      <c r="B18" s="38">
        <v>43.7</v>
      </c>
      <c r="C18" s="38">
        <v>222</v>
      </c>
      <c r="D18" s="38">
        <v>60</v>
      </c>
      <c r="E18" s="38">
        <v>62</v>
      </c>
      <c r="F18" s="38">
        <v>4.75</v>
      </c>
      <c r="G18" s="38">
        <v>1055</v>
      </c>
      <c r="H18" s="38">
        <v>10</v>
      </c>
      <c r="I18" s="38">
        <v>59</v>
      </c>
      <c r="J18" s="38">
        <v>3</v>
      </c>
      <c r="K18" s="38">
        <v>4.6100000000000003</v>
      </c>
      <c r="L18" s="38">
        <v>45</v>
      </c>
      <c r="M18" s="38">
        <v>146</v>
      </c>
      <c r="N18" s="38">
        <v>1955</v>
      </c>
      <c r="O18" s="36">
        <v>28.3</v>
      </c>
    </row>
    <row r="19" spans="1:15" x14ac:dyDescent="0.25">
      <c r="A19" s="38">
        <v>74</v>
      </c>
      <c r="B19" s="38">
        <v>44.7</v>
      </c>
      <c r="C19" s="38">
        <v>214</v>
      </c>
      <c r="D19" s="38">
        <v>62</v>
      </c>
      <c r="E19" s="38">
        <v>64</v>
      </c>
      <c r="F19" s="38">
        <v>5.0999999999999996</v>
      </c>
      <c r="G19" s="38">
        <v>1092</v>
      </c>
      <c r="H19" s="38">
        <v>8</v>
      </c>
      <c r="I19" s="38">
        <v>62</v>
      </c>
      <c r="J19" s="38">
        <v>2</v>
      </c>
      <c r="K19" s="38">
        <v>4.99</v>
      </c>
      <c r="L19" s="38">
        <v>40</v>
      </c>
      <c r="M19" s="38">
        <v>150</v>
      </c>
      <c r="N19" s="38">
        <v>2033</v>
      </c>
      <c r="O19" s="36">
        <v>27.5</v>
      </c>
    </row>
    <row r="20" spans="1:15" x14ac:dyDescent="0.25">
      <c r="A20" s="38">
        <v>79</v>
      </c>
      <c r="B20" s="38">
        <v>45.4</v>
      </c>
      <c r="C20" s="38">
        <v>208</v>
      </c>
      <c r="D20" s="38">
        <v>63</v>
      </c>
      <c r="E20" s="38">
        <v>66</v>
      </c>
      <c r="F20" s="38">
        <v>5.39</v>
      </c>
      <c r="G20" s="38">
        <v>1118</v>
      </c>
      <c r="H20" s="38">
        <v>7</v>
      </c>
      <c r="I20" s="38">
        <v>64</v>
      </c>
      <c r="J20" s="38">
        <v>2</v>
      </c>
      <c r="K20" s="38">
        <v>5.52</v>
      </c>
      <c r="L20" s="38">
        <v>36</v>
      </c>
      <c r="M20" s="38">
        <v>154</v>
      </c>
      <c r="N20" s="38">
        <v>2094</v>
      </c>
      <c r="O20" s="36">
        <v>26.5</v>
      </c>
    </row>
  </sheetData>
  <mergeCells count="3">
    <mergeCell ref="C5:G5"/>
    <mergeCell ref="H5:L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 calculs</vt:lpstr>
      <vt:lpstr>Paramètres</vt:lpstr>
      <vt:lpstr>Interpolation linéaire</vt:lpstr>
      <vt:lpstr>Table de production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GILEN</cp:lastModifiedBy>
  <dcterms:created xsi:type="dcterms:W3CDTF">2020-11-04T14:07:21Z</dcterms:created>
  <dcterms:modified xsi:type="dcterms:W3CDTF">2021-03-03T15:57:16Z</dcterms:modified>
</cp:coreProperties>
</file>