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TC_Reclinghem (62)\Dossier d_instruction\"/>
    </mc:Choice>
  </mc:AlternateContent>
  <xr:revisionPtr revIDLastSave="0" documentId="13_ncr:1_{CE8AE97F-AA5A-4165-A2F9-08D618648DFC}" xr6:coauthVersionLast="47" xr6:coauthVersionMax="47" xr10:uidLastSave="{00000000-0000-0000-0000-000000000000}"/>
  <bookViews>
    <workbookView xWindow="-289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<sst xmlns="http://schemas.openxmlformats.org/spreadsheetml/2006/main" count="1172" uniqueCount="325">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</sst>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1.8807855723271203</c:v>
                </c:pt>
                <c:pt idx="2">
                  <c:v>3.0657680328814667</c:v>
                </c:pt>
                <c:pt idx="3">
                  <c:v>5.0010774211664097</c:v>
                </c:pt>
                <c:pt idx="4">
                  <c:v>8.1640327643389909</c:v>
                </c:pt>
                <c:pt idx="5">
                  <c:v>13.336905920637804</c:v>
                </c:pt>
                <c:pt idx="6">
                  <c:v>21.802520022526707</c:v>
                </c:pt>
                <c:pt idx="7">
                  <c:v>35.665755227846866</c:v>
                </c:pt>
                <c:pt idx="8">
                  <c:v>58.382270569279349</c:v>
                </c:pt>
                <c:pt idx="9">
                  <c:v>95.628410585718214</c:v>
                </c:pt>
                <c:pt idx="10">
                  <c:v>129.62071281147163</c:v>
                </c:pt>
                <c:pt idx="11">
                  <c:v>163.39566693544896</c:v>
                </c:pt>
                <c:pt idx="12">
                  <c:v>197.00485363092116</c:v>
                </c:pt>
                <c:pt idx="13">
                  <c:v>230.48062342230324</c:v>
                </c:pt>
                <c:pt idx="14">
                  <c:v>263.84510369616982</c:v>
                </c:pt>
                <c:pt idx="15">
                  <c:v>270.50613620263147</c:v>
                </c:pt>
                <c:pt idx="16">
                  <c:v>277.16347822786918</c:v>
                </c:pt>
                <c:pt idx="17">
                  <c:v>283.81723103581874</c:v>
                </c:pt>
                <c:pt idx="18">
                  <c:v>290.46749074881262</c:v>
                </c:pt>
                <c:pt idx="19">
                  <c:v>297.11434872301794</c:v>
                </c:pt>
                <c:pt idx="20">
                  <c:v>299.53056168521022</c:v>
                </c:pt>
                <c:pt idx="21">
                  <c:v>301.94634040686378</c:v>
                </c:pt>
                <c:pt idx="22">
                  <c:v>304.36168885982988</c:v>
                </c:pt>
                <c:pt idx="23">
                  <c:v>306.77661094764784</c:v>
                </c:pt>
                <c:pt idx="24">
                  <c:v>309.1911105072619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334.12903710888452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338.32827143043056</c:v>
                </c:pt>
                <c:pt idx="92">
                  <c:v>338.32827143043056</c:v>
                </c:pt>
                <c:pt idx="93">
                  <c:v>338.32827143043056</c:v>
                </c:pt>
                <c:pt idx="94">
                  <c:v>338.32827143043056</c:v>
                </c:pt>
                <c:pt idx="95">
                  <c:v>338.32827143043056</c:v>
                </c:pt>
                <c:pt idx="96">
                  <c:v>338.32827143043056</c:v>
                </c:pt>
                <c:pt idx="97">
                  <c:v>338.32827143043056</c:v>
                </c:pt>
                <c:pt idx="98">
                  <c:v>338.32827143043056</c:v>
                </c:pt>
                <c:pt idx="99">
                  <c:v>338.32827143043056</c:v>
                </c:pt>
                <c:pt idx="100">
                  <c:v>338.32827143043056</c:v>
                </c:pt>
                <c:pt idx="101">
                  <c:v>338.32827143043056</c:v>
                </c:pt>
                <c:pt idx="102">
                  <c:v>338.32827143043056</c:v>
                </c:pt>
                <c:pt idx="103">
                  <c:v>338.32827143043056</c:v>
                </c:pt>
                <c:pt idx="104">
                  <c:v>338.32827143043056</c:v>
                </c:pt>
                <c:pt idx="105">
                  <c:v>338.32827143043056</c:v>
                </c:pt>
                <c:pt idx="106">
                  <c:v>338.32827143043056</c:v>
                </c:pt>
                <c:pt idx="107">
                  <c:v>338.32827143043056</c:v>
                </c:pt>
                <c:pt idx="108">
                  <c:v>338.32827143043056</c:v>
                </c:pt>
                <c:pt idx="109">
                  <c:v>338.32827143043056</c:v>
                </c:pt>
                <c:pt idx="110">
                  <c:v>338.32827143043056</c:v>
                </c:pt>
                <c:pt idx="111">
                  <c:v>338.32827143043056</c:v>
                </c:pt>
                <c:pt idx="112">
                  <c:v>338.32827143043056</c:v>
                </c:pt>
                <c:pt idx="113">
                  <c:v>338.32827143043056</c:v>
                </c:pt>
                <c:pt idx="114">
                  <c:v>338.32827143043056</c:v>
                </c:pt>
                <c:pt idx="115">
                  <c:v>338.32827143043056</c:v>
                </c:pt>
                <c:pt idx="116">
                  <c:v>338.32827143043056</c:v>
                </c:pt>
                <c:pt idx="117">
                  <c:v>338.32827143043056</c:v>
                </c:pt>
                <c:pt idx="118">
                  <c:v>338.32827143043056</c:v>
                </c:pt>
                <c:pt idx="119">
                  <c:v>338.32827143043056</c:v>
                </c:pt>
                <c:pt idx="120">
                  <c:v>338.32827143043056</c:v>
                </c:pt>
                <c:pt idx="121">
                  <c:v>338.32827143043056</c:v>
                </c:pt>
                <c:pt idx="122">
                  <c:v>338.32827143043056</c:v>
                </c:pt>
                <c:pt idx="123">
                  <c:v>338.32827143043056</c:v>
                </c:pt>
                <c:pt idx="124">
                  <c:v>338.32827143043056</c:v>
                </c:pt>
                <c:pt idx="125">
                  <c:v>338.32827143043056</c:v>
                </c:pt>
                <c:pt idx="126">
                  <c:v>338.32827143043056</c:v>
                </c:pt>
                <c:pt idx="127">
                  <c:v>338.32827143043056</c:v>
                </c:pt>
                <c:pt idx="128">
                  <c:v>338.32827143043056</c:v>
                </c:pt>
                <c:pt idx="129">
                  <c:v>338.32827143043056</c:v>
                </c:pt>
                <c:pt idx="130">
                  <c:v>338.32827143043056</c:v>
                </c:pt>
                <c:pt idx="131">
                  <c:v>338.32827143043056</c:v>
                </c:pt>
                <c:pt idx="132">
                  <c:v>338.32827143043056</c:v>
                </c:pt>
                <c:pt idx="133">
                  <c:v>338.32827143043056</c:v>
                </c:pt>
                <c:pt idx="134">
                  <c:v>338.32827143043056</c:v>
                </c:pt>
                <c:pt idx="135">
                  <c:v>338.32827143043056</c:v>
                </c:pt>
                <c:pt idx="136">
                  <c:v>338.32827143043056</c:v>
                </c:pt>
                <c:pt idx="137">
                  <c:v>338.32827143043056</c:v>
                </c:pt>
                <c:pt idx="138">
                  <c:v>338.32827143043056</c:v>
                </c:pt>
                <c:pt idx="139">
                  <c:v>338.32827143043056</c:v>
                </c:pt>
                <c:pt idx="140">
                  <c:v>338.32827143043056</c:v>
                </c:pt>
                <c:pt idx="141">
                  <c:v>338.32827143043056</c:v>
                </c:pt>
                <c:pt idx="142">
                  <c:v>338.32827143043056</c:v>
                </c:pt>
                <c:pt idx="143">
                  <c:v>338.32827143043056</c:v>
                </c:pt>
                <c:pt idx="144">
                  <c:v>338.32827143043056</c:v>
                </c:pt>
                <c:pt idx="145">
                  <c:v>338.32827143043056</c:v>
                </c:pt>
                <c:pt idx="146">
                  <c:v>338.32827143043056</c:v>
                </c:pt>
                <c:pt idx="147">
                  <c:v>338.32827143043056</c:v>
                </c:pt>
                <c:pt idx="148">
                  <c:v>338.32827143043056</c:v>
                </c:pt>
                <c:pt idx="149">
                  <c:v>338.32827143043056</c:v>
                </c:pt>
                <c:pt idx="150">
                  <c:v>338.32827143043056</c:v>
                </c:pt>
                <c:pt idx="151">
                  <c:v>338.32827143043056</c:v>
                </c:pt>
                <c:pt idx="152">
                  <c:v>338.32827143043056</c:v>
                </c:pt>
                <c:pt idx="153">
                  <c:v>338.32827143043056</c:v>
                </c:pt>
                <c:pt idx="154">
                  <c:v>338.32827143043056</c:v>
                </c:pt>
                <c:pt idx="155">
                  <c:v>338.32827143043056</c:v>
                </c:pt>
                <c:pt idx="156">
                  <c:v>338.32827143043056</c:v>
                </c:pt>
                <c:pt idx="157">
                  <c:v>338.32827143043056</c:v>
                </c:pt>
                <c:pt idx="158">
                  <c:v>338.32827143043056</c:v>
                </c:pt>
                <c:pt idx="159">
                  <c:v>338.32827143043056</c:v>
                </c:pt>
                <c:pt idx="160">
                  <c:v>338.32827143043056</c:v>
                </c:pt>
                <c:pt idx="161">
                  <c:v>338.32827143043056</c:v>
                </c:pt>
                <c:pt idx="162">
                  <c:v>338.32827143043056</c:v>
                </c:pt>
                <c:pt idx="163">
                  <c:v>338.32827143043056</c:v>
                </c:pt>
                <c:pt idx="164">
                  <c:v>338.32827143043056</c:v>
                </c:pt>
                <c:pt idx="165">
                  <c:v>338.32827143043056</c:v>
                </c:pt>
                <c:pt idx="166">
                  <c:v>338.32827143043056</c:v>
                </c:pt>
                <c:pt idx="167">
                  <c:v>338.32827143043056</c:v>
                </c:pt>
                <c:pt idx="168">
                  <c:v>338.32827143043056</c:v>
                </c:pt>
                <c:pt idx="169">
                  <c:v>338.32827143043056</c:v>
                </c:pt>
                <c:pt idx="170">
                  <c:v>338.32827143043056</c:v>
                </c:pt>
                <c:pt idx="171">
                  <c:v>338.32827143043056</c:v>
                </c:pt>
                <c:pt idx="172">
                  <c:v>338.32827143043056</c:v>
                </c:pt>
                <c:pt idx="173">
                  <c:v>338.32827143043056</c:v>
                </c:pt>
                <c:pt idx="174">
                  <c:v>338.32827143043056</c:v>
                </c:pt>
                <c:pt idx="175">
                  <c:v>338.32827143043056</c:v>
                </c:pt>
                <c:pt idx="176">
                  <c:v>338.32827143043056</c:v>
                </c:pt>
                <c:pt idx="177">
                  <c:v>338.32827143043056</c:v>
                </c:pt>
                <c:pt idx="178">
                  <c:v>338.32827143043056</c:v>
                </c:pt>
                <c:pt idx="179">
                  <c:v>338.32827143043056</c:v>
                </c:pt>
                <c:pt idx="180">
                  <c:v>338.32827143043056</c:v>
                </c:pt>
                <c:pt idx="181">
                  <c:v>338.32827143043056</c:v>
                </c:pt>
                <c:pt idx="182">
                  <c:v>338.32827143043056</c:v>
                </c:pt>
                <c:pt idx="183">
                  <c:v>338.32827143043056</c:v>
                </c:pt>
                <c:pt idx="184">
                  <c:v>338.32827143043056</c:v>
                </c:pt>
                <c:pt idx="185">
                  <c:v>338.32827143043056</c:v>
                </c:pt>
                <c:pt idx="186">
                  <c:v>338.32827143043056</c:v>
                </c:pt>
                <c:pt idx="187">
                  <c:v>338.32827143043056</c:v>
                </c:pt>
                <c:pt idx="188">
                  <c:v>338.32827143043056</c:v>
                </c:pt>
                <c:pt idx="189">
                  <c:v>338.32827143043056</c:v>
                </c:pt>
                <c:pt idx="190">
                  <c:v>338.32827143043056</c:v>
                </c:pt>
                <c:pt idx="191">
                  <c:v>338.32827143043056</c:v>
                </c:pt>
                <c:pt idx="192">
                  <c:v>338.32827143043056</c:v>
                </c:pt>
                <c:pt idx="193">
                  <c:v>338.32827143043056</c:v>
                </c:pt>
                <c:pt idx="194">
                  <c:v>338.32827143043056</c:v>
                </c:pt>
                <c:pt idx="195">
                  <c:v>338.32827143043056</c:v>
                </c:pt>
                <c:pt idx="196">
                  <c:v>338.32827143043056</c:v>
                </c:pt>
                <c:pt idx="197">
                  <c:v>338.32827143043056</c:v>
                </c:pt>
                <c:pt idx="198">
                  <c:v>338.32827143043056</c:v>
                </c:pt>
                <c:pt idx="199">
                  <c:v>338.32827143043056</c:v>
                </c:pt>
                <c:pt idx="200">
                  <c:v>338.32827143043056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Normal="100" workbookViewId="0">
      <selection activeCell="C24" sqref="C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111</v>
      </c>
      <c r="C9" s="264">
        <v>0.75</v>
      </c>
      <c r="D9" s="33">
        <f t="shared" ref="D9:D18" si="0">C9*$C$5</f>
        <v>1.2000000000000002</v>
      </c>
      <c r="E9" s="265">
        <v>24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4</v>
      </c>
      <c r="C10" s="264">
        <v>0.25</v>
      </c>
      <c r="D10" s="33">
        <f t="shared" si="0"/>
        <v>0.4</v>
      </c>
      <c r="E10" s="265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I-214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9</v>
      </c>
      <c r="B36" s="259">
        <v>96.153846150000007</v>
      </c>
      <c r="C36" s="259"/>
      <c r="D36" s="259"/>
      <c r="E36" s="260"/>
      <c r="F36" s="260"/>
      <c r="G36" s="260"/>
      <c r="H36" s="260"/>
      <c r="I36" s="49">
        <f>IFERROR(B36/A36,"")</f>
        <v>10.683760683333334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14</v>
      </c>
      <c r="B37" s="259">
        <v>272.43589739999999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35.256410250000002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19</v>
      </c>
      <c r="B38" s="259">
        <v>307.69230770000001</v>
      </c>
      <c r="C38" s="259"/>
      <c r="D38" s="259"/>
      <c r="E38" s="260"/>
      <c r="F38" s="260"/>
      <c r="G38" s="260"/>
      <c r="H38" s="260"/>
      <c r="I38" s="53">
        <f t="shared" si="1"/>
        <v>7.0512820600000055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24</v>
      </c>
      <c r="B39" s="259">
        <v>320.51282049999998</v>
      </c>
      <c r="C39" s="259" t="s">
        <v>324</v>
      </c>
      <c r="D39" s="259">
        <v>320.51282049999998</v>
      </c>
      <c r="E39" s="260">
        <v>0.77</v>
      </c>
      <c r="F39" s="260">
        <v>0.21</v>
      </c>
      <c r="G39" s="260">
        <v>0</v>
      </c>
      <c r="H39" s="260">
        <v>0</v>
      </c>
      <c r="I39" s="49">
        <f t="shared" si="1"/>
        <v>2.5641025599999923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/>
      <c r="B40" s="259"/>
      <c r="C40" s="259"/>
      <c r="D40" s="259"/>
      <c r="E40" s="260"/>
      <c r="F40" s="260"/>
      <c r="G40" s="260"/>
      <c r="H40" s="260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/>
      <c r="B41" s="259"/>
      <c r="C41" s="259"/>
      <c r="D41" s="259"/>
      <c r="E41" s="260"/>
      <c r="F41" s="260"/>
      <c r="G41" s="260"/>
      <c r="H41" s="260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/>
      <c r="B42" s="259"/>
      <c r="C42" s="259"/>
      <c r="D42" s="259"/>
      <c r="E42" s="260"/>
      <c r="F42" s="260"/>
      <c r="G42" s="260"/>
      <c r="H42" s="260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/>
      <c r="B43" s="259"/>
      <c r="C43" s="259"/>
      <c r="D43" s="259"/>
      <c r="E43" s="260"/>
      <c r="F43" s="260"/>
      <c r="G43" s="260"/>
      <c r="H43" s="260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Aulne glutineux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11</v>
      </c>
      <c r="C62" s="261">
        <v>1</v>
      </c>
      <c r="D62" s="261">
        <v>1</v>
      </c>
      <c r="E62" s="260"/>
      <c r="F62" s="260"/>
      <c r="G62" s="260"/>
      <c r="H62" s="260">
        <v>1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44</v>
      </c>
      <c r="C63" s="261">
        <v>2</v>
      </c>
      <c r="D63" s="261">
        <v>4</v>
      </c>
      <c r="E63" s="260"/>
      <c r="F63" s="260"/>
      <c r="G63" s="260"/>
      <c r="H63" s="260">
        <v>1</v>
      </c>
      <c r="I63" s="49">
        <f>IF(A63&lt;&gt;0,(B63-(B62-D62))/(A63-A62),"")</f>
        <v>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100</v>
      </c>
      <c r="C64" s="261">
        <v>3</v>
      </c>
      <c r="D64" s="261">
        <v>10</v>
      </c>
      <c r="E64" s="260"/>
      <c r="F64" s="260"/>
      <c r="G64" s="260"/>
      <c r="H64" s="260">
        <v>1</v>
      </c>
      <c r="I64" s="49">
        <f>IF(A64&lt;&gt;0,(B64-(B63-D63))/(A64-A63),"")</f>
        <v>12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138</v>
      </c>
      <c r="C65" s="261">
        <v>4</v>
      </c>
      <c r="D65" s="261">
        <v>21</v>
      </c>
      <c r="E65" s="260"/>
      <c r="F65" s="260"/>
      <c r="G65" s="260"/>
      <c r="H65" s="260">
        <v>1</v>
      </c>
      <c r="I65" s="49">
        <f>IF(A65&lt;&gt;0,(B65-(B64-D64))/(A65-A64),"")</f>
        <v>9.6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161</v>
      </c>
      <c r="C66" s="261">
        <v>5</v>
      </c>
      <c r="D66" s="261">
        <v>23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181</v>
      </c>
      <c r="C67" s="261">
        <v>6</v>
      </c>
      <c r="D67" s="261">
        <v>25</v>
      </c>
      <c r="E67" s="260">
        <v>1</v>
      </c>
      <c r="F67" s="260"/>
      <c r="G67" s="260"/>
      <c r="H67" s="260"/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195</v>
      </c>
      <c r="C68" s="261">
        <v>7</v>
      </c>
      <c r="D68" s="261">
        <v>25</v>
      </c>
      <c r="E68" s="260">
        <v>1</v>
      </c>
      <c r="F68" s="260"/>
      <c r="G68" s="260"/>
      <c r="H68" s="260"/>
      <c r="I68" s="49">
        <f t="shared" si="2"/>
        <v>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207</v>
      </c>
      <c r="C69" s="261">
        <v>8</v>
      </c>
      <c r="D69" s="261">
        <v>25</v>
      </c>
      <c r="E69" s="260">
        <v>1</v>
      </c>
      <c r="F69" s="260"/>
      <c r="G69" s="260"/>
      <c r="H69" s="260"/>
      <c r="I69" s="49">
        <f t="shared" si="2"/>
        <v>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215</v>
      </c>
      <c r="C70" s="261">
        <v>9</v>
      </c>
      <c r="D70" s="261">
        <v>24</v>
      </c>
      <c r="E70" s="260">
        <v>1</v>
      </c>
      <c r="F70" s="260"/>
      <c r="G70" s="260"/>
      <c r="H70" s="260"/>
      <c r="I70" s="49">
        <f t="shared" si="2"/>
        <v>6.6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223</v>
      </c>
      <c r="C71" s="261">
        <v>10</v>
      </c>
      <c r="D71" s="261">
        <v>23</v>
      </c>
      <c r="E71" s="260">
        <v>1</v>
      </c>
      <c r="F71" s="260"/>
      <c r="G71" s="260"/>
      <c r="H71" s="260"/>
      <c r="I71" s="49">
        <f t="shared" si="2"/>
        <v>6.4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229</v>
      </c>
      <c r="C72" s="261">
        <v>11</v>
      </c>
      <c r="D72" s="261">
        <v>22</v>
      </c>
      <c r="E72" s="260">
        <v>1</v>
      </c>
      <c r="F72" s="260"/>
      <c r="G72" s="260"/>
      <c r="H72" s="260"/>
      <c r="I72" s="49">
        <f t="shared" si="2"/>
        <v>5.8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233</v>
      </c>
      <c r="C73" s="261">
        <v>12</v>
      </c>
      <c r="D73" s="261">
        <v>20</v>
      </c>
      <c r="E73" s="260">
        <v>1</v>
      </c>
      <c r="F73" s="260"/>
      <c r="G73" s="260"/>
      <c r="H73" s="260"/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237</v>
      </c>
      <c r="C74" s="261">
        <v>13</v>
      </c>
      <c r="D74" s="261">
        <v>19</v>
      </c>
      <c r="E74" s="260">
        <v>1</v>
      </c>
      <c r="F74" s="260"/>
      <c r="G74" s="260"/>
      <c r="H74" s="260"/>
      <c r="I74" s="49">
        <f t="shared" si="2"/>
        <v>4.8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241</v>
      </c>
      <c r="C75" s="261">
        <v>14</v>
      </c>
      <c r="D75" s="261">
        <v>18</v>
      </c>
      <c r="E75" s="260">
        <v>1</v>
      </c>
      <c r="F75" s="260"/>
      <c r="G75" s="260"/>
      <c r="H75" s="260"/>
      <c r="I75" s="49">
        <f t="shared" si="2"/>
        <v>4.5999999999999996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244</v>
      </c>
      <c r="C76" s="261">
        <v>15</v>
      </c>
      <c r="D76" s="261">
        <v>16</v>
      </c>
      <c r="E76" s="260">
        <v>1</v>
      </c>
      <c r="F76" s="260"/>
      <c r="G76" s="260"/>
      <c r="H76" s="260"/>
      <c r="I76" s="49">
        <f t="shared" si="2"/>
        <v>4.2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85</v>
      </c>
      <c r="B77" s="257">
        <v>247</v>
      </c>
      <c r="C77" s="256">
        <v>16</v>
      </c>
      <c r="D77" s="256">
        <v>15</v>
      </c>
      <c r="E77" s="255">
        <v>1</v>
      </c>
      <c r="F77" s="255"/>
      <c r="G77" s="255"/>
      <c r="H77" s="255"/>
      <c r="I77" s="49">
        <f t="shared" si="2"/>
        <v>3.8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90</v>
      </c>
      <c r="B78" s="257">
        <v>250</v>
      </c>
      <c r="C78" s="256">
        <v>17</v>
      </c>
      <c r="D78" s="256">
        <v>14</v>
      </c>
      <c r="E78" s="255">
        <v>1</v>
      </c>
      <c r="F78" s="255"/>
      <c r="G78" s="255"/>
      <c r="H78" s="255"/>
      <c r="I78" s="49">
        <f t="shared" si="2"/>
        <v>3.6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Peuplier I-214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Aulne glutineux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181.39264602498668</v>
      </c>
      <c r="T3" s="59">
        <f>IF('Données projet'!E9&gt;30,$R$33-$H$33,LOOKUP('Données projet'!$E$9,$A$3:$A$203,R3:R203)-LOOKUP('Données projet'!$E$9,$A$3:$A$203,$H$3:$H$203))</f>
        <v>338.52444384059521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263.30962868541337</v>
      </c>
      <c r="AO3" s="59">
        <f>IF('Données projet'!E10&gt;30,$AM$33-$H$33,LOOKUP('Données projet'!$E$10,$A$3:$A$203,AM3:AM203)-LOOKUP('Données projet'!$E$10,$A$3:$A$203,$H$3:$H$203))</f>
        <v>269.61868559913404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10.683760683333334</v>
      </c>
      <c r="N4" s="13">
        <f>IF('Données projet'!$A$36&gt;35,N3+M4-V3,IF(A4&lt;'Données projet'!$A$36,$K$205^A4,IF(A4='Données projet'!$A$36,'Données projet'!$B$36,N3+M4-V3)))</f>
        <v>1.660847009958063</v>
      </c>
      <c r="O4" s="13">
        <f>N4*VLOOKUP('Données projet'!$B$9,Paramètres!$A$1:$I$89,3,0)*VLOOKUP('Données projet'!$B$9,Paramètres!$A$1:$I$89,5,0)</f>
        <v>0.73063981662075106</v>
      </c>
      <c r="P4" s="13">
        <f>EXP(-1.0587+0.8836*LN(O4)+0.284)</f>
        <v>0.34923706701204527</v>
      </c>
      <c r="Q4" s="20">
        <f t="shared" ref="Q4:Q34" si="2">(O4+P4)*0.475*44/12</f>
        <v>1.8807855723271203</v>
      </c>
      <c r="R4" s="59">
        <f t="shared" si="0"/>
        <v>259.76967446121597</v>
      </c>
      <c r="S4" s="59">
        <f ca="1">AVERAGE(OFFSET($R$3,0,0,'Données projet'!$E$9+1,1))-AVERAGE(OFFSET($H$3,0,0,'Données projet'!$E$9+1,1))</f>
        <v>181.39264602498668</v>
      </c>
      <c r="T4" s="59">
        <f>$T$3</f>
        <v>338.52444384059521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0.83274715428568413</v>
      </c>
      <c r="AK4" s="13">
        <f>EXP(-1.0587+0.8836*LN(AJ4)+0.284)</f>
        <v>0.39202836439738087</v>
      </c>
      <c r="AL4" s="20">
        <f t="shared" ref="AL4:AL67" si="4">(AJ4+AK4)*0.475*44/12</f>
        <v>2.1331506950396717</v>
      </c>
      <c r="AM4" s="59">
        <f t="shared" ref="AM4:AM67" si="5">AL4+(AD4+AE4)*44/12</f>
        <v>260.02203958392852</v>
      </c>
      <c r="AN4" s="59">
        <f ca="1">AVERAGE(OFFSET($AM$3,0,0,'Données projet'!$E$10+1,1))-AVERAGE(OFFSET($H$3,0,0,'Données projet'!$E$10+1,1))</f>
        <v>263.30962868541337</v>
      </c>
      <c r="AO4" s="59">
        <f>$AO$3</f>
        <v>269.61868559913404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10.683760683333334</v>
      </c>
      <c r="N5" s="13">
        <f>IF('Données projet'!$A$36&gt;35,N4+M5-V4,IF(A5&lt;'Données projet'!$A$36,$K$205^A5,IF(A5='Données projet'!$A$36,'Données projet'!$B$36,N4+M5-V4)))</f>
        <v>2.7584127904866382</v>
      </c>
      <c r="O5" s="13">
        <f>N5*VLOOKUP('Données projet'!$B$9,Paramètres!$A$1:$I$89,3,0)*VLOOKUP('Données projet'!$B$9,Paramètres!$A$1:$I$89,5,0)</f>
        <v>1.2134809547908818</v>
      </c>
      <c r="P5" s="13">
        <f t="shared" ref="P5:P68" si="33">EXP(-1.0587+0.8836*LN(O5)+0.284)</f>
        <v>0.54676863346641957</v>
      </c>
      <c r="Q5" s="20">
        <f t="shared" si="2"/>
        <v>3.0657680328814667</v>
      </c>
      <c r="R5" s="59">
        <f t="shared" si="0"/>
        <v>262.17687914399261</v>
      </c>
      <c r="S5" s="59">
        <f ca="1">AVERAGE(OFFSET($R$3,0,0,'Données projet'!$E$9+1,1))-AVERAGE(OFFSET($H$3,0,0,'Données projet'!$E$9+1,1))</f>
        <v>181.39264602498668</v>
      </c>
      <c r="T5" s="59">
        <f t="shared" ref="T5:T68" si="34">$T$3</f>
        <v>338.52444384059521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1.0584063232156671</v>
      </c>
      <c r="AK5" s="13">
        <f t="shared" ref="AK5:AK68" si="35">EXP(-1.0587+0.8836*LN(AJ5)+0.284)</f>
        <v>0.48454592807852009</v>
      </c>
      <c r="AL5" s="20">
        <f t="shared" si="4"/>
        <v>2.6873085043373757</v>
      </c>
      <c r="AM5" s="59">
        <f t="shared" si="5"/>
        <v>261.79841961544849</v>
      </c>
      <c r="AN5" s="59">
        <f ca="1">AVERAGE(OFFSET($AM$3,0,0,'Données projet'!$E$10+1,1))-AVERAGE(OFFSET($H$3,0,0,'Données projet'!$E$10+1,1))</f>
        <v>263.30962868541337</v>
      </c>
      <c r="AO5" s="59">
        <f t="shared" ref="AO5:AO68" si="36">$AO$3</f>
        <v>269.61868559913404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10.683760683333334</v>
      </c>
      <c r="N6" s="13">
        <f>IF('Données projet'!$A$36&gt;35,N5+M6-V5,IF(A6&lt;'Données projet'!$A$36,$K$205^A6,IF(A6='Données projet'!$A$36,'Données projet'!$B$36,N5+M6-V5)))</f>
        <v>4.5813016353098099</v>
      </c>
      <c r="O6" s="13">
        <f>N6*VLOOKUP('Données projet'!$B$9,Paramètres!$A$1:$I$89,3,0)*VLOOKUP('Données projet'!$B$9,Paramètres!$A$1:$I$89,5,0)</f>
        <v>2.0154062154054917</v>
      </c>
      <c r="P6" s="13">
        <f t="shared" si="33"/>
        <v>0.85602579674747081</v>
      </c>
      <c r="Q6" s="20">
        <f t="shared" si="2"/>
        <v>5.0010774211664097</v>
      </c>
      <c r="R6" s="59">
        <f t="shared" si="0"/>
        <v>265.33441075449974</v>
      </c>
      <c r="S6" s="59">
        <f ca="1">AVERAGE(OFFSET($R$3,0,0,'Données projet'!$E$9+1,1))-AVERAGE(OFFSET($H$3,0,0,'Données projet'!$E$9+1,1))</f>
        <v>181.39264602498668</v>
      </c>
      <c r="T6" s="59">
        <f t="shared" si="34"/>
        <v>338.52444384059521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1.3452149782292753</v>
      </c>
      <c r="AK6" s="13">
        <f t="shared" si="35"/>
        <v>0.59889737003693966</v>
      </c>
      <c r="AL6" s="20">
        <f t="shared" si="4"/>
        <v>3.3859956732303242</v>
      </c>
      <c r="AM6" s="59">
        <f t="shared" si="5"/>
        <v>263.71932900656361</v>
      </c>
      <c r="AN6" s="59">
        <f ca="1">AVERAGE(OFFSET($AM$3,0,0,'Données projet'!$E$10+1,1))-AVERAGE(OFFSET($H$3,0,0,'Données projet'!$E$10+1,1))</f>
        <v>263.30962868541337</v>
      </c>
      <c r="AO6" s="59">
        <f t="shared" si="36"/>
        <v>269.61868559913404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10.683760683333334</v>
      </c>
      <c r="N7" s="13">
        <f>IF('Données projet'!$A$36&gt;35,N6+M7-V6,IF(A7&lt;'Données projet'!$A$36,$K$205^A7,IF(A7='Données projet'!$A$36,'Données projet'!$B$36,N6+M7-V6)))</f>
        <v>7.6088411227202828</v>
      </c>
      <c r="O7" s="13">
        <f>N7*VLOOKUP('Données projet'!$B$9,Paramètres!$A$1:$I$89,3,0)*VLOOKUP('Données projet'!$B$9,Paramètres!$A$1:$I$89,5,0)</f>
        <v>3.3472813867071065</v>
      </c>
      <c r="P7" s="13">
        <f t="shared" si="33"/>
        <v>1.3402015401860954</v>
      </c>
      <c r="Q7" s="20">
        <f t="shared" si="2"/>
        <v>8.1640327643389909</v>
      </c>
      <c r="R7" s="59">
        <f t="shared" si="0"/>
        <v>269.71958831989451</v>
      </c>
      <c r="S7" s="59">
        <f ca="1">AVERAGE(OFFSET($R$3,0,0,'Données projet'!$E$9+1,1))-AVERAGE(OFFSET($H$3,0,0,'Données projet'!$E$9+1,1))</f>
        <v>181.39264602498668</v>
      </c>
      <c r="T7" s="59">
        <f t="shared" si="34"/>
        <v>338.52444384059521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1.7097435058347183</v>
      </c>
      <c r="AK7" s="13">
        <f t="shared" si="35"/>
        <v>0.74023542259349984</v>
      </c>
      <c r="AL7" s="20">
        <f t="shared" si="4"/>
        <v>4.2670466336791462</v>
      </c>
      <c r="AM7" s="59">
        <f t="shared" si="5"/>
        <v>265.82260218923471</v>
      </c>
      <c r="AN7" s="59">
        <f ca="1">AVERAGE(OFFSET($AM$3,0,0,'Données projet'!$E$10+1,1))-AVERAGE(OFFSET($H$3,0,0,'Données projet'!$E$10+1,1))</f>
        <v>263.30962868541337</v>
      </c>
      <c r="AO7" s="59">
        <f t="shared" si="36"/>
        <v>269.61868559913404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10.683760683333334</v>
      </c>
      <c r="N8" s="13">
        <f>IF('Données projet'!$A$36&gt;35,N7+M8-V7,IF(A8&lt;'Données projet'!$A$36,$K$205^A8,IF(A8='Données projet'!$A$36,'Données projet'!$B$36,N7+M8-V7)))</f>
        <v>12.637121027915933</v>
      </c>
      <c r="O8" s="13">
        <f>N8*VLOOKUP('Données projet'!$B$9,Paramètres!$A$1:$I$89,3,0)*VLOOKUP('Données projet'!$B$9,Paramètres!$A$1:$I$89,5,0)</f>
        <v>5.5593222826007773</v>
      </c>
      <c r="P8" s="13">
        <f t="shared" si="33"/>
        <v>2.0982313560429389</v>
      </c>
      <c r="Q8" s="20">
        <f t="shared" si="2"/>
        <v>13.336905920637804</v>
      </c>
      <c r="R8" s="59">
        <f t="shared" si="0"/>
        <v>276.11468369841555</v>
      </c>
      <c r="S8" s="59">
        <f ca="1">AVERAGE(OFFSET($R$3,0,0,'Données projet'!$E$9+1,1))-AVERAGE(OFFSET($H$3,0,0,'Données projet'!$E$9+1,1))</f>
        <v>181.39264602498668</v>
      </c>
      <c r="T8" s="59">
        <f t="shared" si="34"/>
        <v>338.52444384059521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2.173052562640859</v>
      </c>
      <c r="AK8" s="13">
        <f t="shared" si="35"/>
        <v>0.91492884804015795</v>
      </c>
      <c r="AL8" s="20">
        <f t="shared" si="4"/>
        <v>5.3782342902694369</v>
      </c>
      <c r="AM8" s="59">
        <f t="shared" si="5"/>
        <v>268.15601206804723</v>
      </c>
      <c r="AN8" s="59">
        <f ca="1">AVERAGE(OFFSET($AM$3,0,0,'Données projet'!$E$10+1,1))-AVERAGE(OFFSET($H$3,0,0,'Données projet'!$E$10+1,1))</f>
        <v>263.30962868541337</v>
      </c>
      <c r="AO8" s="59">
        <f t="shared" si="36"/>
        <v>269.61868559913404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10.683760683333334</v>
      </c>
      <c r="N9" s="13">
        <f>IF('Données projet'!$A$36&gt;35,N8+M9-V8,IF(A9&lt;'Données projet'!$A$36,$K$205^A9,IF(A9='Données projet'!$A$36,'Données projet'!$B$36,N8+M9-V8)))</f>
        <v>20.98832467369234</v>
      </c>
      <c r="O9" s="13">
        <f>N9*VLOOKUP('Données projet'!$B$9,Paramètres!$A$1:$I$89,3,0)*VLOOKUP('Données projet'!$B$9,Paramètres!$A$1:$I$89,5,0)</f>
        <v>9.2331837904507346</v>
      </c>
      <c r="P9" s="13">
        <f t="shared" si="33"/>
        <v>3.2850095239186663</v>
      </c>
      <c r="Q9" s="20">
        <f t="shared" si="2"/>
        <v>21.802520022526707</v>
      </c>
      <c r="R9" s="59">
        <f t="shared" si="0"/>
        <v>285.80252002252672</v>
      </c>
      <c r="S9" s="59">
        <f ca="1">AVERAGE(OFFSET($R$3,0,0,'Données projet'!$E$9+1,1))-AVERAGE(OFFSET($H$3,0,0,'Données projet'!$E$9+1,1))</f>
        <v>181.39264602498668</v>
      </c>
      <c r="T9" s="59">
        <f t="shared" si="34"/>
        <v>338.52444384059521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2.7619098560018145</v>
      </c>
      <c r="AK9" s="13">
        <f t="shared" si="35"/>
        <v>1.1308494182070246</v>
      </c>
      <c r="AL9" s="20">
        <f t="shared" si="4"/>
        <v>6.7798890692470613</v>
      </c>
      <c r="AM9" s="59">
        <f t="shared" si="5"/>
        <v>270.77988906924708</v>
      </c>
      <c r="AN9" s="59">
        <f ca="1">AVERAGE(OFFSET($AM$3,0,0,'Données projet'!$E$10+1,1))-AVERAGE(OFFSET($H$3,0,0,'Données projet'!$E$10+1,1))</f>
        <v>263.30962868541337</v>
      </c>
      <c r="AO9" s="59">
        <f t="shared" si="36"/>
        <v>269.61868559913404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10.683760683333334</v>
      </c>
      <c r="N10" s="13">
        <f>IF('Données projet'!$A$36&gt;35,N9+M10-V9,IF(A10&lt;'Données projet'!$A$36,$K$205^A10,IF(A10='Données projet'!$A$36,'Données projet'!$B$36,N9+M10-V9)))</f>
        <v>34.858396278330964</v>
      </c>
      <c r="O10" s="13">
        <f>N10*VLOOKUP('Données projet'!$B$9,Paramètres!$A$1:$I$89,3,0)*VLOOKUP('Données projet'!$B$9,Paramètres!$A$1:$I$89,5,0)</f>
        <v>15.334905690763357</v>
      </c>
      <c r="P10" s="13">
        <f t="shared" si="33"/>
        <v>5.1430398946032652</v>
      </c>
      <c r="Q10" s="20">
        <f t="shared" si="2"/>
        <v>35.665755227846866</v>
      </c>
      <c r="R10" s="59">
        <f t="shared" si="0"/>
        <v>300.88797745006912</v>
      </c>
      <c r="S10" s="59">
        <f ca="1">AVERAGE(OFFSET($R$3,0,0,'Données projet'!$E$9+1,1))-AVERAGE(OFFSET($H$3,0,0,'Données projet'!$E$9+1,1))</f>
        <v>181.39264602498668</v>
      </c>
      <c r="T10" s="59">
        <f t="shared" si="34"/>
        <v>338.52444384059521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3.510336649845994</v>
      </c>
      <c r="AK10" s="13">
        <f t="shared" si="35"/>
        <v>1.397726620379814</v>
      </c>
      <c r="AL10" s="20">
        <f t="shared" si="4"/>
        <v>8.5482101956432839</v>
      </c>
      <c r="AM10" s="59">
        <f t="shared" si="5"/>
        <v>273.77043241786549</v>
      </c>
      <c r="AN10" s="59">
        <f ca="1">AVERAGE(OFFSET($AM$3,0,0,'Données projet'!$E$10+1,1))-AVERAGE(OFFSET($H$3,0,0,'Données projet'!$E$10+1,1))</f>
        <v>263.30962868541337</v>
      </c>
      <c r="AO10" s="59">
        <f t="shared" si="36"/>
        <v>269.61868559913404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10.683760683333334</v>
      </c>
      <c r="N11" s="13">
        <f>IF('Données projet'!$A$36&gt;35,N10+M11-V10,IF(A11&lt;'Données projet'!$A$36,$K$205^A11,IF(A11='Données projet'!$A$36,'Données projet'!$B$36,N10+M11-V10)))</f>
        <v>57.894463230799253</v>
      </c>
      <c r="O11" s="13">
        <f>N11*VLOOKUP('Données projet'!$B$9,Paramètres!$A$1:$I$89,3,0)*VLOOKUP('Données projet'!$B$9,Paramètres!$A$1:$I$89,5,0)</f>
        <v>25.468932264493208</v>
      </c>
      <c r="P11" s="13">
        <f t="shared" si="33"/>
        <v>8.0519886365284279</v>
      </c>
      <c r="Q11" s="20">
        <f t="shared" si="2"/>
        <v>58.382270569279349</v>
      </c>
      <c r="R11" s="59">
        <f t="shared" si="0"/>
        <v>324.8267150137238</v>
      </c>
      <c r="S11" s="59">
        <f ca="1">AVERAGE(OFFSET($R$3,0,0,'Données projet'!$E$9+1,1))-AVERAGE(OFFSET($H$3,0,0,'Données projet'!$E$9+1,1))</f>
        <v>181.39264602498668</v>
      </c>
      <c r="T11" s="59">
        <f t="shared" si="34"/>
        <v>338.52444384059521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4.4615733451526163</v>
      </c>
      <c r="AK11" s="13">
        <f t="shared" si="35"/>
        <v>1.7275860727911023</v>
      </c>
      <c r="AL11" s="20">
        <f t="shared" si="4"/>
        <v>10.779452652918643</v>
      </c>
      <c r="AM11" s="59">
        <f t="shared" si="5"/>
        <v>277.22389709736308</v>
      </c>
      <c r="AN11" s="59">
        <f ca="1">AVERAGE(OFFSET($AM$3,0,0,'Données projet'!$E$10+1,1))-AVERAGE(OFFSET($H$3,0,0,'Données projet'!$E$10+1,1))</f>
        <v>263.30962868541337</v>
      </c>
      <c r="AO11" s="59">
        <f t="shared" si="36"/>
        <v>269.61868559913404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96.153846150000007</v>
      </c>
      <c r="L12" s="12">
        <f>VLOOKUP(A12,'Données projet'!$A$35:$I$55,9,0)</f>
        <v>10.683760683333334</v>
      </c>
      <c r="M12" s="12">
        <f t="array" ref="M12">INDEX(L:L,MIN(IF(ISNUMBER(L12:L208),ROW(L12:L208),"")))</f>
        <v>10.683760683333334</v>
      </c>
      <c r="N12" s="13">
        <f>IF('Données projet'!$A$36&gt;35,N11+M12-V11,IF(A12&lt;'Données projet'!$A$36,$K$205^A12,IF(A12='Données projet'!$A$36,'Données projet'!$B$36,N11+M12-V11)))</f>
        <v>96.153846150000007</v>
      </c>
      <c r="O12" s="13">
        <f>N12*VLOOKUP('Données projet'!$B$9,Paramètres!$A$1:$I$89,3,0)*VLOOKUP('Données projet'!$B$9,Paramètres!$A$1:$I$89,5,0)</f>
        <v>42.299999998307996</v>
      </c>
      <c r="P12" s="13">
        <f t="shared" si="33"/>
        <v>12.60626445282208</v>
      </c>
      <c r="Q12" s="20">
        <f t="shared" si="2"/>
        <v>95.628410585718214</v>
      </c>
      <c r="R12" s="59">
        <f t="shared" si="0"/>
        <v>363.29507725238489</v>
      </c>
      <c r="S12" s="59">
        <f ca="1">AVERAGE(OFFSET($R$3,0,0,'Données projet'!$E$9+1,1))-AVERAGE(OFFSET($H$3,0,0,'Données projet'!$E$9+1,1))</f>
        <v>181.39264602498668</v>
      </c>
      <c r="T12" s="59">
        <f t="shared" si="34"/>
        <v>338.52444384059521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5.6705776966005823</v>
      </c>
      <c r="AK12" s="13">
        <f t="shared" si="35"/>
        <v>2.1352914049034637</v>
      </c>
      <c r="AL12" s="20">
        <f t="shared" si="4"/>
        <v>13.59522201845288</v>
      </c>
      <c r="AM12" s="59">
        <f t="shared" si="5"/>
        <v>281.26188868511957</v>
      </c>
      <c r="AN12" s="59">
        <f ca="1">AVERAGE(OFFSET($AM$3,0,0,'Données projet'!$E$10+1,1))-AVERAGE(OFFSET($H$3,0,0,'Données projet'!$E$10+1,1))</f>
        <v>263.30962868541337</v>
      </c>
      <c r="AO12" s="59">
        <f t="shared" si="36"/>
        <v>269.61868559913404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35.256410250000002</v>
      </c>
      <c r="N13" s="13">
        <f>IF('Données projet'!$A$36&gt;35,N12+M13-V12,IF(A13&lt;'Données projet'!$A$36,$K$205^A13,IF(A13='Données projet'!$A$36,'Données projet'!$B$36,N12+M13-V12)))</f>
        <v>131.41025640000001</v>
      </c>
      <c r="O13" s="13">
        <f>N13*VLOOKUP('Données projet'!$B$9,Paramètres!$A$1:$I$89,3,0)*VLOOKUP('Données projet'!$B$9,Paramètres!$A$1:$I$89,5,0)</f>
        <v>57.809999995487999</v>
      </c>
      <c r="P13" s="13">
        <f t="shared" si="33"/>
        <v>16.613375781433529</v>
      </c>
      <c r="Q13" s="20">
        <f t="shared" si="2"/>
        <v>129.62071281147163</v>
      </c>
      <c r="R13" s="59">
        <f t="shared" si="0"/>
        <v>398.50960170036046</v>
      </c>
      <c r="S13" s="59">
        <f ca="1">AVERAGE(OFFSET($R$3,0,0,'Données projet'!$E$9+1,1))-AVERAGE(OFFSET($H$3,0,0,'Données projet'!$E$9+1,1))</f>
        <v>181.39264602498668</v>
      </c>
      <c r="T13" s="59">
        <f t="shared" si="34"/>
        <v>338.52444384059521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7.2072000000000003</v>
      </c>
      <c r="AK13" s="13">
        <f t="shared" si="35"/>
        <v>2.6392140198770462</v>
      </c>
      <c r="AL13" s="20">
        <f t="shared" si="4"/>
        <v>17.149171084619187</v>
      </c>
      <c r="AM13" s="59">
        <f t="shared" si="5"/>
        <v>286.03805997350804</v>
      </c>
      <c r="AN13" s="59">
        <f ca="1">AVERAGE(OFFSET($AM$3,0,0,'Données projet'!$E$10+1,1))-AVERAGE(OFFSET($H$3,0,0,'Données projet'!$E$10+1,1))</f>
        <v>263.30962868541337</v>
      </c>
      <c r="AO13" s="59">
        <f t="shared" si="36"/>
        <v>269.61868559913404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35.256410250000002</v>
      </c>
      <c r="N14" s="13">
        <f>IF('Données projet'!$A$36&gt;35,N13+M14-V13,IF(A14&lt;'Données projet'!$A$36,$K$205^A14,IF(A14='Données projet'!$A$36,'Données projet'!$B$36,N13+M14-V13)))</f>
        <v>166.66666665000002</v>
      </c>
      <c r="O14" s="13">
        <f>N14*VLOOKUP('Données projet'!$B$9,Paramètres!$A$1:$I$89,3,0)*VLOOKUP('Données projet'!$B$9,Paramètres!$A$1:$I$89,5,0)</f>
        <v>73.319999992668002</v>
      </c>
      <c r="P14" s="13">
        <f t="shared" si="33"/>
        <v>20.495693941561068</v>
      </c>
      <c r="Q14" s="20">
        <f t="shared" si="2"/>
        <v>163.39566693544896</v>
      </c>
      <c r="R14" s="59">
        <f t="shared" si="0"/>
        <v>433.5067780465601</v>
      </c>
      <c r="S14" s="59">
        <f ca="1">AVERAGE(OFFSET($R$3,0,0,'Données projet'!$E$9+1,1))-AVERAGE(OFFSET($H$3,0,0,'Données projet'!$E$9+1,1))</f>
        <v>181.39264602498668</v>
      </c>
      <c r="T14" s="59">
        <f t="shared" si="34"/>
        <v>338.52444384059521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6.8</v>
      </c>
      <c r="AI14" s="13">
        <f>IF('Données projet'!$A$62&gt;35,AI13+AH14-AQ13,IF(A14&lt;'Données projet'!$A$62,$AF$205^A14,IF(A14='Données projet'!$A$62,'Données projet'!$B$62,AI13+AH14-AQ13)))</f>
        <v>16.8</v>
      </c>
      <c r="AJ14" s="13">
        <f>AI14*VLOOKUP('Données projet'!$B$10,Paramètres!$A$1:$I$89,3,0)*VLOOKUP('Données projet'!$B$10,Paramètres!$A$1:$I$89,5,0)</f>
        <v>11.00736</v>
      </c>
      <c r="AK14" s="13">
        <f t="shared" si="35"/>
        <v>3.8369250365307539</v>
      </c>
      <c r="AL14" s="20">
        <f t="shared" si="4"/>
        <v>25.853796438624396</v>
      </c>
      <c r="AM14" s="59">
        <f t="shared" si="5"/>
        <v>295.96490754973553</v>
      </c>
      <c r="AN14" s="59">
        <f ca="1">AVERAGE(OFFSET($AM$3,0,0,'Données projet'!$E$10+1,1))-AVERAGE(OFFSET($H$3,0,0,'Données projet'!$E$10+1,1))</f>
        <v>263.30962868541337</v>
      </c>
      <c r="AO14" s="59">
        <f t="shared" si="36"/>
        <v>269.61868559913404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35.256410250000002</v>
      </c>
      <c r="N15" s="13">
        <f>IF('Données projet'!$A$36&gt;35,N14+M15-V14,IF(A15&lt;'Données projet'!$A$36,$K$205^A15,IF(A15='Données projet'!$A$36,'Données projet'!$B$36,N14+M15-V14)))</f>
        <v>201.92307690000001</v>
      </c>
      <c r="O15" s="13">
        <f>N15*VLOOKUP('Données projet'!$B$9,Paramètres!$A$1:$I$89,3,0)*VLOOKUP('Données projet'!$B$9,Paramètres!$A$1:$I$89,5,0)</f>
        <v>88.829999989847991</v>
      </c>
      <c r="P15" s="13">
        <f t="shared" si="33"/>
        <v>24.282834630776605</v>
      </c>
      <c r="Q15" s="20">
        <f t="shared" si="2"/>
        <v>197.00485363092116</v>
      </c>
      <c r="R15" s="59">
        <f t="shared" si="0"/>
        <v>468.33818696425448</v>
      </c>
      <c r="S15" s="59">
        <f ca="1">AVERAGE(OFFSET($R$3,0,0,'Données projet'!$E$9+1,1))-AVERAGE(OFFSET($H$3,0,0,'Données projet'!$E$9+1,1))</f>
        <v>181.39264602498668</v>
      </c>
      <c r="T15" s="59">
        <f t="shared" si="34"/>
        <v>338.52444384059521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6.8</v>
      </c>
      <c r="AI15" s="13">
        <f>IF('Données projet'!$A$62&gt;35,AI14+AH15-AQ14,IF(A15&lt;'Données projet'!$A$62,$AF$205^A15,IF(A15='Données projet'!$A$62,'Données projet'!$B$62,AI14+AH15-AQ14)))</f>
        <v>23.6</v>
      </c>
      <c r="AJ15" s="13">
        <f>AI15*VLOOKUP('Données projet'!$B$10,Paramètres!$A$1:$I$89,3,0)*VLOOKUP('Données projet'!$B$10,Paramètres!$A$1:$I$89,5,0)</f>
        <v>15.462720000000001</v>
      </c>
      <c r="AK15" s="13">
        <f t="shared" si="35"/>
        <v>5.1808984376512361</v>
      </c>
      <c r="AL15" s="20">
        <f t="shared" si="4"/>
        <v>35.954302112242566</v>
      </c>
      <c r="AM15" s="59">
        <f t="shared" si="5"/>
        <v>307.28763544557586</v>
      </c>
      <c r="AN15" s="59">
        <f ca="1">AVERAGE(OFFSET($AM$3,0,0,'Données projet'!$E$10+1,1))-AVERAGE(OFFSET($H$3,0,0,'Données projet'!$E$10+1,1))</f>
        <v>263.30962868541337</v>
      </c>
      <c r="AO15" s="59">
        <f t="shared" si="36"/>
        <v>269.61868559913404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35.256410250000002</v>
      </c>
      <c r="N16" s="13">
        <f>IF('Données projet'!$A$36&gt;35,N15+M16-V15,IF(A16&lt;'Données projet'!$A$36,$K$205^A16,IF(A16='Données projet'!$A$36,'Données projet'!$B$36,N15+M16-V15)))</f>
        <v>237.17948715</v>
      </c>
      <c r="O16" s="13">
        <f>N16*VLOOKUP('Données projet'!$B$9,Paramètres!$A$1:$I$89,3,0)*VLOOKUP('Données projet'!$B$9,Paramètres!$A$1:$I$89,5,0)</f>
        <v>104.33999998702799</v>
      </c>
      <c r="P16" s="13">
        <f t="shared" si="33"/>
        <v>27.99337231285903</v>
      </c>
      <c r="Q16" s="20">
        <f t="shared" si="2"/>
        <v>230.48062342230324</v>
      </c>
      <c r="R16" s="59">
        <f t="shared" si="0"/>
        <v>503.03617897785875</v>
      </c>
      <c r="S16" s="59">
        <f ca="1">AVERAGE(OFFSET($R$3,0,0,'Données projet'!$E$9+1,1))-AVERAGE(OFFSET($H$3,0,0,'Données projet'!$E$9+1,1))</f>
        <v>181.39264602498668</v>
      </c>
      <c r="T16" s="59">
        <f t="shared" si="34"/>
        <v>338.52444384059521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6.8</v>
      </c>
      <c r="AI16" s="13">
        <f>IF('Données projet'!$A$62&gt;35,AI15+AH16-AQ15,IF(A16&lt;'Données projet'!$A$62,$AF$205^A16,IF(A16='Données projet'!$A$62,'Données projet'!$B$62,AI15+AH16-AQ15)))</f>
        <v>30.400000000000002</v>
      </c>
      <c r="AJ16" s="13">
        <f>AI16*VLOOKUP('Données projet'!$B$10,Paramètres!$A$1:$I$89,3,0)*VLOOKUP('Données projet'!$B$10,Paramètres!$A$1:$I$89,5,0)</f>
        <v>19.918080000000003</v>
      </c>
      <c r="AK16" s="13">
        <f t="shared" si="35"/>
        <v>6.4798825087607046</v>
      </c>
      <c r="AL16" s="20">
        <f t="shared" si="4"/>
        <v>45.976451369424893</v>
      </c>
      <c r="AM16" s="59">
        <f t="shared" si="5"/>
        <v>318.53200692498046</v>
      </c>
      <c r="AN16" s="59">
        <f ca="1">AVERAGE(OFFSET($AM$3,0,0,'Données projet'!$E$10+1,1))-AVERAGE(OFFSET($H$3,0,0,'Données projet'!$E$10+1,1))</f>
        <v>263.30962868541337</v>
      </c>
      <c r="AO16" s="59">
        <f t="shared" si="36"/>
        <v>269.61868559913404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272.43589739999999</v>
      </c>
      <c r="L17" s="12">
        <f>VLOOKUP(A17,'Données projet'!$A$35:$I$55,9,0)</f>
        <v>35.256410250000002</v>
      </c>
      <c r="M17" s="12">
        <f t="array" ref="M17">INDEX(L:L,MIN(IF(ISNUMBER(L17:L213),ROW(L17:L213),"")))</f>
        <v>35.256410250000002</v>
      </c>
      <c r="N17" s="13">
        <f>IF('Données projet'!$A$36&gt;35,N16+M17-V16,IF(A17&lt;'Données projet'!$A$36,$K$205^A17,IF(A17='Données projet'!$A$36,'Données projet'!$B$36,N16+M17-V16)))</f>
        <v>272.43589739999999</v>
      </c>
      <c r="O17" s="13">
        <f>N17*VLOOKUP('Données projet'!$B$9,Paramètres!$A$1:$I$89,3,0)*VLOOKUP('Données projet'!$B$9,Paramètres!$A$1:$I$89,5,0)</f>
        <v>119.849999984208</v>
      </c>
      <c r="P17" s="13">
        <f t="shared" si="33"/>
        <v>31.640011707372793</v>
      </c>
      <c r="Q17" s="20">
        <f t="shared" si="2"/>
        <v>263.84510369616982</v>
      </c>
      <c r="R17" s="59">
        <f t="shared" si="0"/>
        <v>537.62288147394759</v>
      </c>
      <c r="S17" s="59">
        <f ca="1">AVERAGE(OFFSET($R$3,0,0,'Données projet'!$E$9+1,1))-AVERAGE(OFFSET($H$3,0,0,'Données projet'!$E$9+1,1))</f>
        <v>181.39264602498668</v>
      </c>
      <c r="T17" s="59">
        <f t="shared" si="34"/>
        <v>338.52444384059521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6.8</v>
      </c>
      <c r="AI17" s="13">
        <f>IF('Données projet'!$A$62&gt;35,AI16+AH17-AQ16,IF(A17&lt;'Données projet'!$A$62,$AF$205^A17,IF(A17='Données projet'!$A$62,'Données projet'!$B$62,AI16+AH17-AQ16)))</f>
        <v>37.200000000000003</v>
      </c>
      <c r="AJ17" s="13">
        <f>AI17*VLOOKUP('Données projet'!$B$10,Paramètres!$A$1:$I$89,3,0)*VLOOKUP('Données projet'!$B$10,Paramètres!$A$1:$I$89,5,0)</f>
        <v>24.373440000000002</v>
      </c>
      <c r="AK17" s="13">
        <f t="shared" si="35"/>
        <v>7.7451846247230876</v>
      </c>
      <c r="AL17" s="20">
        <f t="shared" si="4"/>
        <v>55.939937888059376</v>
      </c>
      <c r="AM17" s="59">
        <f t="shared" si="5"/>
        <v>329.71771566583715</v>
      </c>
      <c r="AN17" s="59">
        <f ca="1">AVERAGE(OFFSET($AM$3,0,0,'Données projet'!$E$10+1,1))-AVERAGE(OFFSET($H$3,0,0,'Données projet'!$E$10+1,1))</f>
        <v>263.30962868541337</v>
      </c>
      <c r="AO17" s="59">
        <f t="shared" si="36"/>
        <v>269.61868559913404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7.0512820600000055</v>
      </c>
      <c r="N18" s="13">
        <f>IF('Données projet'!$A$36&gt;35,N17+M18-V17,IF(A18&lt;'Données projet'!$A$36,$K$205^A18,IF(A18='Données projet'!$A$36,'Données projet'!$B$36,N17+M18-V17)))</f>
        <v>279.48717945999999</v>
      </c>
      <c r="O18" s="13">
        <f>N18*VLOOKUP('Données projet'!$B$9,Paramètres!$A$1:$I$89,3,0)*VLOOKUP('Données projet'!$B$9,Paramètres!$A$1:$I$89,5,0)</f>
        <v>122.95199998804318</v>
      </c>
      <c r="P18" s="13">
        <f t="shared" si="33"/>
        <v>32.362527975190197</v>
      </c>
      <c r="Q18" s="20">
        <f t="shared" si="2"/>
        <v>270.50613620263147</v>
      </c>
      <c r="R18" s="59">
        <f t="shared" si="0"/>
        <v>545.50613620263152</v>
      </c>
      <c r="S18" s="59">
        <f ca="1">AVERAGE(OFFSET($R$3,0,0,'Données projet'!$E$9+1,1))-AVERAGE(OFFSET($H$3,0,0,'Données projet'!$E$9+1,1))</f>
        <v>181.39264602498668</v>
      </c>
      <c r="T18" s="59">
        <f t="shared" si="34"/>
        <v>338.52444384059521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44</v>
      </c>
      <c r="AG18" s="12">
        <f>VLOOKUP(A18,'Données projet'!$A$61:$I$81,9,0)</f>
        <v>6.8</v>
      </c>
      <c r="AH18" s="12">
        <f t="array" ref="AH18">INDEX(AG:AG,MIN(IF(ISNUMBER(AG18:AG214),ROW(AG18:AG214),"")))</f>
        <v>6.8</v>
      </c>
      <c r="AI18" s="13">
        <f>IF('Données projet'!$A$62&gt;35,AI17+AH18-AQ17,IF(A18&lt;'Données projet'!$A$62,$AF$205^A18,IF(A18='Données projet'!$A$62,'Données projet'!$B$62,AI17+AH18-AQ17)))</f>
        <v>44</v>
      </c>
      <c r="AJ18" s="13">
        <f>AI18*VLOOKUP('Données projet'!$B$10,Paramètres!$A$1:$I$89,3,0)*VLOOKUP('Données projet'!$B$10,Paramètres!$A$1:$I$89,5,0)</f>
        <v>28.828800000000001</v>
      </c>
      <c r="AK18" s="13">
        <f t="shared" si="35"/>
        <v>8.983691253405949</v>
      </c>
      <c r="AL18" s="20">
        <f t="shared" si="4"/>
        <v>65.856755599682032</v>
      </c>
      <c r="AM18" s="59">
        <f t="shared" si="5"/>
        <v>340.85675559968206</v>
      </c>
      <c r="AN18" s="59">
        <f ca="1">AVERAGE(OFFSET($AM$3,0,0,'Données projet'!$E$10+1,1))-AVERAGE(OFFSET($H$3,0,0,'Données projet'!$E$10+1,1))</f>
        <v>263.30962868541337</v>
      </c>
      <c r="AO18" s="59">
        <f t="shared" si="36"/>
        <v>269.61868559913404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7.0512820600000055</v>
      </c>
      <c r="N19" s="13">
        <f>IF('Données projet'!$A$36&gt;35,N18+M19-V18,IF(A19&lt;'Données projet'!$A$36,$K$205^A19,IF(A19='Données projet'!$A$36,'Données projet'!$B$36,N18+M19-V18)))</f>
        <v>286.53846152</v>
      </c>
      <c r="O19" s="13">
        <f>N19*VLOOKUP('Données projet'!$B$9,Paramètres!$A$1:$I$89,3,0)*VLOOKUP('Données projet'!$B$9,Paramètres!$A$1:$I$89,5,0)</f>
        <v>126.05399999187838</v>
      </c>
      <c r="P19" s="13">
        <f t="shared" si="33"/>
        <v>33.082925306419682</v>
      </c>
      <c r="Q19" s="20">
        <f t="shared" si="2"/>
        <v>277.16347822786918</v>
      </c>
      <c r="R19" s="59">
        <f t="shared" si="0"/>
        <v>553.38570045009146</v>
      </c>
      <c r="S19" s="59">
        <f ca="1">AVERAGE(OFFSET($R$3,0,0,'Données projet'!$E$9+1,1))-AVERAGE(OFFSET($H$3,0,0,'Données projet'!$E$9+1,1))</f>
        <v>181.39264602498668</v>
      </c>
      <c r="T19" s="59">
        <f t="shared" si="34"/>
        <v>338.52444384059521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</v>
      </c>
      <c r="AI19" s="13">
        <f>IF('Données projet'!$A$62&gt;35,AI18+AH19-AQ18,IF(A19&lt;'Données projet'!$A$62,$AF$205^A19,IF(A19='Données projet'!$A$62,'Données projet'!$B$62,AI18+AH19-AQ18)))</f>
        <v>52</v>
      </c>
      <c r="AJ19" s="13">
        <f>AI19*VLOOKUP('Données projet'!$B$10,Paramètres!$A$1:$I$89,3,0)*VLOOKUP('Données projet'!$B$10,Paramètres!$A$1:$I$89,5,0)</f>
        <v>34.070399999999999</v>
      </c>
      <c r="AK19" s="13">
        <f t="shared" si="35"/>
        <v>10.412633617059315</v>
      </c>
      <c r="AL19" s="20">
        <f t="shared" si="4"/>
        <v>77.474616883044959</v>
      </c>
      <c r="AM19" s="59">
        <f t="shared" si="5"/>
        <v>353.6968391052672</v>
      </c>
      <c r="AN19" s="59">
        <f ca="1">AVERAGE(OFFSET($AM$3,0,0,'Données projet'!$E$10+1,1))-AVERAGE(OFFSET($H$3,0,0,'Données projet'!$E$10+1,1))</f>
        <v>263.30962868541337</v>
      </c>
      <c r="AO19" s="59">
        <f t="shared" si="36"/>
        <v>269.61868559913404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7.0512820600000055</v>
      </c>
      <c r="N20" s="13">
        <f>IF('Données projet'!$A$36&gt;35,N19+M20-V19,IF(A20&lt;'Données projet'!$A$36,$K$205^A20,IF(A20='Données projet'!$A$36,'Données projet'!$B$36,N19+M20-V19)))</f>
        <v>293.58974358</v>
      </c>
      <c r="O20" s="13">
        <f>N20*VLOOKUP('Données projet'!$B$9,Paramètres!$A$1:$I$89,3,0)*VLOOKUP('Données projet'!$B$9,Paramètres!$A$1:$I$89,5,0)</f>
        <v>129.15599999571359</v>
      </c>
      <c r="P20" s="13">
        <f t="shared" si="33"/>
        <v>33.801261843034013</v>
      </c>
      <c r="Q20" s="20">
        <f t="shared" si="2"/>
        <v>283.81723103581874</v>
      </c>
      <c r="R20" s="59">
        <f t="shared" si="0"/>
        <v>561.26167548026319</v>
      </c>
      <c r="S20" s="59">
        <f ca="1">AVERAGE(OFFSET($R$3,0,0,'Données projet'!$E$9+1,1))-AVERAGE(OFFSET($H$3,0,0,'Données projet'!$E$9+1,1))</f>
        <v>181.39264602498668</v>
      </c>
      <c r="T20" s="59">
        <f t="shared" si="34"/>
        <v>338.52444384059521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</v>
      </c>
      <c r="AI20" s="13">
        <f>IF('Données projet'!$A$62&gt;35,AI19+AH20-AQ19,IF(A20&lt;'Données projet'!$A$62,$AF$205^A20,IF(A20='Données projet'!$A$62,'Données projet'!$B$62,AI19+AH20-AQ19)))</f>
        <v>64</v>
      </c>
      <c r="AJ20" s="13">
        <f>AI20*VLOOKUP('Données projet'!$B$10,Paramètres!$A$1:$I$89,3,0)*VLOOKUP('Données projet'!$B$10,Paramètres!$A$1:$I$89,5,0)</f>
        <v>41.9328</v>
      </c>
      <c r="AK20" s="13">
        <f t="shared" si="35"/>
        <v>12.509520351031938</v>
      </c>
      <c r="AL20" s="20">
        <f t="shared" si="4"/>
        <v>94.820374611380615</v>
      </c>
      <c r="AM20" s="59">
        <f t="shared" si="5"/>
        <v>372.26481905582506</v>
      </c>
      <c r="AN20" s="59">
        <f ca="1">AVERAGE(OFFSET($AM$3,0,0,'Données projet'!$E$10+1,1))-AVERAGE(OFFSET($H$3,0,0,'Données projet'!$E$10+1,1))</f>
        <v>263.30962868541337</v>
      </c>
      <c r="AO20" s="59">
        <f t="shared" si="36"/>
        <v>269.61868559913404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7.0512820600000055</v>
      </c>
      <c r="N21" s="13">
        <f>IF('Données projet'!$A$36&gt;35,N20+M21-V20,IF(A21&lt;'Données projet'!$A$36,$K$205^A21,IF(A21='Données projet'!$A$36,'Données projet'!$B$36,N20+M21-V20)))</f>
        <v>300.64102564000001</v>
      </c>
      <c r="O21" s="13">
        <f>N21*VLOOKUP('Données projet'!$B$9,Paramètres!$A$1:$I$89,3,0)*VLOOKUP('Données projet'!$B$9,Paramètres!$A$1:$I$89,5,0)</f>
        <v>132.25799999954879</v>
      </c>
      <c r="P21" s="13">
        <f t="shared" si="33"/>
        <v>34.517592774889074</v>
      </c>
      <c r="Q21" s="20">
        <f t="shared" si="2"/>
        <v>290.46749074881262</v>
      </c>
      <c r="R21" s="59">
        <f t="shared" si="0"/>
        <v>569.13415741547931</v>
      </c>
      <c r="S21" s="59">
        <f ca="1">AVERAGE(OFFSET($R$3,0,0,'Données projet'!$E$9+1,1))-AVERAGE(OFFSET($H$3,0,0,'Données projet'!$E$9+1,1))</f>
        <v>181.39264602498668</v>
      </c>
      <c r="T21" s="59">
        <f t="shared" si="34"/>
        <v>338.52444384059521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</v>
      </c>
      <c r="AI21" s="13">
        <f>IF('Données projet'!$A$62&gt;35,AI20+AH21-AQ20,IF(A21&lt;'Données projet'!$A$62,$AF$205^A21,IF(A21='Données projet'!$A$62,'Données projet'!$B$62,AI20+AH21-AQ20)))</f>
        <v>76</v>
      </c>
      <c r="AJ21" s="13">
        <f>AI21*VLOOKUP('Données projet'!$B$10,Paramètres!$A$1:$I$89,3,0)*VLOOKUP('Données projet'!$B$10,Paramètres!$A$1:$I$89,5,0)</f>
        <v>49.795200000000001</v>
      </c>
      <c r="AK21" s="13">
        <f t="shared" si="35"/>
        <v>14.560856542690781</v>
      </c>
      <c r="AL21" s="20">
        <f t="shared" si="4"/>
        <v>112.08679847851977</v>
      </c>
      <c r="AM21" s="59">
        <f t="shared" si="5"/>
        <v>390.75346514518645</v>
      </c>
      <c r="AN21" s="59">
        <f ca="1">AVERAGE(OFFSET($AM$3,0,0,'Données projet'!$E$10+1,1))-AVERAGE(OFFSET($H$3,0,0,'Données projet'!$E$10+1,1))</f>
        <v>263.30962868541337</v>
      </c>
      <c r="AO21" s="59">
        <f t="shared" si="36"/>
        <v>269.61868559913404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307.69230770000001</v>
      </c>
      <c r="L22" s="12">
        <f>VLOOKUP(A22,'Données projet'!$A$35:$I$55,9,0)</f>
        <v>7.0512820600000055</v>
      </c>
      <c r="M22" s="12">
        <f t="array" ref="M22">INDEX(L:L,MIN(IF(ISNUMBER(L22:L218),ROW(L22:L218),"")))</f>
        <v>7.0512820600000055</v>
      </c>
      <c r="N22" s="13">
        <f>IF('Données projet'!$A$36&gt;35,N21+M22-V21,IF(A22&lt;'Données projet'!$A$36,$K$205^A22,IF(A22='Données projet'!$A$36,'Données projet'!$B$36,N21+M22-V21)))</f>
        <v>307.69230770000001</v>
      </c>
      <c r="O22" s="13">
        <f>N22*VLOOKUP('Données projet'!$B$9,Paramètres!$A$1:$I$89,3,0)*VLOOKUP('Données projet'!$B$9,Paramètres!$A$1:$I$89,5,0)</f>
        <v>135.36000000338399</v>
      </c>
      <c r="P22" s="13">
        <f t="shared" si="33"/>
        <v>35.231970555286608</v>
      </c>
      <c r="Q22" s="20">
        <f t="shared" si="2"/>
        <v>297.11434872301794</v>
      </c>
      <c r="R22" s="59">
        <f t="shared" si="0"/>
        <v>577.0032376119068</v>
      </c>
      <c r="S22" s="59">
        <f ca="1">AVERAGE(OFFSET($R$3,0,0,'Données projet'!$E$9+1,1))-AVERAGE(OFFSET($H$3,0,0,'Données projet'!$E$9+1,1))</f>
        <v>181.39264602498668</v>
      </c>
      <c r="T22" s="59">
        <f t="shared" si="34"/>
        <v>338.52444384059521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</v>
      </c>
      <c r="AI22" s="13">
        <f>IF('Données projet'!$A$62&gt;35,AI21+AH22-AQ21,IF(A22&lt;'Données projet'!$A$62,$AF$205^A22,IF(A22='Données projet'!$A$62,'Données projet'!$B$62,AI21+AH22-AQ21)))</f>
        <v>88</v>
      </c>
      <c r="AJ22" s="13">
        <f>AI22*VLOOKUP('Données projet'!$B$10,Paramètres!$A$1:$I$89,3,0)*VLOOKUP('Données projet'!$B$10,Paramètres!$A$1:$I$89,5,0)</f>
        <v>57.657600000000002</v>
      </c>
      <c r="AK22" s="13">
        <f t="shared" si="35"/>
        <v>16.574671209026025</v>
      </c>
      <c r="AL22" s="20">
        <f t="shared" si="4"/>
        <v>129.28787235572034</v>
      </c>
      <c r="AM22" s="59">
        <f t="shared" si="5"/>
        <v>409.17676124460922</v>
      </c>
      <c r="AN22" s="59">
        <f ca="1">AVERAGE(OFFSET($AM$3,0,0,'Données projet'!$E$10+1,1))-AVERAGE(OFFSET($H$3,0,0,'Données projet'!$E$10+1,1))</f>
        <v>263.30962868541337</v>
      </c>
      <c r="AO22" s="59">
        <f t="shared" si="36"/>
        <v>269.61868559913404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2.5641025599999923</v>
      </c>
      <c r="N23" s="13">
        <f>IF('Données projet'!$A$36&gt;35,N22+M23-V22,IF(A23&lt;'Données projet'!$A$36,$K$205^A23,IF(A23='Données projet'!$A$36,'Données projet'!$B$36,N22+M23-V22)))</f>
        <v>310.25641026</v>
      </c>
      <c r="O23" s="13">
        <f>N23*VLOOKUP('Données projet'!$B$9,Paramètres!$A$1:$I$89,3,0)*VLOOKUP('Données projet'!$B$9,Paramètres!$A$1:$I$89,5,0)</f>
        <v>136.48800000157919</v>
      </c>
      <c r="P23" s="13">
        <f t="shared" si="33"/>
        <v>35.491269865527158</v>
      </c>
      <c r="Q23" s="20">
        <f t="shared" si="2"/>
        <v>299.53056168521022</v>
      </c>
      <c r="R23" s="59">
        <f t="shared" si="0"/>
        <v>580.64167279632136</v>
      </c>
      <c r="S23" s="59">
        <f ca="1">AVERAGE(OFFSET($R$3,0,0,'Données projet'!$E$9+1,1))-AVERAGE(OFFSET($H$3,0,0,'Données projet'!$E$9+1,1))</f>
        <v>181.39264602498668</v>
      </c>
      <c r="T23" s="59">
        <f t="shared" si="34"/>
        <v>338.52444384059521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100</v>
      </c>
      <c r="AG23" s="12">
        <f>VLOOKUP(A23,'Données projet'!$A$61:$I$81,9,0)</f>
        <v>12</v>
      </c>
      <c r="AH23" s="12">
        <f t="array" ref="AH23">INDEX(AG:AG,MIN(IF(ISNUMBER(AG23:AG219),ROW(AG23:AG219),"")))</f>
        <v>12</v>
      </c>
      <c r="AI23" s="13">
        <f>IF('Données projet'!$A$62&gt;35,AI22+AH23-AQ22,IF(A23&lt;'Données projet'!$A$62,$AF$205^A23,IF(A23='Données projet'!$A$62,'Données projet'!$B$62,AI22+AH23-AQ22)))</f>
        <v>100</v>
      </c>
      <c r="AJ23" s="13">
        <f>AI23*VLOOKUP('Données projet'!$B$10,Paramètres!$A$1:$I$89,3,0)*VLOOKUP('Données projet'!$B$10,Paramètres!$A$1:$I$89,5,0)</f>
        <v>65.52</v>
      </c>
      <c r="AK23" s="13">
        <f t="shared" si="35"/>
        <v>18.556669503136725</v>
      </c>
      <c r="AL23" s="20">
        <f t="shared" si="4"/>
        <v>146.43353271796309</v>
      </c>
      <c r="AM23" s="59">
        <f t="shared" si="5"/>
        <v>427.54464382907423</v>
      </c>
      <c r="AN23" s="59">
        <f ca="1">AVERAGE(OFFSET($AM$3,0,0,'Données projet'!$E$10+1,1))-AVERAGE(OFFSET($H$3,0,0,'Données projet'!$E$10+1,1))</f>
        <v>263.30962868541337</v>
      </c>
      <c r="AO23" s="59">
        <f t="shared" si="36"/>
        <v>269.61868559913404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10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2.5641025599999923</v>
      </c>
      <c r="N24" s="13">
        <f>IF('Données projet'!$A$36&gt;35,N23+M24-V23,IF(A24&lt;'Données projet'!$A$36,$K$205^A24,IF(A24='Données projet'!$A$36,'Données projet'!$B$36,N23+M24-V23)))</f>
        <v>312.82051281999998</v>
      </c>
      <c r="O24" s="13">
        <f>N24*VLOOKUP('Données projet'!$B$9,Paramètres!$A$1:$I$89,3,0)*VLOOKUP('Données projet'!$B$9,Paramètres!$A$1:$I$89,5,0)</f>
        <v>137.61599999977437</v>
      </c>
      <c r="P24" s="13">
        <f t="shared" si="33"/>
        <v>35.750319851056496</v>
      </c>
      <c r="Q24" s="20">
        <f t="shared" si="2"/>
        <v>301.94634040686378</v>
      </c>
      <c r="R24" s="59">
        <f t="shared" si="0"/>
        <v>584.27967374019704</v>
      </c>
      <c r="S24" s="59">
        <f ca="1">AVERAGE(OFFSET($R$3,0,0,'Données projet'!$E$9+1,1))-AVERAGE(OFFSET($H$3,0,0,'Données projet'!$E$9+1,1))</f>
        <v>181.39264602498668</v>
      </c>
      <c r="T24" s="59">
        <f t="shared" si="34"/>
        <v>338.52444384059521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9.6</v>
      </c>
      <c r="AI24" s="13">
        <f>IF('Données projet'!$A$62&gt;35,AI23+AH24-AQ23,IF(A24&lt;'Données projet'!$A$62,$AF$205^A24,IF(A24='Données projet'!$A$62,'Données projet'!$B$62,AI23+AH24-AQ23)))</f>
        <v>99.6</v>
      </c>
      <c r="AJ24" s="13">
        <f>AI24*VLOOKUP('Données projet'!$B$10,Paramètres!$A$1:$I$89,3,0)*VLOOKUP('Données projet'!$B$10,Paramètres!$A$1:$I$89,5,0)</f>
        <v>65.257919999999999</v>
      </c>
      <c r="AK24" s="13">
        <f t="shared" si="35"/>
        <v>18.491067519086762</v>
      </c>
      <c r="AL24" s="20">
        <f t="shared" si="4"/>
        <v>145.8628199290761</v>
      </c>
      <c r="AM24" s="59">
        <f t="shared" si="5"/>
        <v>428.19615326240944</v>
      </c>
      <c r="AN24" s="59">
        <f ca="1">AVERAGE(OFFSET($AM$3,0,0,'Données projet'!$E$10+1,1))-AVERAGE(OFFSET($H$3,0,0,'Données projet'!$E$10+1,1))</f>
        <v>263.30962868541337</v>
      </c>
      <c r="AO24" s="59">
        <f t="shared" si="36"/>
        <v>269.61868559913404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2.5641025599999923</v>
      </c>
      <c r="N25" s="13">
        <f>IF('Données projet'!$A$36&gt;35,N24+M25-V24,IF(A25&lt;'Données projet'!$A$36,$K$205^A25,IF(A25='Données projet'!$A$36,'Données projet'!$B$36,N24+M25-V24)))</f>
        <v>315.38461537999996</v>
      </c>
      <c r="O25" s="13">
        <f>N25*VLOOKUP('Données projet'!$B$9,Paramètres!$A$1:$I$89,3,0)*VLOOKUP('Données projet'!$B$9,Paramètres!$A$1:$I$89,5,0)</f>
        <v>138.74399999796958</v>
      </c>
      <c r="P25" s="13">
        <f t="shared" si="33"/>
        <v>36.009122792363357</v>
      </c>
      <c r="Q25" s="20">
        <f t="shared" si="2"/>
        <v>304.36168885982988</v>
      </c>
      <c r="R25" s="59">
        <f t="shared" si="0"/>
        <v>587.91724441538543</v>
      </c>
      <c r="S25" s="59">
        <f ca="1">AVERAGE(OFFSET($R$3,0,0,'Données projet'!$E$9+1,1))-AVERAGE(OFFSET($H$3,0,0,'Données projet'!$E$9+1,1))</f>
        <v>181.39264602498668</v>
      </c>
      <c r="T25" s="59">
        <f t="shared" si="34"/>
        <v>338.52444384059521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9.6</v>
      </c>
      <c r="AI25" s="13">
        <f>IF('Données projet'!$A$62&gt;35,AI24+AH25-AQ24,IF(A25&lt;'Données projet'!$A$62,$AF$205^A25,IF(A25='Données projet'!$A$62,'Données projet'!$B$62,AI24+AH25-AQ24)))</f>
        <v>109.19999999999999</v>
      </c>
      <c r="AJ25" s="13">
        <f>AI25*VLOOKUP('Données projet'!$B$10,Paramètres!$A$1:$I$89,3,0)*VLOOKUP('Données projet'!$B$10,Paramètres!$A$1:$I$89,5,0)</f>
        <v>71.547839999999994</v>
      </c>
      <c r="AK25" s="13">
        <f t="shared" si="35"/>
        <v>20.05735014974319</v>
      </c>
      <c r="AL25" s="20">
        <f t="shared" si="4"/>
        <v>159.54570617746938</v>
      </c>
      <c r="AM25" s="59">
        <f t="shared" si="5"/>
        <v>443.1012617330249</v>
      </c>
      <c r="AN25" s="59">
        <f ca="1">AVERAGE(OFFSET($AM$3,0,0,'Données projet'!$E$10+1,1))-AVERAGE(OFFSET($H$3,0,0,'Données projet'!$E$10+1,1))</f>
        <v>263.30962868541337</v>
      </c>
      <c r="AO25" s="59">
        <f t="shared" si="36"/>
        <v>269.61868559913404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2.5641025599999923</v>
      </c>
      <c r="N26" s="13">
        <f>IF('Données projet'!$A$36&gt;35,N25+M26-V25,IF(A26&lt;'Données projet'!$A$36,$K$205^A26,IF(A26='Données projet'!$A$36,'Données projet'!$B$36,N25+M26-V25)))</f>
        <v>317.94871793999994</v>
      </c>
      <c r="O26" s="13">
        <f>N26*VLOOKUP('Données projet'!$B$9,Paramètres!$A$1:$I$89,3,0)*VLOOKUP('Données projet'!$B$9,Paramètres!$A$1:$I$89,5,0)</f>
        <v>139.87199999616476</v>
      </c>
      <c r="P26" s="13">
        <f t="shared" si="33"/>
        <v>36.267680930714377</v>
      </c>
      <c r="Q26" s="20">
        <f t="shared" si="2"/>
        <v>306.77661094764784</v>
      </c>
      <c r="R26" s="59">
        <f t="shared" si="0"/>
        <v>591.55438872542561</v>
      </c>
      <c r="S26" s="59">
        <f ca="1">AVERAGE(OFFSET($R$3,0,0,'Données projet'!$E$9+1,1))-AVERAGE(OFFSET($H$3,0,0,'Données projet'!$E$9+1,1))</f>
        <v>181.39264602498668</v>
      </c>
      <c r="T26" s="59">
        <f t="shared" si="34"/>
        <v>338.52444384059521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9.6</v>
      </c>
      <c r="AI26" s="13">
        <f>IF('Données projet'!$A$62&gt;35,AI25+AH26-AQ25,IF(A26&lt;'Données projet'!$A$62,$AF$205^A26,IF(A26='Données projet'!$A$62,'Données projet'!$B$62,AI25+AH26-AQ25)))</f>
        <v>118.79999999999998</v>
      </c>
      <c r="AJ26" s="13">
        <f>AI26*VLOOKUP('Données projet'!$B$10,Paramètres!$A$1:$I$89,3,0)*VLOOKUP('Données projet'!$B$10,Paramètres!$A$1:$I$89,5,0)</f>
        <v>77.837759999999989</v>
      </c>
      <c r="AK26" s="13">
        <f t="shared" si="35"/>
        <v>21.607665094033621</v>
      </c>
      <c r="AL26" s="20">
        <f t="shared" si="4"/>
        <v>173.2007820387752</v>
      </c>
      <c r="AM26" s="59">
        <f t="shared" si="5"/>
        <v>457.978559816553</v>
      </c>
      <c r="AN26" s="59">
        <f ca="1">AVERAGE(OFFSET($AM$3,0,0,'Données projet'!$E$10+1,1))-AVERAGE(OFFSET($H$3,0,0,'Données projet'!$E$10+1,1))</f>
        <v>263.30962868541337</v>
      </c>
      <c r="AO26" s="59">
        <f t="shared" si="36"/>
        <v>269.61868559913404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320.51282049999998</v>
      </c>
      <c r="L27" s="12">
        <f>VLOOKUP(A27,'Données projet'!$A$35:$I$55,9,0)</f>
        <v>2.5641025599999923</v>
      </c>
      <c r="M27" s="12">
        <f t="array" ref="M27">INDEX(L:L,MIN(IF(ISNUMBER(L27:L223),ROW(L27:L223),"")))</f>
        <v>2.5641025599999923</v>
      </c>
      <c r="N27" s="13">
        <f>IF('Données projet'!$A$36&gt;35,N26+M27-V26,IF(A27&lt;'Données projet'!$A$36,$K$205^A27,IF(A27='Données projet'!$A$36,'Données projet'!$B$36,N26+M27-V26)))</f>
        <v>320.51282049999992</v>
      </c>
      <c r="O27" s="13">
        <f>N27*VLOOKUP('Données projet'!$B$9,Paramètres!$A$1:$I$89,3,0)*VLOOKUP('Données projet'!$B$9,Paramètres!$A$1:$I$89,5,0)</f>
        <v>140.99999999435997</v>
      </c>
      <c r="P27" s="13">
        <f t="shared" si="33"/>
        <v>36.525996469139713</v>
      </c>
      <c r="Q27" s="20">
        <f t="shared" si="2"/>
        <v>309.1911105072619</v>
      </c>
      <c r="R27" s="59">
        <f t="shared" si="0"/>
        <v>595.1911105072619</v>
      </c>
      <c r="S27" s="59">
        <f ca="1">AVERAGE(OFFSET($R$3,0,0,'Données projet'!$E$9+1,1))-AVERAGE(OFFSET($H$3,0,0,'Données projet'!$E$9+1,1))</f>
        <v>181.39264602498668</v>
      </c>
      <c r="T27" s="59">
        <f t="shared" si="34"/>
        <v>338.52444384059521</v>
      </c>
      <c r="U27" s="15" t="str">
        <f>IF(ISNA(VLOOKUP(A27,'Données projet'!$A$35:$I$55,3,0)),0,VLOOKUP(A27,'Données projet'!$A$35:$I$55,3,0))</f>
        <v>CR</v>
      </c>
      <c r="V27" s="15">
        <f>IF(ISNA(VLOOKUP(A27,'Données projet'!$A$35:$I$55,4,0)),0,VLOOKUP(A27,'Données projet'!$A$35:$I$55,4,0))</f>
        <v>320.51282049999998</v>
      </c>
      <c r="W27" s="16">
        <f>IF(ISNA(VLOOKUP(A27,'Données projet'!$A$35:$I$55,5,0)),0%,VLOOKUP(A27,'Données projet'!$A$35:$I$55,5,0)*VLOOKUP('Données projet'!$B$9,Paramètres!$A$1:$I$89,7,0))</f>
        <v>0.46199999999999997</v>
      </c>
      <c r="X27" s="16">
        <f>IF(ISNA(VLOOKUP(A27,'Données projet'!$A$35:$I$55,6,0)),0%,VLOOKUP(A27,'Données projet'!$A$35:$I$55,6,0)*VLOOKUP('Données projet'!$B$9,Paramètres!$A$1:$I$89,7,0))</f>
        <v>0.126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72.012551460654919</v>
      </c>
      <c r="AA27" s="21">
        <f>EXP(-LN(2)/25)*AA26+(1-EXP(-LN(2)/25))/(LN(2)/25)*Calculateur!V27*Calculateur!X27*VLOOKUP('Données projet'!$B$9,Paramètres!$A$1:$I$89,3,0)*0.475*44/12</f>
        <v>19.562457438169371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91.575008898824294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9.6</v>
      </c>
      <c r="AI27" s="13">
        <f>IF('Données projet'!$A$62&gt;35,AI26+AH27-AQ26,IF(A27&lt;'Données projet'!$A$62,$AF$205^A27,IF(A27='Données projet'!$A$62,'Données projet'!$B$62,AI26+AH27-AQ26)))</f>
        <v>128.39999999999998</v>
      </c>
      <c r="AJ27" s="13">
        <f>AI27*VLOOKUP('Données projet'!$B$10,Paramètres!$A$1:$I$89,3,0)*VLOOKUP('Données projet'!$B$10,Paramètres!$A$1:$I$89,5,0)</f>
        <v>84.127679999999984</v>
      </c>
      <c r="AK27" s="13">
        <f t="shared" si="35"/>
        <v>23.143449366413215</v>
      </c>
      <c r="AL27" s="20">
        <f t="shared" si="4"/>
        <v>186.83055031316962</v>
      </c>
      <c r="AM27" s="59">
        <f t="shared" si="5"/>
        <v>472.83055031316962</v>
      </c>
      <c r="AN27" s="59">
        <f ca="1">AVERAGE(OFFSET($AM$3,0,0,'Données projet'!$E$10+1,1))-AVERAGE(OFFSET($H$3,0,0,'Données projet'!$E$10+1,1))</f>
        <v>263.30962868541337</v>
      </c>
      <c r="AO27" s="59">
        <f t="shared" si="36"/>
        <v>269.61868559913404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-5.6843418860808015E-14</v>
      </c>
      <c r="O28" s="13">
        <f>N28*VLOOKUP('Données projet'!$B$9,Paramètres!$A$1:$I$89,3,0)*VLOOKUP('Données projet'!$B$9,Paramètres!$A$1:$I$89,5,0)</f>
        <v>-2.5006556825246661E-14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181.39264602498668</v>
      </c>
      <c r="T28" s="59">
        <f t="shared" si="34"/>
        <v>338.52444384059521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70.600429249830796</v>
      </c>
      <c r="AA28" s="21">
        <f>EXP(-LN(2)/25)*AA27+(1-EXP(-LN(2)/25))/(LN(2)/25)*Calculateur!V28*Calculateur!X28*VLOOKUP('Données projet'!$B$9,Paramètres!$A$1:$I$89,3,0)*0.475*44/12</f>
        <v>19.027521010777704</v>
      </c>
      <c r="AB28" s="21">
        <f>EXP(-LN(2)/2)*AB27+(1-EXP(-LN(2)/2))/(LN(2)/2)*V28*Y28*VLOOKUP('Données projet'!$B$9,Paramètres!$A$1:$I$89,3,0)*0.475*44/12</f>
        <v>0</v>
      </c>
      <c r="AC28" s="22">
        <f t="shared" si="3"/>
        <v>89.6279502606085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138</v>
      </c>
      <c r="AG28" s="12">
        <f>VLOOKUP(A28,'Données projet'!$A$61:$I$81,9,0)</f>
        <v>9.6</v>
      </c>
      <c r="AH28" s="12">
        <f t="array" ref="AH28">INDEX(AG:AG,MIN(IF(ISNUMBER(AG28:AG224),ROW(AG28:AG224),"")))</f>
        <v>9.6</v>
      </c>
      <c r="AI28" s="13">
        <f>IF('Données projet'!$A$62&gt;35,AI27+AH28-AQ27,IF(A28&lt;'Données projet'!$A$62,$AF$205^A28,IF(A28='Données projet'!$A$62,'Données projet'!$B$62,AI27+AH28-AQ27)))</f>
        <v>137.99999999999997</v>
      </c>
      <c r="AJ28" s="13">
        <f>AI28*VLOOKUP('Données projet'!$B$10,Paramètres!$A$1:$I$89,3,0)*VLOOKUP('Données projet'!$B$10,Paramètres!$A$1:$I$89,5,0)</f>
        <v>90.417599999999979</v>
      </c>
      <c r="AK28" s="13">
        <f t="shared" si="35"/>
        <v>24.665912907068826</v>
      </c>
      <c r="AL28" s="20">
        <f t="shared" si="4"/>
        <v>200.43711831314485</v>
      </c>
      <c r="AM28" s="59">
        <f t="shared" si="5"/>
        <v>487.65934053536705</v>
      </c>
      <c r="AN28" s="59">
        <f ca="1">AVERAGE(OFFSET($AM$3,0,0,'Données projet'!$E$10+1,1))-AVERAGE(OFFSET($H$3,0,0,'Données projet'!$E$10+1,1))</f>
        <v>263.30962868541337</v>
      </c>
      <c r="AO28" s="59">
        <f t="shared" si="36"/>
        <v>269.61868559913404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21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-5.6843418860808015E-14</v>
      </c>
      <c r="O29" s="13">
        <f>N29*VLOOKUP('Données projet'!$B$9,Paramètres!$A$1:$I$89,3,0)*VLOOKUP('Données projet'!$B$9,Paramètres!$A$1:$I$89,5,0)</f>
        <v>-2.5006556825246661E-14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181.39264602498668</v>
      </c>
      <c r="T29" s="59">
        <f t="shared" si="34"/>
        <v>338.52444384059521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69.21599789425143</v>
      </c>
      <c r="AA29" s="21">
        <f>EXP(-LN(2)/25)*AA28+(1-EXP(-LN(2)/25))/(LN(2)/25)*Calculateur!V29*Calculateur!X29*VLOOKUP('Données projet'!$B$9,Paramètres!$A$1:$I$89,3,0)*0.475*44/12</f>
        <v>18.507212448124147</v>
      </c>
      <c r="AB29" s="21">
        <f>EXP(-LN(2)/2)*AB28+(1-EXP(-LN(2)/2))/(LN(2)/2)*V29*Y29*VLOOKUP('Données projet'!$B$9,Paramètres!$A$1:$I$89,3,0)*0.475*44/12</f>
        <v>0</v>
      </c>
      <c r="AC29" s="22">
        <f t="shared" si="3"/>
        <v>87.72321034237558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8.8000000000000007</v>
      </c>
      <c r="AI29" s="13">
        <f>IF('Données projet'!$A$62&gt;35,AI28+AH29-AQ28,IF(A29&lt;'Données projet'!$A$62,$AF$205^A29,IF(A29='Données projet'!$A$62,'Données projet'!$B$62,AI28+AH29-AQ28)))</f>
        <v>125.79999999999998</v>
      </c>
      <c r="AJ29" s="13">
        <f>AI29*VLOOKUP('Données projet'!$B$10,Paramètres!$A$1:$I$89,3,0)*VLOOKUP('Données projet'!$B$10,Paramètres!$A$1:$I$89,5,0)</f>
        <v>82.424159999999986</v>
      </c>
      <c r="AK29" s="13">
        <f t="shared" si="35"/>
        <v>22.728870146421784</v>
      </c>
      <c r="AL29" s="20">
        <f t="shared" si="4"/>
        <v>183.14152750501788</v>
      </c>
      <c r="AM29" s="59">
        <f t="shared" si="5"/>
        <v>471.58597194946231</v>
      </c>
      <c r="AN29" s="59">
        <f ca="1">AVERAGE(OFFSET($AM$3,0,0,'Données projet'!$E$10+1,1))-AVERAGE(OFFSET($H$3,0,0,'Données projet'!$E$10+1,1))</f>
        <v>263.30962868541337</v>
      </c>
      <c r="AO29" s="59">
        <f t="shared" si="36"/>
        <v>269.61868559913404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-5.6843418860808015E-14</v>
      </c>
      <c r="O30" s="13">
        <f>N30*VLOOKUP('Données projet'!$B$9,Paramètres!$A$1:$I$89,3,0)*VLOOKUP('Données projet'!$B$9,Paramètres!$A$1:$I$89,5,0)</f>
        <v>-2.5006556825246661E-14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181.39264602498668</v>
      </c>
      <c r="T30" s="59">
        <f t="shared" si="34"/>
        <v>338.52444384059521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67.85871439313523</v>
      </c>
      <c r="AA30" s="21">
        <f>EXP(-LN(2)/25)*AA29+(1-EXP(-LN(2)/25))/(LN(2)/25)*Calculateur!V30*Calculateur!X30*VLOOKUP('Données projet'!$B$9,Paramètres!$A$1:$I$89,3,0)*0.475*44/12</f>
        <v>18.001131750478187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85.859846143613424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8.8000000000000007</v>
      </c>
      <c r="AI30" s="13">
        <f>IF('Données projet'!$A$62&gt;35,AI29+AH30-AQ29,IF(A30&lt;'Données projet'!$A$62,$AF$205^A30,IF(A30='Données projet'!$A$62,'Données projet'!$B$62,AI29+AH30-AQ29)))</f>
        <v>134.6</v>
      </c>
      <c r="AJ30" s="13">
        <f>AI30*VLOOKUP('Données projet'!$B$10,Paramètres!$A$1:$I$89,3,0)*VLOOKUP('Données projet'!$B$10,Paramètres!$A$1:$I$89,5,0)</f>
        <v>88.189920000000001</v>
      </c>
      <c r="AK30" s="13">
        <f t="shared" si="35"/>
        <v>24.128162431798632</v>
      </c>
      <c r="AL30" s="20">
        <f t="shared" si="4"/>
        <v>195.62066023538262</v>
      </c>
      <c r="AM30" s="59">
        <f t="shared" si="5"/>
        <v>485.2873269020493</v>
      </c>
      <c r="AN30" s="59">
        <f ca="1">AVERAGE(OFFSET($AM$3,0,0,'Données projet'!$E$10+1,1))-AVERAGE(OFFSET($H$3,0,0,'Données projet'!$E$10+1,1))</f>
        <v>263.30962868541337</v>
      </c>
      <c r="AO30" s="59">
        <f t="shared" si="36"/>
        <v>269.61868559913404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-5.6843418860808015E-14</v>
      </c>
      <c r="O31" s="13">
        <f>N31*VLOOKUP('Données projet'!$B$9,Paramètres!$A$1:$I$89,3,0)*VLOOKUP('Données projet'!$B$9,Paramètres!$A$1:$I$89,5,0)</f>
        <v>-2.5006556825246661E-14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181.39264602498668</v>
      </c>
      <c r="T31" s="59">
        <f t="shared" si="34"/>
        <v>338.52444384059521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66.52804639361473</v>
      </c>
      <c r="AA31" s="21">
        <f>EXP(-LN(2)/25)*AA30+(1-EXP(-LN(2)/25))/(LN(2)/25)*Calculateur!V31*Calculateur!X31*VLOOKUP('Données projet'!$B$9,Paramètres!$A$1:$I$89,3,0)*0.475*44/12</f>
        <v>17.508889856122984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84.036936249737721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8.8000000000000007</v>
      </c>
      <c r="AI31" s="13">
        <f>IF('Données projet'!$A$62&gt;35,AI30+AH31-AQ30,IF(A31&lt;'Données projet'!$A$62,$AF$205^A31,IF(A31='Données projet'!$A$62,'Données projet'!$B$62,AI30+AH31-AQ30)))</f>
        <v>143.4</v>
      </c>
      <c r="AJ31" s="13">
        <f>AI31*VLOOKUP('Données projet'!$B$10,Paramètres!$A$1:$I$89,3,0)*VLOOKUP('Données projet'!$B$10,Paramètres!$A$1:$I$89,5,0)</f>
        <v>93.955680000000001</v>
      </c>
      <c r="AK31" s="13">
        <f t="shared" si="35"/>
        <v>25.516838392731955</v>
      </c>
      <c r="AL31" s="20">
        <f t="shared" si="4"/>
        <v>208.08130286734149</v>
      </c>
      <c r="AM31" s="59">
        <f t="shared" si="5"/>
        <v>498.97019175623035</v>
      </c>
      <c r="AN31" s="59">
        <f ca="1">AVERAGE(OFFSET($AM$3,0,0,'Données projet'!$E$10+1,1))-AVERAGE(OFFSET($H$3,0,0,'Données projet'!$E$10+1,1))</f>
        <v>263.30962868541337</v>
      </c>
      <c r="AO31" s="59">
        <f t="shared" si="36"/>
        <v>269.61868559913404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-5.6843418860808015E-14</v>
      </c>
      <c r="O32" s="13">
        <f>N32*VLOOKUP('Données projet'!$B$9,Paramètres!$A$1:$I$89,3,0)*VLOOKUP('Données projet'!$B$9,Paramètres!$A$1:$I$89,5,0)</f>
        <v>-2.5006556825246661E-14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181.39264602498668</v>
      </c>
      <c r="T32" s="59">
        <f t="shared" si="34"/>
        <v>338.52444384059521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65.223471981937493</v>
      </c>
      <c r="AA32" s="21">
        <f>EXP(-LN(2)/25)*AA31+(1-EXP(-LN(2)/25))/(LN(2)/25)*Calculateur!V32*Calculateur!X32*VLOOKUP('Données projet'!$B$9,Paramètres!$A$1:$I$89,3,0)*0.475*44/12</f>
        <v>17.030108342254799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82.253580324192285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8.8000000000000007</v>
      </c>
      <c r="AI32" s="13">
        <f>IF('Données projet'!$A$62&gt;35,AI31+AH32-AQ31,IF(A32&lt;'Données projet'!$A$62,$AF$205^A32,IF(A32='Données projet'!$A$62,'Données projet'!$B$62,AI31+AH32-AQ31)))</f>
        <v>152.20000000000002</v>
      </c>
      <c r="AJ32" s="13">
        <f>AI32*VLOOKUP('Données projet'!$B$10,Paramètres!$A$1:$I$89,3,0)*VLOOKUP('Données projet'!$B$10,Paramètres!$A$1:$I$89,5,0)</f>
        <v>99.721440000000015</v>
      </c>
      <c r="AK32" s="13">
        <f t="shared" si="35"/>
        <v>26.895623699520389</v>
      </c>
      <c r="AL32" s="20">
        <f t="shared" si="4"/>
        <v>220.52471927666468</v>
      </c>
      <c r="AM32" s="59">
        <f t="shared" si="5"/>
        <v>512.63583038777585</v>
      </c>
      <c r="AN32" s="59">
        <f ca="1">AVERAGE(OFFSET($AM$3,0,0,'Données projet'!$E$10+1,1))-AVERAGE(OFFSET($H$3,0,0,'Données projet'!$E$10+1,1))</f>
        <v>263.30962868541337</v>
      </c>
      <c r="AO32" s="59">
        <f t="shared" si="36"/>
        <v>269.61868559913404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-5.6843418860808015E-14</v>
      </c>
      <c r="O33" s="13">
        <f>N33*VLOOKUP('Données projet'!$B$9,Paramètres!$A$1:$I$89,3,0)*VLOOKUP('Données projet'!$B$9,Paramètres!$A$1:$I$89,5,0)</f>
        <v>-2.5006556825246661E-14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181.39264602498668</v>
      </c>
      <c r="T33" s="59">
        <f t="shared" si="34"/>
        <v>338.52444384059521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63.944479478761423</v>
      </c>
      <c r="AA33" s="21">
        <f>EXP(-LN(2)/25)*AA32+(1-EXP(-LN(2)/25))/(LN(2)/25)*Calculateur!V33*Calculateur!X33*VLOOKUP('Données projet'!$B$9,Paramètres!$A$1:$I$89,3,0)*0.475*44/12</f>
        <v>16.564419134061367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80.50889861282279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161</v>
      </c>
      <c r="AG33" s="12">
        <f>VLOOKUP(A33,'Données projet'!$A$61:$I$81,9,0)</f>
        <v>8.8000000000000007</v>
      </c>
      <c r="AH33" s="12">
        <f t="array" ref="AH33">INDEX(AG:AG,MIN(IF(ISNUMBER(AG33:AG229),ROW(AG33:AG229),"")))</f>
        <v>8.8000000000000007</v>
      </c>
      <c r="AI33" s="13">
        <f>IF('Données projet'!$A$62&gt;35,AI32+AH33-AQ32,IF(A33&lt;'Données projet'!$A$62,$AF$205^A33,IF(A33='Données projet'!$A$62,'Données projet'!$B$62,AI32+AH33-AQ32)))</f>
        <v>161.00000000000003</v>
      </c>
      <c r="AJ33" s="13">
        <f>AI33*VLOOKUP('Données projet'!$B$10,Paramètres!$A$1:$I$89,3,0)*VLOOKUP('Données projet'!$B$10,Paramètres!$A$1:$I$89,5,0)</f>
        <v>105.48720000000002</v>
      </c>
      <c r="AK33" s="13">
        <f t="shared" si="35"/>
        <v>28.265155367923839</v>
      </c>
      <c r="AL33" s="20">
        <f t="shared" si="4"/>
        <v>232.95201893246738</v>
      </c>
      <c r="AM33" s="59">
        <f t="shared" si="5"/>
        <v>526.28535226580073</v>
      </c>
      <c r="AN33" s="59">
        <f ca="1">AVERAGE(OFFSET($AM$3,0,0,'Données projet'!$E$10+1,1))-AVERAGE(OFFSET($H$3,0,0,'Données projet'!$E$10+1,1))</f>
        <v>263.30962868541337</v>
      </c>
      <c r="AO33" s="59">
        <f t="shared" si="36"/>
        <v>269.61868559913404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-5.6843418860808015E-14</v>
      </c>
      <c r="O34" s="13">
        <f>N34*VLOOKUP('Données projet'!$B$9,Paramètres!$A$1:$I$89,3,0)*VLOOKUP('Données projet'!$B$9,Paramètres!$A$1:$I$89,5,0)</f>
        <v>-2.5006556825246661E-14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181.39264602498668</v>
      </c>
      <c r="T34" s="59">
        <f t="shared" si="34"/>
        <v>338.52444384059521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62.69056723846424</v>
      </c>
      <c r="AA34" s="21">
        <f>EXP(-LN(2)/25)*AA33+(1-EXP(-LN(2)/25))/(LN(2)/25)*Calculateur!V34*Calculateur!X34*VLOOKUP('Données projet'!$B$9,Paramètres!$A$1:$I$89,3,0)*0.475*44/12</f>
        <v>16.111464221755515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78.802031460219752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</v>
      </c>
      <c r="AI34" s="13">
        <f>IF('Données projet'!$A$62&gt;35,AI33+AH34-AQ33,IF(A34&lt;'Données projet'!$A$62,$AF$205^A34,IF(A34='Données projet'!$A$62,'Données projet'!$B$62,AI33+AH34-AQ33)))</f>
        <v>146.60000000000002</v>
      </c>
      <c r="AJ34" s="13">
        <f>AI34*VLOOKUP('Données projet'!$B$10,Paramètres!$A$1:$I$89,3,0)*VLOOKUP('Données projet'!$B$10,Paramètres!$A$1:$I$89,5,0)</f>
        <v>96.052320000000023</v>
      </c>
      <c r="AK34" s="13">
        <f t="shared" si="35"/>
        <v>26.019324001860248</v>
      </c>
      <c r="AL34" s="20">
        <f t="shared" si="4"/>
        <v>212.60811330323997</v>
      </c>
      <c r="AM34" s="59">
        <f t="shared" si="5"/>
        <v>505.94144663657329</v>
      </c>
      <c r="AN34" s="59">
        <f ca="1">AVERAGE(OFFSET($AM$3,0,0,'Données projet'!$E$10+1,1))-AVERAGE(OFFSET($H$3,0,0,'Données projet'!$E$10+1,1))</f>
        <v>263.30962868541337</v>
      </c>
      <c r="AO34" s="59">
        <f t="shared" si="36"/>
        <v>269.61868559913404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-5.6843418860808015E-14</v>
      </c>
      <c r="O35" s="13">
        <f>N35*VLOOKUP('Données projet'!$B$9,Paramètres!$A$1:$I$89,3,0)*VLOOKUP('Données projet'!$B$9,Paramètres!$A$1:$I$89,5,0)</f>
        <v>-2.5006556825246661E-14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181.39264602498668</v>
      </c>
      <c r="T35" s="59">
        <f t="shared" si="34"/>
        <v>338.52444384059521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61.461243452388338</v>
      </c>
      <c r="AA35" s="21">
        <f>EXP(-LN(2)/25)*AA34+(1-EXP(-LN(2)/25))/(LN(2)/25)*Calculateur!V35*Calculateur!X35*VLOOKUP('Données projet'!$B$9,Paramètres!$A$1:$I$89,3,0)*0.475*44/12</f>
        <v>15.67089538534653</v>
      </c>
      <c r="AB35" s="21">
        <f>EXP(-LN(2)/2)*AB34+(1-EXP(-LN(2)/2))/(LN(2)/2)*V35*Y35*VLOOKUP('Données projet'!$B$9,Paramètres!$A$1:$I$89,3,0)*0.475*44/12</f>
        <v>0</v>
      </c>
      <c r="AC35" s="22">
        <f t="shared" si="3"/>
        <v>77.132138837734871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</v>
      </c>
      <c r="AI35" s="13">
        <f>IF('Données projet'!$A$62&gt;35,AI34+AH35-AQ34,IF(A35&lt;'Données projet'!$A$62,$AF$205^A35,IF(A35='Données projet'!$A$62,'Données projet'!$B$62,AI34+AH35-AQ34)))</f>
        <v>155.20000000000002</v>
      </c>
      <c r="AJ35" s="13">
        <f>AI35*VLOOKUP('Données projet'!$B$10,Paramètres!$A$1:$I$89,3,0)*VLOOKUP('Données projet'!$B$10,Paramètres!$A$1:$I$89,5,0)</f>
        <v>101.68704000000002</v>
      </c>
      <c r="AK35" s="13">
        <f t="shared" si="35"/>
        <v>27.363519398004541</v>
      </c>
      <c r="AL35" s="20">
        <f t="shared" si="4"/>
        <v>224.76305761819128</v>
      </c>
      <c r="AM35" s="59">
        <f t="shared" si="5"/>
        <v>518.09639095152465</v>
      </c>
      <c r="AN35" s="59">
        <f ca="1">AVERAGE(OFFSET($AM$3,0,0,'Données projet'!$E$10+1,1))-AVERAGE(OFFSET($H$3,0,0,'Données projet'!$E$10+1,1))</f>
        <v>263.30962868541337</v>
      </c>
      <c r="AO35" s="59">
        <f t="shared" si="36"/>
        <v>269.61868559913404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-5.6843418860808015E-14</v>
      </c>
      <c r="O36" s="13">
        <f>N36*VLOOKUP('Données projet'!$B$9,Paramètres!$A$1:$I$89,3,0)*VLOOKUP('Données projet'!$B$9,Paramètres!$A$1:$I$89,5,0)</f>
        <v>-2.5006556825246661E-14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181.39264602498668</v>
      </c>
      <c r="T36" s="59">
        <f t="shared" si="34"/>
        <v>338.52444384059521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60.256025955943912</v>
      </c>
      <c r="AA36" s="21">
        <f>EXP(-LN(2)/25)*AA35+(1-EXP(-LN(2)/25))/(LN(2)/25)*Calculateur!V36*Calculateur!X36*VLOOKUP('Données projet'!$B$9,Paramètres!$A$1:$I$89,3,0)*0.475*44/12</f>
        <v>15.242373926937656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75.498399882881571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</v>
      </c>
      <c r="AI36" s="13">
        <f>IF('Données projet'!$A$62&gt;35,AI35+AH36-AQ35,IF(A36&lt;'Données projet'!$A$62,$AF$205^A36,IF(A36='Données projet'!$A$62,'Données projet'!$B$62,AI35+AH36-AQ35)))</f>
        <v>163.80000000000001</v>
      </c>
      <c r="AJ36" s="13">
        <f>AI36*VLOOKUP('Données projet'!$B$10,Paramètres!$A$1:$I$89,3,0)*VLOOKUP('Données projet'!$B$10,Paramètres!$A$1:$I$89,5,0)</f>
        <v>107.32176000000001</v>
      </c>
      <c r="AK36" s="13">
        <f t="shared" si="35"/>
        <v>28.699067963776873</v>
      </c>
      <c r="AL36" s="20">
        <f t="shared" si="4"/>
        <v>236.90294203691141</v>
      </c>
      <c r="AM36" s="59">
        <f t="shared" si="5"/>
        <v>530.2362753702447</v>
      </c>
      <c r="AN36" s="59">
        <f ca="1">AVERAGE(OFFSET($AM$3,0,0,'Données projet'!$E$10+1,1))-AVERAGE(OFFSET($H$3,0,0,'Données projet'!$E$10+1,1))</f>
        <v>263.30962868541337</v>
      </c>
      <c r="AO36" s="59">
        <f t="shared" si="36"/>
        <v>269.61868559913404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-5.6843418860808015E-14</v>
      </c>
      <c r="O37" s="13">
        <f>N37*VLOOKUP('Données projet'!$B$9,Paramètres!$A$1:$I$89,3,0)*VLOOKUP('Données projet'!$B$9,Paramètres!$A$1:$I$89,5,0)</f>
        <v>-2.5006556825246661E-14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181.39264602498668</v>
      </c>
      <c r="T37" s="59">
        <f t="shared" si="34"/>
        <v>338.52444384059521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59.07444203949467</v>
      </c>
      <c r="AA37" s="21">
        <f>EXP(-LN(2)/25)*AA36+(1-EXP(-LN(2)/25))/(LN(2)/25)*Calculateur!V37*Calculateur!X37*VLOOKUP('Données projet'!$B$9,Paramètres!$A$1:$I$89,3,0)*0.475*44/12</f>
        <v>14.825570410343937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73.900012449838613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</v>
      </c>
      <c r="AI37" s="13">
        <f>IF('Données projet'!$A$62&gt;35,AI36+AH37-AQ36,IF(A37&lt;'Données projet'!$A$62,$AF$205^A37,IF(A37='Données projet'!$A$62,'Données projet'!$B$62,AI36+AH37-AQ36)))</f>
        <v>172.4</v>
      </c>
      <c r="AJ37" s="13">
        <f>AI37*VLOOKUP('Données projet'!$B$10,Paramètres!$A$1:$I$89,3,0)*VLOOKUP('Données projet'!$B$10,Paramètres!$A$1:$I$89,5,0)</f>
        <v>112.95648</v>
      </c>
      <c r="AK37" s="13">
        <f t="shared" si="35"/>
        <v>30.026475458997034</v>
      </c>
      <c r="AL37" s="20">
        <f t="shared" si="4"/>
        <v>249.0286474244198</v>
      </c>
      <c r="AM37" s="59">
        <f t="shared" si="5"/>
        <v>542.36198075775314</v>
      </c>
      <c r="AN37" s="59">
        <f ca="1">AVERAGE(OFFSET($AM$3,0,0,'Données projet'!$E$10+1,1))-AVERAGE(OFFSET($H$3,0,0,'Données projet'!$E$10+1,1))</f>
        <v>263.30962868541337</v>
      </c>
      <c r="AO37" s="59">
        <f t="shared" si="36"/>
        <v>269.61868559913404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-5.6843418860808015E-14</v>
      </c>
      <c r="O38" s="13">
        <f>N38*VLOOKUP('Données projet'!$B$9,Paramètres!$A$1:$I$89,3,0)*VLOOKUP('Données projet'!$B$9,Paramètres!$A$1:$I$89,5,0)</f>
        <v>-2.5006556825246661E-14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181.39264602498668</v>
      </c>
      <c r="T38" s="59">
        <f t="shared" si="34"/>
        <v>338.52444384059521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57.916028262951976</v>
      </c>
      <c r="AA38" s="21">
        <f>EXP(-LN(2)/25)*AA37+(1-EXP(-LN(2)/25))/(LN(2)/25)*Calculateur!V38*Calculateur!X38*VLOOKUP('Données projet'!$B$9,Paramètres!$A$1:$I$89,3,0)*0.475*44/12</f>
        <v>14.420164407830219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72.336192670782197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181</v>
      </c>
      <c r="AG38" s="12">
        <f>VLOOKUP(A38,'Données projet'!$A$61:$I$81,9,0)</f>
        <v>8.6</v>
      </c>
      <c r="AH38" s="12">
        <f t="array" ref="AH38">INDEX(AG:AG,MIN(IF(ISNUMBER(AG38:AG234),ROW(AG38:AG234),"")))</f>
        <v>8.6</v>
      </c>
      <c r="AI38" s="13">
        <f>IF('Données projet'!$A$62&gt;35,AI37+AH38-AQ37,IF(A38&lt;'Données projet'!$A$62,$AF$205^A38,IF(A38='Données projet'!$A$62,'Données projet'!$B$62,AI37+AH38-AQ37)))</f>
        <v>181</v>
      </c>
      <c r="AJ38" s="13">
        <f>AI38*VLOOKUP('Données projet'!$B$10,Paramètres!$A$1:$I$89,3,0)*VLOOKUP('Données projet'!$B$10,Paramètres!$A$1:$I$89,5,0)</f>
        <v>118.5912</v>
      </c>
      <c r="AK38" s="13">
        <f t="shared" si="35"/>
        <v>31.346194334434067</v>
      </c>
      <c r="AL38" s="20">
        <f t="shared" si="4"/>
        <v>261.14096179913935</v>
      </c>
      <c r="AM38" s="59">
        <f t="shared" si="5"/>
        <v>554.47429513247266</v>
      </c>
      <c r="AN38" s="59">
        <f ca="1">AVERAGE(OFFSET($AM$3,0,0,'Données projet'!$E$10+1,1))-AVERAGE(OFFSET($H$3,0,0,'Données projet'!$E$10+1,1))</f>
        <v>263.30962868541337</v>
      </c>
      <c r="AO38" s="59">
        <f t="shared" si="36"/>
        <v>269.61868559913404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25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7.7862700712023809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7.7862700712023809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-2.5006556825246661E-14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181.39264602498668</v>
      </c>
      <c r="T39" s="59">
        <f t="shared" si="34"/>
        <v>338.52444384059521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56.780330274004648</v>
      </c>
      <c r="AA39" s="21">
        <f>EXP(-LN(2)/25)*AA38+(1-EXP(-LN(2)/25))/(LN(2)/25)*Calculateur!V39*Calculateur!X39*VLOOKUP('Données projet'!$B$9,Paramètres!$A$1:$I$89,3,0)*0.475*44/12</f>
        <v>14.025844253774613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70.806174527779262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7.8</v>
      </c>
      <c r="AI39" s="13">
        <f>IF('Données projet'!$A$62&gt;35,AI38+AH39-AQ38,IF(A39&lt;'Données projet'!$A$62,$AF$205^A39,IF(A39='Données projet'!$A$62,'Données projet'!$B$62,AI38+AH39-AQ38)))</f>
        <v>163.80000000000001</v>
      </c>
      <c r="AJ39" s="13">
        <f>AI39*VLOOKUP('Données projet'!$B$10,Paramètres!$A$1:$I$89,3,0)*VLOOKUP('Données projet'!$B$10,Paramètres!$A$1:$I$89,5,0)</f>
        <v>107.32176000000001</v>
      </c>
      <c r="AK39" s="13">
        <f t="shared" si="35"/>
        <v>28.699067963776873</v>
      </c>
      <c r="AL39" s="20">
        <f t="shared" si="4"/>
        <v>236.90294203691141</v>
      </c>
      <c r="AM39" s="59">
        <f t="shared" si="5"/>
        <v>530.2362753702447</v>
      </c>
      <c r="AN39" s="59">
        <f ca="1">AVERAGE(OFFSET($AM$3,0,0,'Données projet'!$E$10+1,1))-AVERAGE(OFFSET($H$3,0,0,'Données projet'!$E$10+1,1))</f>
        <v>263.30962868541337</v>
      </c>
      <c r="AO39" s="59">
        <f t="shared" si="36"/>
        <v>269.61868559913404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7.6335860642619053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7.6335860642619053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-2.5006556825246661E-14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181.39264602498668</v>
      </c>
      <c r="T40" s="59">
        <f t="shared" si="34"/>
        <v>338.52444384059521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55.666902629913203</v>
      </c>
      <c r="AA40" s="21">
        <f>EXP(-LN(2)/25)*AA39+(1-EXP(-LN(2)/25))/(LN(2)/25)*Calculateur!V40*Calculateur!X40*VLOOKUP('Données projet'!$B$9,Paramètres!$A$1:$I$89,3,0)*0.475*44/12</f>
        <v>13.642306805068053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69.309209434981256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7.8</v>
      </c>
      <c r="AI40" s="13">
        <f>IF('Données projet'!$A$62&gt;35,AI39+AH40-AQ39,IF(A40&lt;'Données projet'!$A$62,$AF$205^A40,IF(A40='Données projet'!$A$62,'Données projet'!$B$62,AI39+AH40-AQ39)))</f>
        <v>171.60000000000002</v>
      </c>
      <c r="AJ40" s="13">
        <f>AI40*VLOOKUP('Données projet'!$B$10,Paramètres!$A$1:$I$89,3,0)*VLOOKUP('Données projet'!$B$10,Paramètres!$A$1:$I$89,5,0)</f>
        <v>112.43232</v>
      </c>
      <c r="AK40" s="13">
        <f t="shared" si="35"/>
        <v>29.903326635598326</v>
      </c>
      <c r="AL40" s="20">
        <f t="shared" si="4"/>
        <v>247.90125122366706</v>
      </c>
      <c r="AM40" s="59">
        <f t="shared" si="5"/>
        <v>541.2345845570004</v>
      </c>
      <c r="AN40" s="59">
        <f ca="1">AVERAGE(OFFSET($AM$3,0,0,'Données projet'!$E$10+1,1))-AVERAGE(OFFSET($H$3,0,0,'Données projet'!$E$10+1,1))</f>
        <v>263.30962868541337</v>
      </c>
      <c r="AO40" s="59">
        <f t="shared" si="36"/>
        <v>269.61868559913404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7.4838960975694837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7.4838960975694837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-2.5006556825246661E-14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181.39264602498668</v>
      </c>
      <c r="T41" s="59">
        <f t="shared" si="34"/>
        <v>338.52444384059521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54.57530862279858</v>
      </c>
      <c r="AA41" s="21">
        <f>EXP(-LN(2)/25)*AA40+(1-EXP(-LN(2)/25))/(LN(2)/25)*Calculateur!V41*Calculateur!X41*VLOOKUP('Données projet'!$B$9,Paramètres!$A$1:$I$89,3,0)*0.475*44/12</f>
        <v>13.269257208065731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67.844565830864312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7.8</v>
      </c>
      <c r="AI41" s="13">
        <f>IF('Données projet'!$A$62&gt;35,AI40+AH41-AQ40,IF(A41&lt;'Données projet'!$A$62,$AF$205^A41,IF(A41='Données projet'!$A$62,'Données projet'!$B$62,AI40+AH41-AQ40)))</f>
        <v>179.40000000000003</v>
      </c>
      <c r="AJ41" s="13">
        <f>AI41*VLOOKUP('Données projet'!$B$10,Paramètres!$A$1:$I$89,3,0)*VLOOKUP('Données projet'!$B$10,Paramètres!$A$1:$I$89,5,0)</f>
        <v>117.54288000000003</v>
      </c>
      <c r="AK41" s="13">
        <f t="shared" si="35"/>
        <v>31.101228198889224</v>
      </c>
      <c r="AL41" s="20">
        <f t="shared" si="4"/>
        <v>258.88848844639881</v>
      </c>
      <c r="AM41" s="59">
        <f t="shared" si="5"/>
        <v>552.22182177973218</v>
      </c>
      <c r="AN41" s="59">
        <f ca="1">AVERAGE(OFFSET($AM$3,0,0,'Données projet'!$E$10+1,1))-AVERAGE(OFFSET($H$3,0,0,'Données projet'!$E$10+1,1))</f>
        <v>263.30962868541337</v>
      </c>
      <c r="AO41" s="59">
        <f t="shared" si="36"/>
        <v>269.61868559913404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7.3371414598220364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7.3371414598220364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-2.5006556825246661E-14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181.39264602498668</v>
      </c>
      <c r="T42" s="59">
        <f t="shared" si="34"/>
        <v>338.52444384059521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53.505120108356877</v>
      </c>
      <c r="AA42" s="21">
        <f>EXP(-LN(2)/25)*AA41+(1-EXP(-LN(2)/25))/(LN(2)/25)*Calculateur!V42*Calculateur!X42*VLOOKUP('Données projet'!$B$9,Paramètres!$A$1:$I$89,3,0)*0.475*44/12</f>
        <v>12.906408671911265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66.411528780268142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7.8</v>
      </c>
      <c r="AI42" s="13">
        <f>IF('Données projet'!$A$62&gt;35,AI41+AH42-AQ41,IF(A42&lt;'Données projet'!$A$62,$AF$205^A42,IF(A42='Données projet'!$A$62,'Données projet'!$B$62,AI41+AH42-AQ41)))</f>
        <v>187.20000000000005</v>
      </c>
      <c r="AJ42" s="13">
        <f>AI42*VLOOKUP('Données projet'!$B$10,Paramètres!$A$1:$I$89,3,0)*VLOOKUP('Données projet'!$B$10,Paramètres!$A$1:$I$89,5,0)</f>
        <v>122.65344000000002</v>
      </c>
      <c r="AK42" s="13">
        <f t="shared" si="35"/>
        <v>32.293080640759037</v>
      </c>
      <c r="AL42" s="20">
        <f t="shared" si="4"/>
        <v>269.8651901159887</v>
      </c>
      <c r="AM42" s="59">
        <f t="shared" si="5"/>
        <v>563.19852344932201</v>
      </c>
      <c r="AN42" s="59">
        <f ca="1">AVERAGE(OFFSET($AM$3,0,0,'Données projet'!$E$10+1,1))-AVERAGE(OFFSET($H$3,0,0,'Données projet'!$E$10+1,1))</f>
        <v>263.30962868541337</v>
      </c>
      <c r="AO42" s="59">
        <f t="shared" si="36"/>
        <v>269.61868559913404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7.193264591009326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7.193264591009326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-2.5006556825246661E-14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181.39264602498668</v>
      </c>
      <c r="T43" s="59">
        <f t="shared" si="34"/>
        <v>338.52444384059521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52.455917337932839</v>
      </c>
      <c r="AA43" s="21">
        <f>EXP(-LN(2)/25)*AA42+(1-EXP(-LN(2)/25))/(LN(2)/25)*Calculateur!V43*Calculateur!X43*VLOOKUP('Données projet'!$B$9,Paramètres!$A$1:$I$89,3,0)*0.475*44/12</f>
        <v>12.553482248059318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65.009399585992156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195</v>
      </c>
      <c r="AG43" s="12">
        <f>VLOOKUP(A43,'Données projet'!$A$61:$I$81,9,0)</f>
        <v>7.8</v>
      </c>
      <c r="AH43" s="12">
        <f t="array" ref="AH43">INDEX(AG:AG,MIN(IF(ISNUMBER(AG43:AG239),ROW(AG43:AG239),"")))</f>
        <v>7.8</v>
      </c>
      <c r="AI43" s="13">
        <f>IF('Données projet'!$A$62&gt;35,AI42+AH43-AQ42,IF(A43&lt;'Données projet'!$A$62,$AF$205^A43,IF(A43='Données projet'!$A$62,'Données projet'!$B$62,AI42+AH43-AQ42)))</f>
        <v>195.00000000000006</v>
      </c>
      <c r="AJ43" s="13">
        <f>AI43*VLOOKUP('Données projet'!$B$10,Paramètres!$A$1:$I$89,3,0)*VLOOKUP('Données projet'!$B$10,Paramètres!$A$1:$I$89,5,0)</f>
        <v>127.76400000000004</v>
      </c>
      <c r="AK43" s="13">
        <f t="shared" si="35"/>
        <v>33.479164830670079</v>
      </c>
      <c r="AL43" s="20">
        <f t="shared" si="4"/>
        <v>280.83184541341706</v>
      </c>
      <c r="AM43" s="59">
        <f t="shared" si="5"/>
        <v>574.16517874675037</v>
      </c>
      <c r="AN43" s="59">
        <f ca="1">AVERAGE(OFFSET($AM$3,0,0,'Données projet'!$E$10+1,1))-AVERAGE(OFFSET($H$3,0,0,'Données projet'!$E$10+1,1))</f>
        <v>263.30962868541337</v>
      </c>
      <c r="AO43" s="59">
        <f t="shared" si="36"/>
        <v>269.61868559913404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25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14.838479131040188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14.838479131040188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-2.5006556825246661E-14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181.39264602498668</v>
      </c>
      <c r="T44" s="59">
        <f t="shared" si="34"/>
        <v>338.52444384059521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51.427288793886312</v>
      </c>
      <c r="AA44" s="21">
        <f>EXP(-LN(2)/25)*AA43+(1-EXP(-LN(2)/25))/(LN(2)/25)*Calculateur!V44*Calculateur!X44*VLOOKUP('Données projet'!$B$9,Paramètres!$A$1:$I$89,3,0)*0.475*44/12</f>
        <v>12.210206615827195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63.637495409713509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177.40000000000006</v>
      </c>
      <c r="AJ44" s="13">
        <f>AI44*VLOOKUP('Données projet'!$B$10,Paramètres!$A$1:$I$89,3,0)*VLOOKUP('Données projet'!$B$10,Paramètres!$A$1:$I$89,5,0)</f>
        <v>116.23248000000004</v>
      </c>
      <c r="AK44" s="13">
        <f t="shared" si="35"/>
        <v>30.794662422308217</v>
      </c>
      <c r="AL44" s="20">
        <f t="shared" si="4"/>
        <v>256.07227305218686</v>
      </c>
      <c r="AM44" s="59">
        <f t="shared" si="5"/>
        <v>549.40560638552017</v>
      </c>
      <c r="AN44" s="59">
        <f ca="1">AVERAGE(OFFSET($AM$3,0,0,'Données projet'!$E$10+1,1))-AVERAGE(OFFSET($H$3,0,0,'Données projet'!$E$10+1,1))</f>
        <v>263.30962868541337</v>
      </c>
      <c r="AO44" s="59">
        <f t="shared" si="36"/>
        <v>269.61868559913404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14.54750560585909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14.54750560585909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-2.5006556825246661E-14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181.39264602498668</v>
      </c>
      <c r="T45" s="59">
        <f t="shared" si="34"/>
        <v>338.52444384059521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50.418831028187078</v>
      </c>
      <c r="AA45" s="21">
        <f>EXP(-LN(2)/25)*AA44+(1-EXP(-LN(2)/25))/(LN(2)/25)*Calculateur!V45*Calculateur!X45*VLOOKUP('Données projet'!$B$9,Paramètres!$A$1:$I$89,3,0)*0.475*44/12</f>
        <v>11.876317873810541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62.295148901997621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184.80000000000007</v>
      </c>
      <c r="AJ45" s="13">
        <f>AI45*VLOOKUP('Données projet'!$B$10,Paramètres!$A$1:$I$89,3,0)*VLOOKUP('Données projet'!$B$10,Paramètres!$A$1:$I$89,5,0)</f>
        <v>121.08096000000005</v>
      </c>
      <c r="AK45" s="13">
        <f t="shared" si="35"/>
        <v>31.92698372788707</v>
      </c>
      <c r="AL45" s="20">
        <f t="shared" si="4"/>
        <v>266.48883532607005</v>
      </c>
      <c r="AM45" s="59">
        <f t="shared" si="5"/>
        <v>559.82216865940336</v>
      </c>
      <c r="AN45" s="59">
        <f ca="1">AVERAGE(OFFSET($AM$3,0,0,'Données projet'!$E$10+1,1))-AVERAGE(OFFSET($H$3,0,0,'Données projet'!$E$10+1,1))</f>
        <v>263.30962868541337</v>
      </c>
      <c r="AO45" s="59">
        <f t="shared" si="36"/>
        <v>269.61868559913404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14.262237894030466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14.262237894030466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-2.5006556825246661E-14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181.39264602498668</v>
      </c>
      <c r="T46" s="59">
        <f t="shared" si="34"/>
        <v>338.52444384059521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49.430148504174703</v>
      </c>
      <c r="AA46" s="21">
        <f>EXP(-LN(2)/25)*AA45+(1-EXP(-LN(2)/25))/(LN(2)/25)*Calculateur!V46*Calculateur!X46*VLOOKUP('Données projet'!$B$9,Paramètres!$A$1:$I$89,3,0)*0.475*44/12</f>
        <v>11.551559337002779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60.981707841177482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192.20000000000007</v>
      </c>
      <c r="AJ46" s="13">
        <f>AI46*VLOOKUP('Données projet'!$B$10,Paramètres!$A$1:$I$89,3,0)*VLOOKUP('Données projet'!$B$10,Paramètres!$A$1:$I$89,5,0)</f>
        <v>125.92944000000006</v>
      </c>
      <c r="AK46" s="13">
        <f t="shared" si="35"/>
        <v>33.054038034052077</v>
      </c>
      <c r="AL46" s="20">
        <f t="shared" si="4"/>
        <v>276.89622424264081</v>
      </c>
      <c r="AM46" s="59">
        <f t="shared" si="5"/>
        <v>570.22955757597413</v>
      </c>
      <c r="AN46" s="59">
        <f ca="1">AVERAGE(OFFSET($AM$3,0,0,'Données projet'!$E$10+1,1))-AVERAGE(OFFSET($H$3,0,0,'Données projet'!$E$10+1,1))</f>
        <v>263.30962868541337</v>
      </c>
      <c r="AO46" s="59">
        <f t="shared" si="36"/>
        <v>269.61868559913404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13.982564108034678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13.982564108034678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-2.5006556825246661E-14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181.39264602498668</v>
      </c>
      <c r="T47" s="59">
        <f t="shared" si="34"/>
        <v>338.52444384059521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48.46085344142142</v>
      </c>
      <c r="AA47" s="21">
        <f>EXP(-LN(2)/25)*AA46+(1-EXP(-LN(2)/25))/(LN(2)/25)*Calculateur!V47*Calculateur!X47*VLOOKUP('Données projet'!$B$9,Paramètres!$A$1:$I$89,3,0)*0.475*44/12</f>
        <v>11.235681339462333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59.696534780883752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199.60000000000008</v>
      </c>
      <c r="AJ47" s="13">
        <f>AI47*VLOOKUP('Données projet'!$B$10,Paramètres!$A$1:$I$89,3,0)*VLOOKUP('Données projet'!$B$10,Paramètres!$A$1:$I$89,5,0)</f>
        <v>130.77792000000005</v>
      </c>
      <c r="AK47" s="13">
        <f t="shared" si="35"/>
        <v>34.176051340149542</v>
      </c>
      <c r="AL47" s="20">
        <f t="shared" si="4"/>
        <v>287.29483341742718</v>
      </c>
      <c r="AM47" s="59">
        <f t="shared" si="5"/>
        <v>580.62816675076056</v>
      </c>
      <c r="AN47" s="59">
        <f ca="1">AVERAGE(OFFSET($AM$3,0,0,'Données projet'!$E$10+1,1))-AVERAGE(OFFSET($H$3,0,0,'Données projet'!$E$10+1,1))</f>
        <v>263.30962868541337</v>
      </c>
      <c r="AO47" s="59">
        <f t="shared" si="36"/>
        <v>269.61868559913404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13.708374554398102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13.708374554398102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-2.5006556825246661E-14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181.39264602498668</v>
      </c>
      <c r="T48" s="59">
        <f t="shared" si="34"/>
        <v>338.52444384059521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47.510565663637117</v>
      </c>
      <c r="AA48" s="21">
        <f>EXP(-LN(2)/25)*AA47+(1-EXP(-LN(2)/25))/(LN(2)/25)*Calculateur!V48*Calculateur!X48*VLOOKUP('Données projet'!$B$9,Paramètres!$A$1:$I$89,3,0)*0.475*44/12</f>
        <v>10.928441042375933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58.439006706013046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207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207.00000000000009</v>
      </c>
      <c r="AJ48" s="13">
        <f>AI48*VLOOKUP('Données projet'!$B$10,Paramètres!$A$1:$I$89,3,0)*VLOOKUP('Données projet'!$B$10,Paramètres!$A$1:$I$89,5,0)</f>
        <v>135.62640000000005</v>
      </c>
      <c r="AK48" s="13">
        <f t="shared" si="35"/>
        <v>35.293231938598481</v>
      </c>
      <c r="AL48" s="20">
        <f t="shared" si="4"/>
        <v>297.68502562639242</v>
      </c>
      <c r="AM48" s="59">
        <f t="shared" si="5"/>
        <v>591.01835895972567</v>
      </c>
      <c r="AN48" s="59">
        <f ca="1">AVERAGE(OFFSET($AM$3,0,0,'Données projet'!$E$10+1,1))-AVERAGE(OFFSET($H$3,0,0,'Données projet'!$E$10+1,1))</f>
        <v>263.30962868541337</v>
      </c>
      <c r="AO48" s="59">
        <f t="shared" si="36"/>
        <v>269.61868559913404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25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21.225831761871603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21.225831761871603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-2.5006556825246661E-14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181.39264602498668</v>
      </c>
      <c r="T49" s="59">
        <f t="shared" si="34"/>
        <v>338.52444384059521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46.578912449556853</v>
      </c>
      <c r="AA49" s="21">
        <f>EXP(-LN(2)/25)*AA48+(1-EXP(-LN(2)/25))/(LN(2)/25)*Calculateur!V49*Calculateur!X49*VLOOKUP('Données projet'!$B$9,Paramètres!$A$1:$I$89,3,0)*0.475*44/12</f>
        <v>10.629602247370427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57.208514696927281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6.6</v>
      </c>
      <c r="AI49" s="13">
        <f>IF('Données projet'!$A$62&gt;35,AI48+AH49-AQ48,IF(A49&lt;'Données projet'!$A$62,$AF$205^A49,IF(A49='Données projet'!$A$62,'Données projet'!$B$62,AI48+AH49-AQ48)))</f>
        <v>188.60000000000008</v>
      </c>
      <c r="AJ49" s="13">
        <f>AI49*VLOOKUP('Données projet'!$B$10,Paramètres!$A$1:$I$89,3,0)*VLOOKUP('Données projet'!$B$10,Paramètres!$A$1:$I$89,5,0)</f>
        <v>123.57072000000005</v>
      </c>
      <c r="AK49" s="13">
        <f t="shared" si="35"/>
        <v>32.506384557027701</v>
      </c>
      <c r="AL49" s="20">
        <f t="shared" si="4"/>
        <v>271.83429043682332</v>
      </c>
      <c r="AM49" s="59">
        <f t="shared" si="5"/>
        <v>565.16762377015664</v>
      </c>
      <c r="AN49" s="59">
        <f ca="1">AVERAGE(OFFSET($AM$3,0,0,'Données projet'!$E$10+1,1))-AVERAGE(OFFSET($H$3,0,0,'Données projet'!$E$10+1,1))</f>
        <v>263.30962868541337</v>
      </c>
      <c r="AO49" s="59">
        <f t="shared" si="36"/>
        <v>269.61868559913404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20.809606147500318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20.809606147500318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-2.5006556825246661E-14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181.39264602498668</v>
      </c>
      <c r="T50" s="59">
        <f t="shared" si="34"/>
        <v>338.52444384059521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45.665528386752349</v>
      </c>
      <c r="AA50" s="21">
        <f>EXP(-LN(2)/25)*AA49+(1-EXP(-LN(2)/25))/(LN(2)/25)*Calculateur!V50*Calculateur!X50*VLOOKUP('Données projet'!$B$9,Paramètres!$A$1:$I$89,3,0)*0.475*44/12</f>
        <v>10.338935214929595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56.004463601681948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6.6</v>
      </c>
      <c r="AI50" s="13">
        <f>IF('Données projet'!$A$62&gt;35,AI49+AH50-AQ49,IF(A50&lt;'Données projet'!$A$62,$AF$205^A50,IF(A50='Données projet'!$A$62,'Données projet'!$B$62,AI49+AH50-AQ49)))</f>
        <v>195.20000000000007</v>
      </c>
      <c r="AJ50" s="13">
        <f>AI50*VLOOKUP('Données projet'!$B$10,Paramètres!$A$1:$I$89,3,0)*VLOOKUP('Données projet'!$B$10,Paramètres!$A$1:$I$89,5,0)</f>
        <v>127.89504000000004</v>
      </c>
      <c r="AK50" s="13">
        <f t="shared" si="35"/>
        <v>33.509503727991913</v>
      </c>
      <c r="AL50" s="20">
        <f t="shared" si="4"/>
        <v>281.11291365958601</v>
      </c>
      <c r="AM50" s="59">
        <f t="shared" si="5"/>
        <v>574.44624699291933</v>
      </c>
      <c r="AN50" s="59">
        <f ca="1">AVERAGE(OFFSET($AM$3,0,0,'Données projet'!$E$10+1,1))-AVERAGE(OFFSET($H$3,0,0,'Données projet'!$E$10+1,1))</f>
        <v>263.30962868541337</v>
      </c>
      <c r="AO50" s="59">
        <f t="shared" si="36"/>
        <v>269.61868559913404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20.401542463554296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20.401542463554296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-2.5006556825246661E-14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181.39264602498668</v>
      </c>
      <c r="T51" s="59">
        <f t="shared" si="34"/>
        <v>338.52444384059521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44.770055228310177</v>
      </c>
      <c r="AA51" s="21">
        <f>EXP(-LN(2)/25)*AA50+(1-EXP(-LN(2)/25))/(LN(2)/25)*Calculateur!V51*Calculateur!X51*VLOOKUP('Données projet'!$B$9,Paramètres!$A$1:$I$89,3,0)*0.475*44/12</f>
        <v>10.056216487776373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54.826271716086552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6.6</v>
      </c>
      <c r="AI51" s="13">
        <f>IF('Données projet'!$A$62&gt;35,AI50+AH51-AQ50,IF(A51&lt;'Données projet'!$A$62,$AF$205^A51,IF(A51='Données projet'!$A$62,'Données projet'!$B$62,AI50+AH51-AQ50)))</f>
        <v>201.80000000000007</v>
      </c>
      <c r="AJ51" s="13">
        <f>AI51*VLOOKUP('Données projet'!$B$10,Paramètres!$A$1:$I$89,3,0)*VLOOKUP('Données projet'!$B$10,Paramètres!$A$1:$I$89,5,0)</f>
        <v>132.21936000000005</v>
      </c>
      <c r="AK51" s="13">
        <f t="shared" si="35"/>
        <v>34.508681932648301</v>
      </c>
      <c r="AL51" s="20">
        <f t="shared" si="4"/>
        <v>290.3846730326959</v>
      </c>
      <c r="AM51" s="59">
        <f t="shared" si="5"/>
        <v>583.71800636602916</v>
      </c>
      <c r="AN51" s="59">
        <f ca="1">AVERAGE(OFFSET($AM$3,0,0,'Données projet'!$E$10+1,1))-AVERAGE(OFFSET($H$3,0,0,'Données projet'!$E$10+1,1))</f>
        <v>263.30962868541337</v>
      </c>
      <c r="AO51" s="59">
        <f t="shared" si="36"/>
        <v>269.61868559913404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20.001480659556186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20.001480659556186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-2.5006556825246661E-14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181.39264602498668</v>
      </c>
      <c r="T52" s="59">
        <f t="shared" si="34"/>
        <v>338.52444384059521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43.892141752320356</v>
      </c>
      <c r="AA52" s="21">
        <f>EXP(-LN(2)/25)*AA51+(1-EXP(-LN(2)/25))/(LN(2)/25)*Calculateur!V52*Calculateur!X52*VLOOKUP('Données projet'!$B$9,Paramètres!$A$1:$I$89,3,0)*0.475*44/12</f>
        <v>9.7812287190846874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53.673370471405043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6.6</v>
      </c>
      <c r="AI52" s="13">
        <f>IF('Données projet'!$A$62&gt;35,AI51+AH52-AQ51,IF(A52&lt;'Données projet'!$A$62,$AF$205^A52,IF(A52='Données projet'!$A$62,'Données projet'!$B$62,AI51+AH52-AQ51)))</f>
        <v>208.40000000000006</v>
      </c>
      <c r="AJ52" s="13">
        <f>AI52*VLOOKUP('Données projet'!$B$10,Paramètres!$A$1:$I$89,3,0)*VLOOKUP('Données projet'!$B$10,Paramètres!$A$1:$I$89,5,0)</f>
        <v>136.54368000000002</v>
      </c>
      <c r="AK52" s="13">
        <f t="shared" si="35"/>
        <v>35.504062844328153</v>
      </c>
      <c r="AL52" s="20">
        <f t="shared" si="4"/>
        <v>299.64981878720488</v>
      </c>
      <c r="AM52" s="59">
        <f t="shared" si="5"/>
        <v>592.98315212053819</v>
      </c>
      <c r="AN52" s="59">
        <f ca="1">AVERAGE(OFFSET($AM$3,0,0,'Données projet'!$E$10+1,1))-AVERAGE(OFFSET($H$3,0,0,'Données projet'!$E$10+1,1))</f>
        <v>263.30962868541337</v>
      </c>
      <c r="AO52" s="59">
        <f t="shared" si="36"/>
        <v>269.61868559913404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19.609263823520873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19.609263823520873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-2.5006556825246661E-14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181.39264602498668</v>
      </c>
      <c r="T53" s="59">
        <f t="shared" si="34"/>
        <v>338.52444384059521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43.03144362412035</v>
      </c>
      <c r="AA53" s="21">
        <f>EXP(-LN(2)/25)*AA52+(1-EXP(-LN(2)/25))/(LN(2)/25)*Calculateur!V53*Calculateur!X53*VLOOKUP('Données projet'!$B$9,Paramètres!$A$1:$I$89,3,0)*0.475*44/12</f>
        <v>9.5137605053888539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52.545204129509202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215</v>
      </c>
      <c r="AG53" s="12">
        <f>VLOOKUP(A53,'Données projet'!$A$61:$I$81,9,0)</f>
        <v>6.6</v>
      </c>
      <c r="AH53" s="12">
        <f t="array" ref="AH53">INDEX(AG:AG,MIN(IF(ISNUMBER(AG53:AG249),ROW(AG53:AG249),"")))</f>
        <v>6.6</v>
      </c>
      <c r="AI53" s="13">
        <f>IF('Données projet'!$A$62&gt;35,AI52+AH53-AQ52,IF(A53&lt;'Données projet'!$A$62,$AF$205^A53,IF(A53='Données projet'!$A$62,'Données projet'!$B$62,AI52+AH53-AQ52)))</f>
        <v>215.00000000000006</v>
      </c>
      <c r="AJ53" s="13">
        <f>AI53*VLOOKUP('Données projet'!$B$10,Paramètres!$A$1:$I$89,3,0)*VLOOKUP('Données projet'!$B$10,Paramètres!$A$1:$I$89,5,0)</f>
        <v>140.86800000000005</v>
      </c>
      <c r="AK53" s="13">
        <f t="shared" si="35"/>
        <v>36.495780519346958</v>
      </c>
      <c r="AL53" s="20">
        <f t="shared" si="4"/>
        <v>308.90858440452939</v>
      </c>
      <c r="AM53" s="59">
        <f t="shared" si="5"/>
        <v>602.24191773786265</v>
      </c>
      <c r="AN53" s="59">
        <f ca="1">AVERAGE(OFFSET($AM$3,0,0,'Données projet'!$E$10+1,1))-AVERAGE(OFFSET($H$3,0,0,'Données projet'!$E$10+1,1))</f>
        <v>263.30962868541337</v>
      </c>
      <c r="AO53" s="59">
        <f t="shared" si="36"/>
        <v>269.61868559913404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24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26.699557388765847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26.699557388765847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-2.5006556825246661E-14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181.39264602498668</v>
      </c>
      <c r="T54" s="59">
        <f t="shared" si="34"/>
        <v>338.52444384059521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42.187623261240326</v>
      </c>
      <c r="AA54" s="21">
        <f>EXP(-LN(2)/25)*AA53+(1-EXP(-LN(2)/25))/(LN(2)/25)*Calculateur!V54*Calculateur!X54*VLOOKUP('Données projet'!$B$9,Paramètres!$A$1:$I$89,3,0)*0.475*44/12</f>
        <v>9.2536062240620751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51.441229485302401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6.4</v>
      </c>
      <c r="AI54" s="13">
        <f>IF('Données projet'!$A$62&gt;35,AI53+AH54-AQ53,IF(A54&lt;'Données projet'!$A$62,$AF$205^A54,IF(A54='Données projet'!$A$62,'Données projet'!$B$62,AI53+AH54-AQ53)))</f>
        <v>197.40000000000006</v>
      </c>
      <c r="AJ54" s="13">
        <f>AI54*VLOOKUP('Données projet'!$B$10,Paramètres!$A$1:$I$89,3,0)*VLOOKUP('Données projet'!$B$10,Paramètres!$A$1:$I$89,5,0)</f>
        <v>129.33648000000005</v>
      </c>
      <c r="AK54" s="13">
        <f t="shared" si="35"/>
        <v>33.84299371090448</v>
      </c>
      <c r="AL54" s="20">
        <f t="shared" si="4"/>
        <v>284.20425004649206</v>
      </c>
      <c r="AM54" s="59">
        <f t="shared" si="5"/>
        <v>577.53758337982538</v>
      </c>
      <c r="AN54" s="59">
        <f ca="1">AVERAGE(OFFSET($AM$3,0,0,'Données projet'!$E$10+1,1))-AVERAGE(OFFSET($H$3,0,0,'Données projet'!$E$10+1,1))</f>
        <v>263.30962868541337</v>
      </c>
      <c r="AO54" s="59">
        <f t="shared" si="36"/>
        <v>269.61868559913404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26.175995353494134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26.175995353494134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-2.5006556825246661E-14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181.39264602498668</v>
      </c>
      <c r="T55" s="59">
        <f t="shared" si="34"/>
        <v>338.52444384059521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41.360349700996778</v>
      </c>
      <c r="AA55" s="21">
        <f>EXP(-LN(2)/25)*AA54+(1-EXP(-LN(2)/25))/(LN(2)/25)*Calculateur!V55*Calculateur!X55*VLOOKUP('Données projet'!$B$9,Paramètres!$A$1:$I$89,3,0)*0.475*44/12</f>
        <v>9.0005658752390953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50.360915576235875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6.4</v>
      </c>
      <c r="AI55" s="13">
        <f>IF('Données projet'!$A$62&gt;35,AI54+AH55-AQ54,IF(A55&lt;'Données projet'!$A$62,$AF$205^A55,IF(A55='Données projet'!$A$62,'Données projet'!$B$62,AI54+AH55-AQ54)))</f>
        <v>203.80000000000007</v>
      </c>
      <c r="AJ55" s="13">
        <f>AI55*VLOOKUP('Données projet'!$B$10,Paramètres!$A$1:$I$89,3,0)*VLOOKUP('Données projet'!$B$10,Paramètres!$A$1:$I$89,5,0)</f>
        <v>133.52976000000007</v>
      </c>
      <c r="AK55" s="13">
        <f t="shared" si="35"/>
        <v>34.810707184454238</v>
      </c>
      <c r="AL55" s="20">
        <f t="shared" si="4"/>
        <v>293.19298034625791</v>
      </c>
      <c r="AM55" s="59">
        <f t="shared" si="5"/>
        <v>586.52631367959123</v>
      </c>
      <c r="AN55" s="59">
        <f ca="1">AVERAGE(OFFSET($AM$3,0,0,'Données projet'!$E$10+1,1))-AVERAGE(OFFSET($H$3,0,0,'Données projet'!$E$10+1,1))</f>
        <v>263.30962868541337</v>
      </c>
      <c r="AO55" s="59">
        <f t="shared" si="36"/>
        <v>269.61868559913404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25.66270005039279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25.66270005039279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-2.5006556825246661E-14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181.39264602498668</v>
      </c>
      <c r="T56" s="59">
        <f t="shared" si="34"/>
        <v>338.52444384059521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40.549298470682558</v>
      </c>
      <c r="AA56" s="21">
        <f>EXP(-LN(2)/25)*AA55+(1-EXP(-LN(2)/25))/(LN(2)/25)*Calculateur!V56*Calculateur!X56*VLOOKUP('Données projet'!$B$9,Paramètres!$A$1:$I$89,3,0)*0.475*44/12</f>
        <v>8.7544449280614938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49.303743398744054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6.4</v>
      </c>
      <c r="AI56" s="13">
        <f>IF('Données projet'!$A$62&gt;35,AI55+AH56-AQ55,IF(A56&lt;'Données projet'!$A$62,$AF$205^A56,IF(A56='Données projet'!$A$62,'Données projet'!$B$62,AI55+AH56-AQ55)))</f>
        <v>210.20000000000007</v>
      </c>
      <c r="AJ56" s="13">
        <f>AI56*VLOOKUP('Données projet'!$B$10,Paramètres!$A$1:$I$89,3,0)*VLOOKUP('Données projet'!$B$10,Paramètres!$A$1:$I$89,5,0)</f>
        <v>137.72304000000005</v>
      </c>
      <c r="AK56" s="13">
        <f t="shared" si="35"/>
        <v>35.774889172094717</v>
      </c>
      <c r="AL56" s="20">
        <f t="shared" si="4"/>
        <v>302.1755599747317</v>
      </c>
      <c r="AM56" s="59">
        <f t="shared" si="5"/>
        <v>595.50889330806501</v>
      </c>
      <c r="AN56" s="59">
        <f ca="1">AVERAGE(OFFSET($AM$3,0,0,'Données projet'!$E$10+1,1))-AVERAGE(OFFSET($H$3,0,0,'Données projet'!$E$10+1,1))</f>
        <v>263.30962868541337</v>
      </c>
      <c r="AO56" s="59">
        <f t="shared" si="36"/>
        <v>269.61868559913404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25.159470155106042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25.159470155106042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-2.5006556825246661E-14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181.39264602498668</v>
      </c>
      <c r="T57" s="59">
        <f t="shared" si="34"/>
        <v>338.52444384059521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39.754151460302396</v>
      </c>
      <c r="AA57" s="21">
        <f>EXP(-LN(2)/25)*AA56+(1-EXP(-LN(2)/25))/(LN(2)/25)*Calculateur!V57*Calculateur!X57*VLOOKUP('Données projet'!$B$9,Paramètres!$A$1:$I$89,3,0)*0.475*44/12</f>
        <v>8.5150541711274013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48.269205631429799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6.4</v>
      </c>
      <c r="AI57" s="13">
        <f>IF('Données projet'!$A$62&gt;35,AI56+AH57-AQ56,IF(A57&lt;'Données projet'!$A$62,$AF$205^A57,IF(A57='Données projet'!$A$62,'Données projet'!$B$62,AI56+AH57-AQ56)))</f>
        <v>216.60000000000008</v>
      </c>
      <c r="AJ57" s="13">
        <f>AI57*VLOOKUP('Données projet'!$B$10,Paramètres!$A$1:$I$89,3,0)*VLOOKUP('Données projet'!$B$10,Paramètres!$A$1:$I$89,5,0)</f>
        <v>141.91632000000007</v>
      </c>
      <c r="AK57" s="13">
        <f t="shared" si="35"/>
        <v>36.735659538535245</v>
      </c>
      <c r="AL57" s="20">
        <f t="shared" si="4"/>
        <v>311.15219769628237</v>
      </c>
      <c r="AM57" s="59">
        <f t="shared" si="5"/>
        <v>604.48553102961569</v>
      </c>
      <c r="AN57" s="59">
        <f ca="1">AVERAGE(OFFSET($AM$3,0,0,'Données projet'!$E$10+1,1))-AVERAGE(OFFSET($H$3,0,0,'Données projet'!$E$10+1,1))</f>
        <v>263.30962868541337</v>
      </c>
      <c r="AO57" s="59">
        <f t="shared" si="36"/>
        <v>269.61868559913404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24.666108291125941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24.666108291125941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-2.5006556825246661E-14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181.39264602498668</v>
      </c>
      <c r="T58" s="59">
        <f t="shared" si="34"/>
        <v>338.52444384059521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38.974596797804004</v>
      </c>
      <c r="AA58" s="21">
        <f>EXP(-LN(2)/25)*AA57+(1-EXP(-LN(2)/25))/(LN(2)/25)*Calculateur!V58*Calculateur!X58*VLOOKUP('Données projet'!$B$9,Paramètres!$A$1:$I$89,3,0)*0.475*44/12</f>
        <v>8.2822095670306854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47.256806364834688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223</v>
      </c>
      <c r="AG58" s="12">
        <f>VLOOKUP(A58,'Données projet'!$A$61:$I$81,9,0)</f>
        <v>6.4</v>
      </c>
      <c r="AH58" s="12">
        <f t="array" ref="AH58">INDEX(AG:AG,MIN(IF(ISNUMBER(AG58:AG254),ROW(AG58:AG254),"")))</f>
        <v>6.4</v>
      </c>
      <c r="AI58" s="13">
        <f>IF('Données projet'!$A$62&gt;35,AI57+AH58-AQ57,IF(A58&lt;'Données projet'!$A$62,$AF$205^A58,IF(A58='Données projet'!$A$62,'Données projet'!$B$62,AI57+AH58-AQ57)))</f>
        <v>223.00000000000009</v>
      </c>
      <c r="AJ58" s="13">
        <f>AI58*VLOOKUP('Données projet'!$B$10,Paramètres!$A$1:$I$89,3,0)*VLOOKUP('Données projet'!$B$10,Paramètres!$A$1:$I$89,5,0)</f>
        <v>146.10960000000006</v>
      </c>
      <c r="AK58" s="13">
        <f t="shared" si="35"/>
        <v>37.693130662388469</v>
      </c>
      <c r="AL58" s="20">
        <f t="shared" si="4"/>
        <v>320.12308923699328</v>
      </c>
      <c r="AM58" s="59">
        <f t="shared" si="5"/>
        <v>613.45642257032659</v>
      </c>
      <c r="AN58" s="59">
        <f ca="1">AVERAGE(OFFSET($AM$3,0,0,'Données projet'!$E$10+1,1))-AVERAGE(OFFSET($H$3,0,0,'Données projet'!$E$10+1,1))</f>
        <v>263.30962868541337</v>
      </c>
      <c r="AO58" s="59">
        <f t="shared" si="36"/>
        <v>269.61868559913404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23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31.345789417883655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31.345789417883655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-2.5006556825246661E-14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181.39264602498668</v>
      </c>
      <c r="T59" s="59">
        <f t="shared" si="34"/>
        <v>338.52444384059521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38.210328726755812</v>
      </c>
      <c r="AA59" s="21">
        <f>EXP(-LN(2)/25)*AA58+(1-EXP(-LN(2)/25))/(LN(2)/25)*Calculateur!V59*Calculateur!X59*VLOOKUP('Données projet'!$B$9,Paramètres!$A$1:$I$89,3,0)*0.475*44/12</f>
        <v>8.0557321108777593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46.266060837633574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5.8</v>
      </c>
      <c r="AI59" s="13">
        <f>IF('Données projet'!$A$62&gt;35,AI58+AH59-AQ58,IF(A59&lt;'Données projet'!$A$62,$AF$205^A59,IF(A59='Données projet'!$A$62,'Données projet'!$B$62,AI58+AH59-AQ58)))</f>
        <v>205.8000000000001</v>
      </c>
      <c r="AJ59" s="13">
        <f>AI59*VLOOKUP('Données projet'!$B$10,Paramètres!$A$1:$I$89,3,0)*VLOOKUP('Données projet'!$B$10,Paramètres!$A$1:$I$89,5,0)</f>
        <v>134.84016000000005</v>
      </c>
      <c r="AK59" s="13">
        <f t="shared" si="35"/>
        <v>35.112387625030664</v>
      </c>
      <c r="AL59" s="20">
        <f t="shared" si="4"/>
        <v>296.00068711359518</v>
      </c>
      <c r="AM59" s="59">
        <f t="shared" si="5"/>
        <v>589.33402044692843</v>
      </c>
      <c r="AN59" s="59">
        <f ca="1">AVERAGE(OFFSET($AM$3,0,0,'Données projet'!$E$10+1,1))-AVERAGE(OFFSET($H$3,0,0,'Données projet'!$E$10+1,1))</f>
        <v>263.30962868541337</v>
      </c>
      <c r="AO59" s="59">
        <f t="shared" si="36"/>
        <v>269.61868559913404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30.731117606442652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30.731117606442652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-2.5006556825246661E-14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181.39264602498668</v>
      </c>
      <c r="T60" s="59">
        <f t="shared" si="34"/>
        <v>338.52444384059521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37.461047486423375</v>
      </c>
      <c r="AA60" s="21">
        <f>EXP(-LN(2)/25)*AA59+(1-EXP(-LN(2)/25))/(LN(2)/25)*Calculateur!V60*Calculateur!X60*VLOOKUP('Données projet'!$B$9,Paramètres!$A$1:$I$89,3,0)*0.475*44/12</f>
        <v>7.8354476926732666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45.296495179096638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5.8</v>
      </c>
      <c r="AI60" s="13">
        <f>IF('Données projet'!$A$62&gt;35,AI59+AH60-AQ59,IF(A60&lt;'Données projet'!$A$62,$AF$205^A60,IF(A60='Données projet'!$A$62,'Données projet'!$B$62,AI59+AH60-AQ59)))</f>
        <v>211.60000000000011</v>
      </c>
      <c r="AJ60" s="13">
        <f>AI60*VLOOKUP('Données projet'!$B$10,Paramètres!$A$1:$I$89,3,0)*VLOOKUP('Données projet'!$B$10,Paramètres!$A$1:$I$89,5,0)</f>
        <v>138.64032000000006</v>
      </c>
      <c r="AK60" s="13">
        <f t="shared" si="35"/>
        <v>35.985345198165817</v>
      </c>
      <c r="AL60" s="20">
        <f t="shared" si="4"/>
        <v>304.13970022013888</v>
      </c>
      <c r="AM60" s="59">
        <f t="shared" si="5"/>
        <v>597.47303355347219</v>
      </c>
      <c r="AN60" s="59">
        <f ca="1">AVERAGE(OFFSET($AM$3,0,0,'Données projet'!$E$10+1,1))-AVERAGE(OFFSET($H$3,0,0,'Données projet'!$E$10+1,1))</f>
        <v>263.30962868541337</v>
      </c>
      <c r="AO60" s="59">
        <f t="shared" si="36"/>
        <v>269.61868559913404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30.128499134311223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30.128499134311223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-2.5006556825246661E-14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181.39264602498668</v>
      </c>
      <c r="T61" s="59">
        <f t="shared" si="34"/>
        <v>338.52444384059521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36.726459194197432</v>
      </c>
      <c r="AA61" s="21">
        <f>EXP(-LN(2)/25)*AA60+(1-EXP(-LN(2)/25))/(LN(2)/25)*Calculateur!V61*Calculateur!X61*VLOOKUP('Données projet'!$B$9,Paramètres!$A$1:$I$89,3,0)*0.475*44/12</f>
        <v>7.6211869634688298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44.347646157666262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5.8</v>
      </c>
      <c r="AI61" s="13">
        <f>IF('Données projet'!$A$62&gt;35,AI60+AH61-AQ60,IF(A61&lt;'Données projet'!$A$62,$AF$205^A61,IF(A61='Données projet'!$A$62,'Données projet'!$B$62,AI60+AH61-AQ60)))</f>
        <v>217.40000000000012</v>
      </c>
      <c r="AJ61" s="13">
        <f>AI61*VLOOKUP('Données projet'!$B$10,Paramètres!$A$1:$I$89,3,0)*VLOOKUP('Données projet'!$B$10,Paramètres!$A$1:$I$89,5,0)</f>
        <v>142.44048000000009</v>
      </c>
      <c r="AK61" s="13">
        <f t="shared" si="35"/>
        <v>36.855521628538284</v>
      </c>
      <c r="AL61" s="20">
        <f t="shared" si="4"/>
        <v>312.27386950303764</v>
      </c>
      <c r="AM61" s="59">
        <f t="shared" si="5"/>
        <v>605.60720283637102</v>
      </c>
      <c r="AN61" s="59">
        <f ca="1">AVERAGE(OFFSET($AM$3,0,0,'Données projet'!$E$10+1,1))-AVERAGE(OFFSET($H$3,0,0,'Données projet'!$E$10+1,1))</f>
        <v>263.30962868541337</v>
      </c>
      <c r="AO61" s="59">
        <f t="shared" si="36"/>
        <v>269.61868559913404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29.537697642857317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29.537697642857317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-2.5006556825246661E-14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181.39264602498668</v>
      </c>
      <c r="T62" s="59">
        <f t="shared" si="34"/>
        <v>338.52444384059521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36.006275730327424</v>
      </c>
      <c r="AA62" s="21">
        <f>EXP(-LN(2)/25)*AA61+(1-EXP(-LN(2)/25))/(LN(2)/25)*Calculateur!V62*Calculateur!X62*VLOOKUP('Données projet'!$B$9,Paramètres!$A$1:$I$89,3,0)*0.475*44/12</f>
        <v>7.4127852051719705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43.419060935499395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5.8</v>
      </c>
      <c r="AI62" s="13">
        <f>IF('Données projet'!$A$62&gt;35,AI61+AH62-AQ61,IF(A62&lt;'Données projet'!$A$62,$AF$205^A62,IF(A62='Données projet'!$A$62,'Données projet'!$B$62,AI61+AH62-AQ61)))</f>
        <v>223.20000000000013</v>
      </c>
      <c r="AJ62" s="13">
        <f>AI62*VLOOKUP('Données projet'!$B$10,Paramètres!$A$1:$I$89,3,0)*VLOOKUP('Données projet'!$B$10,Paramètres!$A$1:$I$89,5,0)</f>
        <v>146.2406400000001</v>
      </c>
      <c r="AK62" s="13">
        <f t="shared" si="35"/>
        <v>37.722999642090628</v>
      </c>
      <c r="AL62" s="20">
        <f t="shared" si="4"/>
        <v>320.40333904330799</v>
      </c>
      <c r="AM62" s="59">
        <f t="shared" si="5"/>
        <v>613.73667237664131</v>
      </c>
      <c r="AN62" s="59">
        <f ca="1">AVERAGE(OFFSET($AM$3,0,0,'Données projet'!$E$10+1,1))-AVERAGE(OFFSET($H$3,0,0,'Données projet'!$E$10+1,1))</f>
        <v>263.30962868541337</v>
      </c>
      <c r="AO62" s="59">
        <f t="shared" si="36"/>
        <v>269.61868559913404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28.958481408297494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28.958481408297494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-2.5006556825246661E-14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181.39264602498668</v>
      </c>
      <c r="T63" s="59">
        <f t="shared" si="34"/>
        <v>338.52444384059521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35.300214624915363</v>
      </c>
      <c r="AA63" s="21">
        <f>EXP(-LN(2)/25)*AA62+(1-EXP(-LN(2)/25))/(LN(2)/25)*Calculateur!V63*Calculateur!X63*VLOOKUP('Données projet'!$B$9,Paramètres!$A$1:$I$89,3,0)*0.475*44/12</f>
        <v>7.2100822039151113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42.510296828830477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229</v>
      </c>
      <c r="AG63" s="12">
        <f>VLOOKUP(A63,'Données projet'!$A$61:$I$81,9,0)</f>
        <v>5.8</v>
      </c>
      <c r="AH63" s="12">
        <f t="array" ref="AH63">INDEX(AG:AG,MIN(IF(ISNUMBER(AG63:AG259),ROW(AG63:AG259),"")))</f>
        <v>5.8</v>
      </c>
      <c r="AI63" s="13">
        <f>IF('Données projet'!$A$62&gt;35,AI62+AH63-AQ62,IF(A63&lt;'Données projet'!$A$62,$AF$205^A63,IF(A63='Données projet'!$A$62,'Données projet'!$B$62,AI62+AH63-AQ62)))</f>
        <v>229.00000000000014</v>
      </c>
      <c r="AJ63" s="13">
        <f>AI63*VLOOKUP('Données projet'!$B$10,Paramètres!$A$1:$I$89,3,0)*VLOOKUP('Données projet'!$B$10,Paramètres!$A$1:$I$89,5,0)</f>
        <v>150.04080000000008</v>
      </c>
      <c r="AK63" s="13">
        <f t="shared" si="35"/>
        <v>38.587857420495212</v>
      </c>
      <c r="AL63" s="20">
        <f t="shared" si="4"/>
        <v>328.52824500736261</v>
      </c>
      <c r="AM63" s="59">
        <f t="shared" si="5"/>
        <v>621.86157834069593</v>
      </c>
      <c r="AN63" s="59">
        <f ca="1">AVERAGE(OFFSET($AM$3,0,0,'Données projet'!$E$10+1,1))-AVERAGE(OFFSET($H$3,0,0,'Données projet'!$E$10+1,1))</f>
        <v>263.30962868541337</v>
      </c>
      <c r="AO63" s="59">
        <f t="shared" si="36"/>
        <v>269.61868559913404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22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35.242540913468467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35.242540913468467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-2.5006556825246661E-14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181.39264602498668</v>
      </c>
      <c r="T64" s="59">
        <f t="shared" si="34"/>
        <v>338.52444384059521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34.607998947125687</v>
      </c>
      <c r="AA64" s="21">
        <f>EXP(-LN(2)/25)*AA63+(1-EXP(-LN(2)/25))/(LN(2)/25)*Calculateur!V64*Calculateur!X64*VLOOKUP('Données projet'!$B$9,Paramètres!$A$1:$I$89,3,0)*0.475*44/12</f>
        <v>7.0129221268873083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41.620921074012998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212.20000000000013</v>
      </c>
      <c r="AJ64" s="13">
        <f>AI64*VLOOKUP('Données projet'!$B$10,Paramètres!$A$1:$I$89,3,0)*VLOOKUP('Données projet'!$B$10,Paramètres!$A$1:$I$89,5,0)</f>
        <v>139.0334400000001</v>
      </c>
      <c r="AK64" s="13">
        <f t="shared" si="35"/>
        <v>36.07549097093554</v>
      </c>
      <c r="AL64" s="20">
        <f t="shared" si="4"/>
        <v>304.98138810771292</v>
      </c>
      <c r="AM64" s="59">
        <f t="shared" si="5"/>
        <v>598.31472144104623</v>
      </c>
      <c r="AN64" s="59">
        <f ca="1">AVERAGE(OFFSET($AM$3,0,0,'Données projet'!$E$10+1,1))-AVERAGE(OFFSET($H$3,0,0,'Données projet'!$E$10+1,1))</f>
        <v>263.30962868541337</v>
      </c>
      <c r="AO64" s="59">
        <f t="shared" si="36"/>
        <v>269.61868559913404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34.551456181982772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34.551456181982772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-2.5006556825246661E-14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181.39264602498668</v>
      </c>
      <c r="T65" s="59">
        <f t="shared" si="34"/>
        <v>338.52444384059521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33.929357196567587</v>
      </c>
      <c r="AA65" s="21">
        <f>EXP(-LN(2)/25)*AA64+(1-EXP(-LN(2)/25))/(LN(2)/25)*Calculateur!V65*Calculateur!X65*VLOOKUP('Données projet'!$B$9,Paramètres!$A$1:$I$89,3,0)*0.475*44/12</f>
        <v>6.8211534025340281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40.750510599101617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217.40000000000012</v>
      </c>
      <c r="AJ65" s="13">
        <f>AI65*VLOOKUP('Données projet'!$B$10,Paramètres!$A$1:$I$89,3,0)*VLOOKUP('Données projet'!$B$10,Paramètres!$A$1:$I$89,5,0)</f>
        <v>142.44048000000009</v>
      </c>
      <c r="AK65" s="13">
        <f t="shared" si="35"/>
        <v>36.855521628538284</v>
      </c>
      <c r="AL65" s="20">
        <f t="shared" si="4"/>
        <v>312.27386950303764</v>
      </c>
      <c r="AM65" s="59">
        <f t="shared" si="5"/>
        <v>605.60720283637102</v>
      </c>
      <c r="AN65" s="59">
        <f ca="1">AVERAGE(OFFSET($AM$3,0,0,'Données projet'!$E$10+1,1))-AVERAGE(OFFSET($H$3,0,0,'Données projet'!$E$10+1,1))</f>
        <v>263.30962868541337</v>
      </c>
      <c r="AO65" s="59">
        <f t="shared" si="36"/>
        <v>269.61868559913404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33.873923200561443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33.873923200561443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-2.5006556825246661E-14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181.39264602498668</v>
      </c>
      <c r="T66" s="59">
        <f t="shared" si="34"/>
        <v>338.52444384059521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33.264023196807337</v>
      </c>
      <c r="AA66" s="21">
        <f>EXP(-LN(2)/25)*AA65+(1-EXP(-LN(2)/25))/(LN(2)/25)*Calculateur!V66*Calculateur!X66*VLOOKUP('Données projet'!$B$9,Paramètres!$A$1:$I$89,3,0)*0.475*44/12</f>
        <v>6.6346286040328675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39.898651800840206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222.60000000000011</v>
      </c>
      <c r="AJ66" s="13">
        <f>AI66*VLOOKUP('Données projet'!$B$10,Paramètres!$A$1:$I$89,3,0)*VLOOKUP('Données projet'!$B$10,Paramètres!$A$1:$I$89,5,0)</f>
        <v>145.84752000000009</v>
      </c>
      <c r="AK66" s="13">
        <f t="shared" si="35"/>
        <v>37.633383344887093</v>
      </c>
      <c r="AL66" s="20">
        <f t="shared" si="4"/>
        <v>319.56257332567844</v>
      </c>
      <c r="AM66" s="59">
        <f t="shared" si="5"/>
        <v>612.89590665901176</v>
      </c>
      <c r="AN66" s="59">
        <f ca="1">AVERAGE(OFFSET($AM$3,0,0,'Données projet'!$E$10+1,1))-AVERAGE(OFFSET($H$3,0,0,'Données projet'!$E$10+1,1))</f>
        <v>263.30962868541337</v>
      </c>
      <c r="AO66" s="59">
        <f t="shared" si="36"/>
        <v>269.61868559913404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33.209676227651478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33.209676227651478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-2.5006556825246661E-14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181.39264602498668</v>
      </c>
      <c r="T67" s="59">
        <f t="shared" si="34"/>
        <v>338.52444384059521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32.611735990968718</v>
      </c>
      <c r="AA67" s="21">
        <f>EXP(-LN(2)/25)*AA66+(1-EXP(-LN(2)/25))/(LN(2)/25)*Calculateur!V67*Calculateur!X67*VLOOKUP('Données projet'!$B$9,Paramètres!$A$1:$I$89,3,0)*0.475*44/12</f>
        <v>6.4532043359556344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39.064940326924351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227.8000000000001</v>
      </c>
      <c r="AJ67" s="13">
        <f>AI67*VLOOKUP('Données projet'!$B$10,Paramètres!$A$1:$I$89,3,0)*VLOOKUP('Données projet'!$B$10,Paramètres!$A$1:$I$89,5,0)</f>
        <v>149.25456000000005</v>
      </c>
      <c r="AK67" s="13">
        <f t="shared" si="35"/>
        <v>38.409132618275962</v>
      </c>
      <c r="AL67" s="20">
        <f t="shared" si="4"/>
        <v>326.84759797683068</v>
      </c>
      <c r="AM67" s="59">
        <f t="shared" si="5"/>
        <v>620.18093131016394</v>
      </c>
      <c r="AN67" s="59">
        <f ca="1">AVERAGE(OFFSET($AM$3,0,0,'Données projet'!$E$10+1,1))-AVERAGE(OFFSET($H$3,0,0,'Données projet'!$E$10+1,1))</f>
        <v>263.30962868541337</v>
      </c>
      <c r="AO67" s="59">
        <f t="shared" si="36"/>
        <v>269.61868559913404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32.558454732729629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32.558454732729629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-2.5006556825246661E-14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181.39264602498668</v>
      </c>
      <c r="T68" s="59">
        <f t="shared" si="34"/>
        <v>338.52444384059521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31.972239739380683</v>
      </c>
      <c r="AA68" s="21">
        <f>EXP(-LN(2)/25)*AA67+(1-EXP(-LN(2)/25))/(LN(2)/25)*Calculateur!V68*Calculateur!X68*VLOOKUP('Données projet'!$B$9,Paramètres!$A$1:$I$89,3,0)*0.475*44/12</f>
        <v>6.2767411240296607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38.248980863410345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233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233.00000000000009</v>
      </c>
      <c r="AJ68" s="13">
        <f>AI68*VLOOKUP('Données projet'!$B$10,Paramètres!$A$1:$I$89,3,0)*VLOOKUP('Données projet'!$B$10,Paramètres!$A$1:$I$89,5,0)</f>
        <v>152.66160000000005</v>
      </c>
      <c r="AK68" s="13">
        <f t="shared" si="35"/>
        <v>39.182823220412118</v>
      </c>
      <c r="AL68" s="20">
        <f t="shared" ref="AL68:AL131" si="58">(AJ68+AK68)*0.475*44/12</f>
        <v>334.12903710888452</v>
      </c>
      <c r="AM68" s="59">
        <f t="shared" ref="AM68:AM131" si="59">AL68+(AD68+AE68)*44/12</f>
        <v>627.46237044221789</v>
      </c>
      <c r="AN68" s="59">
        <f ca="1">AVERAGE(OFFSET($AM$3,0,0,'Données projet'!$E$10+1,1))-AVERAGE(OFFSET($H$3,0,0,'Données projet'!$E$10+1,1))</f>
        <v>263.30962868541337</v>
      </c>
      <c r="AO68" s="59">
        <f t="shared" si="36"/>
        <v>269.61868559913404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20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38.149019351079204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38.149019351079204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-2.5006556825246661E-14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181.39264602498668</v>
      </c>
      <c r="T69" s="59">
        <f t="shared" ref="T69:T132" si="88">$T$3</f>
        <v>338.52444384059521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31.345283619232092</v>
      </c>
      <c r="AA69" s="21">
        <f>EXP(-LN(2)/25)*AA68+(1-EXP(-LN(2)/25))/(LN(2)/25)*Calculateur!V69*Calculateur!X69*VLOOKUP('Données projet'!$B$9,Paramètres!$A$1:$I$89,3,0)*0.475*44/12</f>
        <v>6.1051033079135992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37.450386927145694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</v>
      </c>
      <c r="AI69" s="13">
        <f>IF('Données projet'!$A$62&gt;35,AI68+AH69-AQ68,IF(A69&lt;'Données projet'!$A$62,$AF$205^A69,IF(A69='Données projet'!$A$62,'Données projet'!$B$62,AI68+AH69-AQ68)))</f>
        <v>217.8000000000001</v>
      </c>
      <c r="AJ69" s="13">
        <f>AI69*VLOOKUP('Données projet'!$B$10,Paramètres!$A$1:$I$89,3,0)*VLOOKUP('Données projet'!$B$10,Paramètres!$A$1:$I$89,5,0)</f>
        <v>142.70256000000006</v>
      </c>
      <c r="AK69" s="13">
        <f t="shared" ref="AK69:AK132" si="89">EXP(-1.0587+0.8836*LN(AJ69)+0.284)</f>
        <v>36.91543341153259</v>
      </c>
      <c r="AL69" s="20">
        <f t="shared" si="58"/>
        <v>312.83467185841943</v>
      </c>
      <c r="AM69" s="59">
        <f t="shared" si="59"/>
        <v>606.16800519175274</v>
      </c>
      <c r="AN69" s="59">
        <f ca="1">AVERAGE(OFFSET($AM$3,0,0,'Données projet'!$E$10+1,1))-AVERAGE(OFFSET($H$3,0,0,'Données projet'!$E$10+1,1))</f>
        <v>263.30962868541337</v>
      </c>
      <c r="AO69" s="59">
        <f t="shared" ref="AO69:AO132" si="90">$AO$3</f>
        <v>269.61868559913404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37.400940350208764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37.400940350208764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-2.5006556825246661E-14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181.39264602498668</v>
      </c>
      <c r="T70" s="59">
        <f t="shared" si="88"/>
        <v>338.52444384059521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30.730621726194141</v>
      </c>
      <c r="AA70" s="21">
        <f>EXP(-LN(2)/25)*AA69+(1-EXP(-LN(2)/25))/(LN(2)/25)*Calculateur!V70*Calculateur!X70*VLOOKUP('Données projet'!$B$9,Paramètres!$A$1:$I$89,3,0)*0.475*44/12</f>
        <v>5.9381589369052721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36.668780663099412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</v>
      </c>
      <c r="AI70" s="13">
        <f>IF('Données projet'!$A$62&gt;35,AI69+AH70-AQ69,IF(A70&lt;'Données projet'!$A$62,$AF$205^A70,IF(A70='Données projet'!$A$62,'Données projet'!$B$62,AI69+AH70-AQ69)))</f>
        <v>222.60000000000011</v>
      </c>
      <c r="AJ70" s="13">
        <f>AI70*VLOOKUP('Données projet'!$B$10,Paramètres!$A$1:$I$89,3,0)*VLOOKUP('Données projet'!$B$10,Paramètres!$A$1:$I$89,5,0)</f>
        <v>145.84752000000009</v>
      </c>
      <c r="AK70" s="13">
        <f t="shared" si="89"/>
        <v>37.633383344887093</v>
      </c>
      <c r="AL70" s="20">
        <f t="shared" si="58"/>
        <v>319.56257332567844</v>
      </c>
      <c r="AM70" s="59">
        <f t="shared" si="59"/>
        <v>612.89590665901176</v>
      </c>
      <c r="AN70" s="59">
        <f ca="1">AVERAGE(OFFSET($AM$3,0,0,'Données projet'!$E$10+1,1))-AVERAGE(OFFSET($H$3,0,0,'Données projet'!$E$10+1,1))</f>
        <v>263.30962868541337</v>
      </c>
      <c r="AO70" s="59">
        <f t="shared" si="90"/>
        <v>269.61868559913404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36.667530722262256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36.667530722262256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-2.5006556825246661E-14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181.39264602498668</v>
      </c>
      <c r="T71" s="59">
        <f t="shared" si="88"/>
        <v>338.52444384059521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30.128012977971927</v>
      </c>
      <c r="AA71" s="21">
        <f>EXP(-LN(2)/25)*AA70+(1-EXP(-LN(2)/25))/(LN(2)/25)*Calculateur!V71*Calculateur!X71*VLOOKUP('Données projet'!$B$9,Paramètres!$A$1:$I$89,3,0)*0.475*44/12</f>
        <v>5.7757796685013911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35.90379264647332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</v>
      </c>
      <c r="AI71" s="13">
        <f>IF('Données projet'!$A$62&gt;35,AI70+AH71-AQ70,IF(A71&lt;'Données projet'!$A$62,$AF$205^A71,IF(A71='Données projet'!$A$62,'Données projet'!$B$62,AI70+AH71-AQ70)))</f>
        <v>227.40000000000012</v>
      </c>
      <c r="AJ71" s="13">
        <f>AI71*VLOOKUP('Données projet'!$B$10,Paramètres!$A$1:$I$89,3,0)*VLOOKUP('Données projet'!$B$10,Paramètres!$A$1:$I$89,5,0)</f>
        <v>148.99248000000009</v>
      </c>
      <c r="AK71" s="13">
        <f t="shared" si="89"/>
        <v>38.349533355462334</v>
      </c>
      <c r="AL71" s="20">
        <f t="shared" si="58"/>
        <v>326.28733992743042</v>
      </c>
      <c r="AM71" s="59">
        <f t="shared" si="59"/>
        <v>619.62067326076374</v>
      </c>
      <c r="AN71" s="59">
        <f ca="1">AVERAGE(OFFSET($AM$3,0,0,'Données projet'!$E$10+1,1))-AVERAGE(OFFSET($H$3,0,0,'Données projet'!$E$10+1,1))</f>
        <v>263.30962868541337</v>
      </c>
      <c r="AO71" s="59">
        <f t="shared" si="90"/>
        <v>269.61868559913404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35.948502809784074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35.948502809784074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-2.5006556825246661E-14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181.39264602498668</v>
      </c>
      <c r="T72" s="59">
        <f t="shared" si="88"/>
        <v>338.52444384059521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29.537221019747307</v>
      </c>
      <c r="AA72" s="21">
        <f>EXP(-LN(2)/25)*AA71+(1-EXP(-LN(2)/25))/(LN(2)/25)*Calculateur!V72*Calculateur!X72*VLOOKUP('Données projet'!$B$9,Paramètres!$A$1:$I$89,3,0)*0.475*44/12</f>
        <v>5.6178406697311685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35.155061689478472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</v>
      </c>
      <c r="AI72" s="13">
        <f>IF('Données projet'!$A$62&gt;35,AI71+AH72-AQ71,IF(A72&lt;'Données projet'!$A$62,$AF$205^A72,IF(A72='Données projet'!$A$62,'Données projet'!$B$62,AI71+AH72-AQ71)))</f>
        <v>232.20000000000013</v>
      </c>
      <c r="AJ72" s="13">
        <f>AI72*VLOOKUP('Données projet'!$B$10,Paramètres!$A$1:$I$89,3,0)*VLOOKUP('Données projet'!$B$10,Paramètres!$A$1:$I$89,5,0)</f>
        <v>152.13744000000008</v>
      </c>
      <c r="AK72" s="13">
        <f t="shared" si="89"/>
        <v>39.063925813036128</v>
      </c>
      <c r="AL72" s="20">
        <f t="shared" si="58"/>
        <v>333.0090454577047</v>
      </c>
      <c r="AM72" s="59">
        <f t="shared" si="59"/>
        <v>626.34237879103807</v>
      </c>
      <c r="AN72" s="59">
        <f ca="1">AVERAGE(OFFSET($AM$3,0,0,'Données projet'!$E$10+1,1))-AVERAGE(OFFSET($H$3,0,0,'Données projet'!$E$10+1,1))</f>
        <v>263.30962868541337</v>
      </c>
      <c r="AO72" s="59">
        <f t="shared" si="90"/>
        <v>269.61868559913404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35.243574596105866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35.243574596105866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-2.5006556825246661E-14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181.39264602498668</v>
      </c>
      <c r="T73" s="59">
        <f t="shared" si="88"/>
        <v>338.52444384059521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28.958014131475959</v>
      </c>
      <c r="AA73" s="21">
        <f>EXP(-LN(2)/25)*AA72+(1-EXP(-LN(2)/25))/(LN(2)/25)*Calculateur!V73*Calculateur!X73*VLOOKUP('Données projet'!$B$9,Paramètres!$A$1:$I$89,3,0)*0.475*44/12</f>
        <v>5.4642205211879684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34.422234652663931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237</v>
      </c>
      <c r="AG73" s="12">
        <f>VLOOKUP(A73,'Données projet'!$A$61:$I$81,9,0)</f>
        <v>4.8</v>
      </c>
      <c r="AH73" s="12">
        <f t="array" ref="AH73">INDEX(AG:AG,MIN(IF(ISNUMBER(AG73:AG269),ROW(AG73:AG269),"")))</f>
        <v>4.8</v>
      </c>
      <c r="AI73" s="13">
        <f>IF('Données projet'!$A$62&gt;35,AI72+AH73-AQ72,IF(A73&lt;'Données projet'!$A$62,$AF$205^A73,IF(A73='Données projet'!$A$62,'Données projet'!$B$62,AI72+AH73-AQ72)))</f>
        <v>237.00000000000014</v>
      </c>
      <c r="AJ73" s="13">
        <f>AI73*VLOOKUP('Données projet'!$B$10,Paramètres!$A$1:$I$89,3,0)*VLOOKUP('Données projet'!$B$10,Paramètres!$A$1:$I$89,5,0)</f>
        <v>155.28240000000011</v>
      </c>
      <c r="AK73" s="13">
        <f t="shared" si="89"/>
        <v>39.776601235546444</v>
      </c>
      <c r="AL73" s="20">
        <f t="shared" si="58"/>
        <v>339.72776048524355</v>
      </c>
      <c r="AM73" s="59">
        <f t="shared" si="59"/>
        <v>633.06109381857686</v>
      </c>
      <c r="AN73" s="59">
        <f ca="1">AVERAGE(OFFSET($AM$3,0,0,'Données projet'!$E$10+1,1))-AVERAGE(OFFSET($H$3,0,0,'Données projet'!$E$10+1,1))</f>
        <v>263.30962868541337</v>
      </c>
      <c r="AO73" s="59">
        <f t="shared" si="90"/>
        <v>269.61868559913404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19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40.470034848847945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40.470034848847945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-2.5006556825246661E-14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181.39264602498668</v>
      </c>
      <c r="T74" s="59">
        <f t="shared" si="88"/>
        <v>338.52444384059521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28.390165137002295</v>
      </c>
      <c r="AA74" s="21">
        <f>EXP(-LN(2)/25)*AA73+(1-EXP(-LN(2)/25))/(LN(2)/25)*Calculateur!V74*Calculateur!X74*VLOOKUP('Données projet'!$B$9,Paramètres!$A$1:$I$89,3,0)*0.475*44/12</f>
        <v>5.3148011236852151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33.704966260687513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4.5999999999999996</v>
      </c>
      <c r="AI74" s="13">
        <f>IF('Données projet'!$A$62&gt;35,AI73+AH74-AQ73,IF(A74&lt;'Données projet'!$A$62,$AF$205^A74,IF(A74='Données projet'!$A$62,'Données projet'!$B$62,AI73+AH74-AQ73)))</f>
        <v>222.60000000000014</v>
      </c>
      <c r="AJ74" s="13">
        <f>AI74*VLOOKUP('Données projet'!$B$10,Paramètres!$A$1:$I$89,3,0)*VLOOKUP('Données projet'!$B$10,Paramètres!$A$1:$I$89,5,0)</f>
        <v>145.84752000000009</v>
      </c>
      <c r="AK74" s="13">
        <f t="shared" si="89"/>
        <v>37.633383344887093</v>
      </c>
      <c r="AL74" s="20">
        <f t="shared" si="58"/>
        <v>319.56257332567844</v>
      </c>
      <c r="AM74" s="59">
        <f t="shared" si="59"/>
        <v>612.89590665901176</v>
      </c>
      <c r="AN74" s="59">
        <f ca="1">AVERAGE(OFFSET($AM$3,0,0,'Données projet'!$E$10+1,1))-AVERAGE(OFFSET($H$3,0,0,'Données projet'!$E$10+1,1))</f>
        <v>263.30962868541337</v>
      </c>
      <c r="AO74" s="59">
        <f t="shared" si="90"/>
        <v>269.61868559913404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39.676442149745924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39.676442149745924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-2.5006556825246661E-14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181.39264602498668</v>
      </c>
      <c r="T75" s="59">
        <f t="shared" si="88"/>
        <v>338.52444384059521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27.833451314956573</v>
      </c>
      <c r="AA75" s="21">
        <f>EXP(-LN(2)/25)*AA74+(1-EXP(-LN(2)/25))/(LN(2)/25)*Calculateur!V75*Calculateur!X75*VLOOKUP('Données projet'!$B$9,Paramètres!$A$1:$I$89,3,0)*0.475*44/12</f>
        <v>5.1694676074647985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33.002918922421372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4.5999999999999996</v>
      </c>
      <c r="AI75" s="13">
        <f>IF('Données projet'!$A$62&gt;35,AI74+AH75-AQ74,IF(A75&lt;'Données projet'!$A$62,$AF$205^A75,IF(A75='Données projet'!$A$62,'Données projet'!$B$62,AI74+AH75-AQ74)))</f>
        <v>227.20000000000013</v>
      </c>
      <c r="AJ75" s="13">
        <f>AI75*VLOOKUP('Données projet'!$B$10,Paramètres!$A$1:$I$89,3,0)*VLOOKUP('Données projet'!$B$10,Paramètres!$A$1:$I$89,5,0)</f>
        <v>148.86144000000007</v>
      </c>
      <c r="AK75" s="13">
        <f t="shared" si="89"/>
        <v>38.319729148991954</v>
      </c>
      <c r="AL75" s="20">
        <f t="shared" si="58"/>
        <v>326.00720293449439</v>
      </c>
      <c r="AM75" s="59">
        <f t="shared" si="59"/>
        <v>619.3405362678277</v>
      </c>
      <c r="AN75" s="59">
        <f ca="1">AVERAGE(OFFSET($AM$3,0,0,'Données projet'!$E$10+1,1))-AVERAGE(OFFSET($H$3,0,0,'Données projet'!$E$10+1,1))</f>
        <v>263.30962868541337</v>
      </c>
      <c r="AO75" s="59">
        <f t="shared" si="90"/>
        <v>269.61868559913404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38.898411319429542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38.898411319429542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-2.5006556825246661E-14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181.39264602498668</v>
      </c>
      <c r="T76" s="59">
        <f t="shared" si="88"/>
        <v>338.52444384059521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27.287654311399265</v>
      </c>
      <c r="AA76" s="21">
        <f>EXP(-LN(2)/25)*AA75+(1-EXP(-LN(2)/25))/(LN(2)/25)*Calculateur!V76*Calculateur!X76*VLOOKUP('Données projet'!$B$9,Paramètres!$A$1:$I$89,3,0)*0.475*44/12</f>
        <v>5.0281082438881874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32.315762555287449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4.5999999999999996</v>
      </c>
      <c r="AI76" s="13">
        <f>IF('Données projet'!$A$62&gt;35,AI75+AH76-AQ75,IF(A76&lt;'Données projet'!$A$62,$AF$205^A76,IF(A76='Données projet'!$A$62,'Données projet'!$B$62,AI75+AH76-AQ75)))</f>
        <v>231.80000000000013</v>
      </c>
      <c r="AJ76" s="13">
        <f>AI76*VLOOKUP('Données projet'!$B$10,Paramètres!$A$1:$I$89,3,0)*VLOOKUP('Données projet'!$B$10,Paramètres!$A$1:$I$89,5,0)</f>
        <v>151.87536000000009</v>
      </c>
      <c r="AK76" s="13">
        <f t="shared" si="89"/>
        <v>39.004459236504758</v>
      </c>
      <c r="AL76" s="20">
        <f t="shared" si="58"/>
        <v>332.44901850357923</v>
      </c>
      <c r="AM76" s="59">
        <f t="shared" si="59"/>
        <v>625.78235183691254</v>
      </c>
      <c r="AN76" s="59">
        <f ca="1">AVERAGE(OFFSET($AM$3,0,0,'Données projet'!$E$10+1,1))-AVERAGE(OFFSET($H$3,0,0,'Données projet'!$E$10+1,1))</f>
        <v>263.30962868541337</v>
      </c>
      <c r="AO76" s="59">
        <f t="shared" si="90"/>
        <v>269.61868559913404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38.135637199143716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38.135637199143716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-2.5006556825246661E-14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181.39264602498668</v>
      </c>
      <c r="T77" s="59">
        <f t="shared" si="88"/>
        <v>338.52444384059521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26.752560054178414</v>
      </c>
      <c r="AA77" s="21">
        <f>EXP(-LN(2)/25)*AA76+(1-EXP(-LN(2)/25))/(LN(2)/25)*Calculateur!V77*Calculateur!X77*VLOOKUP('Données projet'!$B$9,Paramètres!$A$1:$I$89,3,0)*0.475*44/12</f>
        <v>4.8906143595423446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31.643174413720757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4.5999999999999996</v>
      </c>
      <c r="AI77" s="13">
        <f>IF('Données projet'!$A$62&gt;35,AI76+AH77-AQ76,IF(A77&lt;'Données projet'!$A$62,$AF$205^A77,IF(A77='Données projet'!$A$62,'Données projet'!$B$62,AI76+AH77-AQ76)))</f>
        <v>236.40000000000012</v>
      </c>
      <c r="AJ77" s="13">
        <f>AI77*VLOOKUP('Données projet'!$B$10,Paramètres!$A$1:$I$89,3,0)*VLOOKUP('Données projet'!$B$10,Paramètres!$A$1:$I$89,5,0)</f>
        <v>154.8892800000001</v>
      </c>
      <c r="AK77" s="13">
        <f t="shared" si="89"/>
        <v>39.687609366432291</v>
      </c>
      <c r="AL77" s="20">
        <f t="shared" si="58"/>
        <v>338.88808231320309</v>
      </c>
      <c r="AM77" s="59">
        <f t="shared" si="59"/>
        <v>632.22141564653634</v>
      </c>
      <c r="AN77" s="59">
        <f ca="1">AVERAGE(OFFSET($AM$3,0,0,'Données projet'!$E$10+1,1))-AVERAGE(OFFSET($H$3,0,0,'Données projet'!$E$10+1,1))</f>
        <v>263.30962868541337</v>
      </c>
      <c r="AO77" s="59">
        <f t="shared" si="90"/>
        <v>269.61868559913404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37.387820614110424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37.387820614110424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-2.5006556825246661E-14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181.39264602498668</v>
      </c>
      <c r="T78" s="59">
        <f t="shared" si="88"/>
        <v>338.52444384059521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26.227958668966394</v>
      </c>
      <c r="AA78" s="21">
        <f>EXP(-LN(2)/25)*AA77+(1-EXP(-LN(2)/25))/(LN(2)/25)*Calculateur!V78*Calculateur!X78*VLOOKUP('Données projet'!$B$9,Paramètres!$A$1:$I$89,3,0)*0.475*44/12</f>
        <v>4.7568802526944278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30.984838921660824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</v>
      </c>
      <c r="AG78" s="12">
        <f>VLOOKUP(A78,'Données projet'!$A$61:$I$81,9,0)</f>
        <v>4.5999999999999996</v>
      </c>
      <c r="AH78" s="12">
        <f t="array" ref="AH78">INDEX(AG:AG,MIN(IF(ISNUMBER(AG78:AG274),ROW(AG78:AG274),"")))</f>
        <v>4.5999999999999996</v>
      </c>
      <c r="AI78" s="13">
        <f>IF('Données projet'!$A$62&gt;35,AI77+AH78-AQ77,IF(A78&lt;'Données projet'!$A$62,$AF$205^A78,IF(A78='Données projet'!$A$62,'Données projet'!$B$62,AI77+AH78-AQ77)))</f>
        <v>241.00000000000011</v>
      </c>
      <c r="AJ78" s="13">
        <f>AI78*VLOOKUP('Données projet'!$B$10,Paramètres!$A$1:$I$89,3,0)*VLOOKUP('Données projet'!$B$10,Paramètres!$A$1:$I$89,5,0)</f>
        <v>157.90320000000008</v>
      </c>
      <c r="AK78" s="13">
        <f t="shared" si="89"/>
        <v>40.369213826539486</v>
      </c>
      <c r="AL78" s="20">
        <f t="shared" si="58"/>
        <v>345.32445408122311</v>
      </c>
      <c r="AM78" s="59">
        <f t="shared" si="59"/>
        <v>638.65778741455642</v>
      </c>
      <c r="AN78" s="59">
        <f ca="1">AVERAGE(OFFSET($AM$3,0,0,'Données projet'!$E$10+1,1))-AVERAGE(OFFSET($H$3,0,0,'Données projet'!$E$10+1,1))</f>
        <v>263.30962868541337</v>
      </c>
      <c r="AO78" s="59">
        <f t="shared" si="90"/>
        <v>269.61868559913404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42.260782707452265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42.260782707452265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-2.5006556825246661E-14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181.39264602498668</v>
      </c>
      <c r="T79" s="59">
        <f t="shared" si="88"/>
        <v>338.52444384059521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25.713644396943131</v>
      </c>
      <c r="AA79" s="21">
        <f>EXP(-LN(2)/25)*AA78+(1-EXP(-LN(2)/25))/(LN(2)/25)*Calculateur!V79*Calculateur!X79*VLOOKUP('Données projet'!$B$9,Paramètres!$A$1:$I$89,3,0)*0.475*44/12</f>
        <v>4.6268031120310384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30.340447508974169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4.2</v>
      </c>
      <c r="AI79" s="13">
        <f>IF('Données projet'!$A$62&gt;35,AI78+AH79-AQ78,IF(A79&lt;'Données projet'!$A$62,$AF$205^A79,IF(A79='Données projet'!$A$62,'Données projet'!$B$62,AI78+AH79-AQ78)))</f>
        <v>227.2000000000001</v>
      </c>
      <c r="AJ79" s="13">
        <f>AI79*VLOOKUP('Données projet'!$B$10,Paramètres!$A$1:$I$89,3,0)*VLOOKUP('Données projet'!$B$10,Paramètres!$A$1:$I$89,5,0)</f>
        <v>148.86144000000007</v>
      </c>
      <c r="AK79" s="13">
        <f t="shared" si="89"/>
        <v>38.319729148991954</v>
      </c>
      <c r="AL79" s="20">
        <f t="shared" si="58"/>
        <v>326.00720293449439</v>
      </c>
      <c r="AM79" s="59">
        <f t="shared" si="59"/>
        <v>619.3405362678277</v>
      </c>
      <c r="AN79" s="59">
        <f ca="1">AVERAGE(OFFSET($AM$3,0,0,'Données projet'!$E$10+1,1))-AVERAGE(OFFSET($H$3,0,0,'Données projet'!$E$10+1,1))</f>
        <v>263.30962868541337</v>
      </c>
      <c r="AO79" s="59">
        <f t="shared" si="90"/>
        <v>269.61868559913404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41.432074535091353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41.432074535091353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-2.5006556825246661E-14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181.39264602498668</v>
      </c>
      <c r="T80" s="59">
        <f t="shared" si="88"/>
        <v>338.52444384059521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25.209415514093514</v>
      </c>
      <c r="AA80" s="21">
        <f>EXP(-LN(2)/25)*AA79+(1-EXP(-LN(2)/25))/(LN(2)/25)*Calculateur!V80*Calculateur!X80*VLOOKUP('Données projet'!$B$9,Paramètres!$A$1:$I$89,3,0)*0.475*44/12</f>
        <v>4.5002829376195486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29.709698451713063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4.2</v>
      </c>
      <c r="AI80" s="13">
        <f>IF('Données projet'!$A$62&gt;35,AI79+AH80-AQ79,IF(A80&lt;'Données projet'!$A$62,$AF$205^A80,IF(A80='Données projet'!$A$62,'Données projet'!$B$62,AI79+AH80-AQ79)))</f>
        <v>231.40000000000009</v>
      </c>
      <c r="AJ80" s="13">
        <f>AI80*VLOOKUP('Données projet'!$B$10,Paramètres!$A$1:$I$89,3,0)*VLOOKUP('Données projet'!$B$10,Paramètres!$A$1:$I$89,5,0)</f>
        <v>151.61328000000006</v>
      </c>
      <c r="AK80" s="13">
        <f t="shared" si="89"/>
        <v>38.944980714143632</v>
      </c>
      <c r="AL80" s="20">
        <f t="shared" si="58"/>
        <v>331.88897074380026</v>
      </c>
      <c r="AM80" s="59">
        <f t="shared" si="59"/>
        <v>625.22230407713357</v>
      </c>
      <c r="AN80" s="59">
        <f ca="1">AVERAGE(OFFSET($AM$3,0,0,'Données projet'!$E$10+1,1))-AVERAGE(OFFSET($H$3,0,0,'Données projet'!$E$10+1,1))</f>
        <v>263.30962868541337</v>
      </c>
      <c r="AO80" s="59">
        <f t="shared" si="90"/>
        <v>269.61868559913404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40.619616824528364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40.619616824528364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-2.5006556825246661E-14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181.39264602498668</v>
      </c>
      <c r="T81" s="59">
        <f t="shared" si="88"/>
        <v>338.52444384059521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24.715074252087327</v>
      </c>
      <c r="AA81" s="21">
        <f>EXP(-LN(2)/25)*AA80+(1-EXP(-LN(2)/25))/(LN(2)/25)*Calculateur!V81*Calculateur!X81*VLOOKUP('Données projet'!$B$9,Paramètres!$A$1:$I$89,3,0)*0.475*44/12</f>
        <v>4.3772224640307478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29.092296716118074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4.2</v>
      </c>
      <c r="AI81" s="13">
        <f>IF('Données projet'!$A$62&gt;35,AI80+AH81-AQ80,IF(A81&lt;'Données projet'!$A$62,$AF$205^A81,IF(A81='Données projet'!$A$62,'Données projet'!$B$62,AI80+AH81-AQ80)))</f>
        <v>235.60000000000008</v>
      </c>
      <c r="AJ81" s="13">
        <f>AI81*VLOOKUP('Données projet'!$B$10,Paramètres!$A$1:$I$89,3,0)*VLOOKUP('Données projet'!$B$10,Paramètres!$A$1:$I$89,5,0)</f>
        <v>154.36512000000005</v>
      </c>
      <c r="AK81" s="13">
        <f t="shared" si="89"/>
        <v>39.568912624848309</v>
      </c>
      <c r="AL81" s="20">
        <f t="shared" si="58"/>
        <v>337.76844015494419</v>
      </c>
      <c r="AM81" s="59">
        <f t="shared" si="59"/>
        <v>631.10177348827756</v>
      </c>
      <c r="AN81" s="59">
        <f ca="1">AVERAGE(OFFSET($AM$3,0,0,'Données projet'!$E$10+1,1))-AVERAGE(OFFSET($H$3,0,0,'Données projet'!$E$10+1,1))</f>
        <v>263.30962868541337</v>
      </c>
      <c r="AO81" s="59">
        <f t="shared" si="90"/>
        <v>269.61868559913404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39.823090914119248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39.823090914119248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-2.5006556825246661E-14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181.39264602498668</v>
      </c>
      <c r="T82" s="59">
        <f t="shared" si="88"/>
        <v>338.52444384059521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24.230426720710685</v>
      </c>
      <c r="AA82" s="21">
        <f>EXP(-LN(2)/25)*AA81+(1-EXP(-LN(2)/25))/(LN(2)/25)*Calculateur!V82*Calculateur!X82*VLOOKUP('Données projet'!$B$9,Paramètres!$A$1:$I$89,3,0)*0.475*44/12</f>
        <v>4.2575270855637015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28.487953806274387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4.2</v>
      </c>
      <c r="AI82" s="13">
        <f>IF('Données projet'!$A$62&gt;35,AI81+AH82-AQ81,IF(A82&lt;'Données projet'!$A$62,$AF$205^A82,IF(A82='Données projet'!$A$62,'Données projet'!$B$62,AI81+AH82-AQ81)))</f>
        <v>239.80000000000007</v>
      </c>
      <c r="AJ82" s="13">
        <f>AI82*VLOOKUP('Données projet'!$B$10,Paramètres!$A$1:$I$89,3,0)*VLOOKUP('Données projet'!$B$10,Paramètres!$A$1:$I$89,5,0)</f>
        <v>157.11696000000003</v>
      </c>
      <c r="AK82" s="13">
        <f t="shared" si="89"/>
        <v>40.191551120265856</v>
      </c>
      <c r="AL82" s="20">
        <f t="shared" si="58"/>
        <v>343.6456568677965</v>
      </c>
      <c r="AM82" s="59">
        <f t="shared" si="59"/>
        <v>636.97899020112982</v>
      </c>
      <c r="AN82" s="59">
        <f ca="1">AVERAGE(OFFSET($AM$3,0,0,'Données projet'!$E$10+1,1))-AVERAGE(OFFSET($H$3,0,0,'Données projet'!$E$10+1,1))</f>
        <v>263.30962868541337</v>
      </c>
      <c r="AO82" s="59">
        <f t="shared" si="90"/>
        <v>269.61868559913404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39.042184390980417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39.042184390980417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-2.5006556825246661E-14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181.39264602498668</v>
      </c>
      <c r="T83" s="59">
        <f t="shared" si="88"/>
        <v>338.52444384059521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23.755282831818533</v>
      </c>
      <c r="AA83" s="21">
        <f>EXP(-LN(2)/25)*AA82+(1-EXP(-LN(2)/25))/(LN(2)/25)*Calculateur!V83*Calculateur!X83*VLOOKUP('Données projet'!$B$9,Paramètres!$A$1:$I$89,3,0)*0.475*44/12</f>
        <v>4.1411047835153436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27.896387615333879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244</v>
      </c>
      <c r="AG83" s="12">
        <f>VLOOKUP(A83,'Données projet'!$A$61:$I$81,9,0)</f>
        <v>4.2</v>
      </c>
      <c r="AH83" s="12">
        <f t="array" ref="AH83">INDEX(AG:AG,MIN(IF(ISNUMBER(AG83:AG279),ROW(AG83:AG279),"")))</f>
        <v>4.2</v>
      </c>
      <c r="AI83" s="13">
        <f>IF('Données projet'!$A$62&gt;35,AI82+AH83-AQ82,IF(A83&lt;'Données projet'!$A$62,$AF$205^A83,IF(A83='Données projet'!$A$62,'Données projet'!$B$62,AI82+AH83-AQ82)))</f>
        <v>244.00000000000006</v>
      </c>
      <c r="AJ83" s="13">
        <f>AI83*VLOOKUP('Données projet'!$B$10,Paramètres!$A$1:$I$89,3,0)*VLOOKUP('Données projet'!$B$10,Paramètres!$A$1:$I$89,5,0)</f>
        <v>159.86880000000002</v>
      </c>
      <c r="AK83" s="13">
        <f t="shared" si="89"/>
        <v>40.812921467768035</v>
      </c>
      <c r="AL83" s="20">
        <f t="shared" si="58"/>
        <v>349.52066488969604</v>
      </c>
      <c r="AM83" s="59">
        <f t="shared" si="59"/>
        <v>642.85399822302929</v>
      </c>
      <c r="AN83" s="59">
        <f ca="1">AVERAGE(OFFSET($AM$3,0,0,'Données projet'!$E$10+1,1))-AVERAGE(OFFSET($H$3,0,0,'Données projet'!$E$10+1,1))</f>
        <v>263.30962868541337</v>
      </c>
      <c r="AO83" s="59">
        <f t="shared" si="90"/>
        <v>269.61868559913404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16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43.259803814023918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43.259803814023918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-2.5006556825246661E-14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181.39264602498668</v>
      </c>
      <c r="T84" s="59">
        <f t="shared" si="88"/>
        <v>338.52444384059521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23.289456224778402</v>
      </c>
      <c r="AA84" s="21">
        <f>EXP(-LN(2)/25)*AA83+(1-EXP(-LN(2)/25))/(LN(2)/25)*Calculateur!V84*Calculateur!X84*VLOOKUP('Données projet'!$B$9,Paramètres!$A$1:$I$89,3,0)*0.475*44/12</f>
        <v>4.0278660554388805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27.317322280217283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3.8</v>
      </c>
      <c r="AI84" s="13">
        <f>IF('Données projet'!$A$62&gt;35,AI83+AH84-AQ83,IF(A84&lt;'Données projet'!$A$62,$AF$205^A84,IF(A84='Données projet'!$A$62,'Données projet'!$B$62,AI83+AH84-AQ83)))</f>
        <v>231.80000000000007</v>
      </c>
      <c r="AJ84" s="13">
        <f>AI84*VLOOKUP('Données projet'!$B$10,Paramètres!$A$1:$I$89,3,0)*VLOOKUP('Données projet'!$B$10,Paramètres!$A$1:$I$89,5,0)</f>
        <v>151.87536000000003</v>
      </c>
      <c r="AK84" s="13">
        <f t="shared" si="89"/>
        <v>39.004459236504758</v>
      </c>
      <c r="AL84" s="20">
        <f t="shared" si="58"/>
        <v>332.44901850357911</v>
      </c>
      <c r="AM84" s="59">
        <f t="shared" si="59"/>
        <v>625.78235183691243</v>
      </c>
      <c r="AN84" s="59">
        <f ca="1">AVERAGE(OFFSET($AM$3,0,0,'Données projet'!$E$10+1,1))-AVERAGE(OFFSET($H$3,0,0,'Données projet'!$E$10+1,1))</f>
        <v>263.30962868541337</v>
      </c>
      <c r="AO84" s="59">
        <f t="shared" si="90"/>
        <v>269.61868559913404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42.411505447105846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42.411505447105846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-2.5006556825246661E-14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181.39264602498668</v>
      </c>
      <c r="T85" s="59">
        <f t="shared" si="88"/>
        <v>338.52444384059521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22.83276419337615</v>
      </c>
      <c r="AA85" s="21">
        <f>EXP(-LN(2)/25)*AA84+(1-EXP(-LN(2)/25))/(LN(2)/25)*Calculateur!V85*Calculateur!X85*VLOOKUP('Données projet'!$B$9,Paramètres!$A$1:$I$89,3,0)*0.475*44/12</f>
        <v>3.9177238463366342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26.750488039712785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3.8</v>
      </c>
      <c r="AI85" s="13">
        <f>IF('Données projet'!$A$62&gt;35,AI84+AH85-AQ84,IF(A85&lt;'Données projet'!$A$62,$AF$205^A85,IF(A85='Données projet'!$A$62,'Données projet'!$B$62,AI84+AH85-AQ84)))</f>
        <v>235.60000000000008</v>
      </c>
      <c r="AJ85" s="13">
        <f>AI85*VLOOKUP('Données projet'!$B$10,Paramètres!$A$1:$I$89,3,0)*VLOOKUP('Données projet'!$B$10,Paramètres!$A$1:$I$89,5,0)</f>
        <v>154.36512000000005</v>
      </c>
      <c r="AK85" s="13">
        <f t="shared" si="89"/>
        <v>39.568912624848309</v>
      </c>
      <c r="AL85" s="20">
        <f t="shared" si="58"/>
        <v>337.76844015494419</v>
      </c>
      <c r="AM85" s="59">
        <f t="shared" si="59"/>
        <v>631.10177348827756</v>
      </c>
      <c r="AN85" s="59">
        <f ca="1">AVERAGE(OFFSET($AM$3,0,0,'Données projet'!$E$10+1,1))-AVERAGE(OFFSET($H$3,0,0,'Données projet'!$E$10+1,1))</f>
        <v>263.30962868541337</v>
      </c>
      <c r="AO85" s="59">
        <f t="shared" si="90"/>
        <v>269.61868559913404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41.579841693752122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41.579841693752122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-2.5006556825246661E-14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181.39264602498668</v>
      </c>
      <c r="T86" s="59">
        <f t="shared" si="88"/>
        <v>338.52444384059521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22.385027614155064</v>
      </c>
      <c r="AA86" s="21">
        <f>EXP(-LN(2)/25)*AA85+(1-EXP(-LN(2)/25))/(LN(2)/25)*Calculateur!V86*Calculateur!X86*VLOOKUP('Données projet'!$B$9,Paramètres!$A$1:$I$89,3,0)*0.475*44/12</f>
        <v>3.8105934817344158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26.195621095889479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3.8</v>
      </c>
      <c r="AI86" s="13">
        <f>IF('Données projet'!$A$62&gt;35,AI85+AH86-AQ85,IF(A86&lt;'Données projet'!$A$62,$AF$205^A86,IF(A86='Données projet'!$A$62,'Données projet'!$B$62,AI85+AH86-AQ85)))</f>
        <v>239.40000000000009</v>
      </c>
      <c r="AJ86" s="13">
        <f>AI86*VLOOKUP('Données projet'!$B$10,Paramètres!$A$1:$I$89,3,0)*VLOOKUP('Données projet'!$B$10,Paramètres!$A$1:$I$89,5,0)</f>
        <v>156.85488000000007</v>
      </c>
      <c r="AK86" s="13">
        <f t="shared" si="89"/>
        <v>40.132307243083858</v>
      </c>
      <c r="AL86" s="20">
        <f t="shared" si="58"/>
        <v>343.08601778170447</v>
      </c>
      <c r="AM86" s="59">
        <f t="shared" si="59"/>
        <v>636.41935111503778</v>
      </c>
      <c r="AN86" s="59">
        <f ca="1">AVERAGE(OFFSET($AM$3,0,0,'Données projet'!$E$10+1,1))-AVERAGE(OFFSET($H$3,0,0,'Données projet'!$E$10+1,1))</f>
        <v>263.30962868541337</v>
      </c>
      <c r="AO86" s="59">
        <f t="shared" si="90"/>
        <v>269.61868559913404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40.764486359336864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40.764486359336864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-2.5006556825246661E-14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181.39264602498668</v>
      </c>
      <c r="T87" s="59">
        <f t="shared" si="88"/>
        <v>338.52444384059521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21.946070876160153</v>
      </c>
      <c r="AA87" s="21">
        <f>EXP(-LN(2)/25)*AA86+(1-EXP(-LN(2)/25))/(LN(2)/25)*Calculateur!V87*Calculateur!X87*VLOOKUP('Données projet'!$B$9,Paramètres!$A$1:$I$89,3,0)*0.475*44/12</f>
        <v>3.7063926025859861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25.652463478746139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3.8</v>
      </c>
      <c r="AI87" s="13">
        <f>IF('Données projet'!$A$62&gt;35,AI86+AH87-AQ86,IF(A87&lt;'Données projet'!$A$62,$AF$205^A87,IF(A87='Données projet'!$A$62,'Données projet'!$B$62,AI86+AH87-AQ86)))</f>
        <v>243.2000000000001</v>
      </c>
      <c r="AJ87" s="13">
        <f>AI87*VLOOKUP('Données projet'!$B$10,Paramètres!$A$1:$I$89,3,0)*VLOOKUP('Données projet'!$B$10,Paramètres!$A$1:$I$89,5,0)</f>
        <v>159.34464000000006</v>
      </c>
      <c r="AK87" s="13">
        <f t="shared" si="89"/>
        <v>40.694661837553809</v>
      </c>
      <c r="AL87" s="20">
        <f t="shared" si="58"/>
        <v>348.40178403373966</v>
      </c>
      <c r="AM87" s="59">
        <f t="shared" si="59"/>
        <v>641.73511736707292</v>
      </c>
      <c r="AN87" s="59">
        <f ca="1">AVERAGE(OFFSET($AM$3,0,0,'Données projet'!$E$10+1,1))-AVERAGE(OFFSET($H$3,0,0,'Données projet'!$E$10+1,1))</f>
        <v>263.30962868541337</v>
      </c>
      <c r="AO87" s="59">
        <f t="shared" si="90"/>
        <v>269.61868559913404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39.965119645711844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39.965119645711844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-2.5006556825246661E-14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181.39264602498668</v>
      </c>
      <c r="T88" s="59">
        <f t="shared" si="88"/>
        <v>338.52444384059521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21.51572181206015</v>
      </c>
      <c r="AA88" s="21">
        <f>EXP(-LN(2)/25)*AA87+(1-EXP(-LN(2)/25))/(LN(2)/25)*Calculateur!V88*Calculateur!X88*VLOOKUP('Données projet'!$B$9,Paramètres!$A$1:$I$89,3,0)*0.475*44/12</f>
        <v>3.6050411019575566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25.120762914017707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247</v>
      </c>
      <c r="AG88" s="12">
        <f>VLOOKUP(A88,'Données projet'!$A$61:$I$81,9,0)</f>
        <v>3.8</v>
      </c>
      <c r="AH88" s="12">
        <f t="array" ref="AH88">INDEX(AG:AG,MIN(IF(ISNUMBER(AG88:AG284),ROW(AG88:AG284),"")))</f>
        <v>3.8</v>
      </c>
      <c r="AI88" s="13">
        <f>IF('Données projet'!$A$62&gt;35,AI87+AH88-AQ87,IF(A88&lt;'Données projet'!$A$62,$AF$205^A88,IF(A88='Données projet'!$A$62,'Données projet'!$B$62,AI87+AH88-AQ87)))</f>
        <v>247.00000000000011</v>
      </c>
      <c r="AJ88" s="13">
        <f>AI88*VLOOKUP('Données projet'!$B$10,Paramètres!$A$1:$I$89,3,0)*VLOOKUP('Données projet'!$B$10,Paramètres!$A$1:$I$89,5,0)</f>
        <v>161.83440000000007</v>
      </c>
      <c r="AK88" s="13">
        <f t="shared" si="89"/>
        <v>41.255994535170515</v>
      </c>
      <c r="AL88" s="20">
        <f t="shared" si="58"/>
        <v>353.71577048208877</v>
      </c>
      <c r="AM88" s="59">
        <f t="shared" si="59"/>
        <v>647.04910381542209</v>
      </c>
      <c r="AN88" s="59">
        <f ca="1">AVERAGE(OFFSET($AM$3,0,0,'Données projet'!$E$10+1,1))-AVERAGE(OFFSET($H$3,0,0,'Données projet'!$E$10+1,1))</f>
        <v>263.30962868541337</v>
      </c>
      <c r="AO88" s="59">
        <f t="shared" si="90"/>
        <v>269.61868559913404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15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43.853190068496886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43.853190068496886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-2.5006556825246661E-14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181.39264602498668</v>
      </c>
      <c r="T89" s="59">
        <f t="shared" si="88"/>
        <v>338.52444384059521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21.093811630620138</v>
      </c>
      <c r="AA89" s="21">
        <f>EXP(-LN(2)/25)*AA88+(1-EXP(-LN(2)/25))/(LN(2)/25)*Calculateur!V89*Calculateur!X89*VLOOKUP('Données projet'!$B$9,Paramètres!$A$1:$I$89,3,0)*0.475*44/12</f>
        <v>3.506461063443655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24.600272694063793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3.6</v>
      </c>
      <c r="AI89" s="13">
        <f>IF('Données projet'!$A$62&gt;35,AI88+AH89-AQ88,IF(A89&lt;'Données projet'!$A$62,$AF$205^A89,IF(A89='Données projet'!$A$62,'Données projet'!$B$62,AI88+AH89-AQ88)))</f>
        <v>235.60000000000011</v>
      </c>
      <c r="AJ89" s="13">
        <f>AI89*VLOOKUP('Données projet'!$B$10,Paramètres!$A$1:$I$89,3,0)*VLOOKUP('Données projet'!$B$10,Paramètres!$A$1:$I$89,5,0)</f>
        <v>154.36512000000008</v>
      </c>
      <c r="AK89" s="13">
        <f t="shared" si="89"/>
        <v>39.568912624848309</v>
      </c>
      <c r="AL89" s="20">
        <f t="shared" si="58"/>
        <v>337.76844015494424</v>
      </c>
      <c r="AM89" s="59">
        <f t="shared" si="59"/>
        <v>631.10177348827756</v>
      </c>
      <c r="AN89" s="59">
        <f ca="1">AVERAGE(OFFSET($AM$3,0,0,'Données projet'!$E$10+1,1))-AVERAGE(OFFSET($H$3,0,0,'Données projet'!$E$10+1,1))</f>
        <v>263.30962868541337</v>
      </c>
      <c r="AO89" s="59">
        <f t="shared" si="90"/>
        <v>269.61868559913404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42.993255759058478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42.993255759058478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-2.5006556825246661E-14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181.39264602498668</v>
      </c>
      <c r="T90" s="59">
        <f t="shared" si="88"/>
        <v>338.52444384059521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20.680174850498364</v>
      </c>
      <c r="AA90" s="21">
        <f>EXP(-LN(2)/25)*AA89+(1-EXP(-LN(2)/25))/(LN(2)/25)*Calculateur!V90*Calculateur!X90*VLOOKUP('Données projet'!$B$9,Paramètres!$A$1:$I$89,3,0)*0.475*44/12</f>
        <v>3.410576701267015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24.090751551765379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3.6</v>
      </c>
      <c r="AI90" s="13">
        <f>IF('Données projet'!$A$62&gt;35,AI89+AH90-AQ89,IF(A90&lt;'Données projet'!$A$62,$AF$205^A90,IF(A90='Données projet'!$A$62,'Données projet'!$B$62,AI89+AH90-AQ89)))</f>
        <v>239.2000000000001</v>
      </c>
      <c r="AJ90" s="13">
        <f>AI90*VLOOKUP('Données projet'!$B$10,Paramètres!$A$1:$I$89,3,0)*VLOOKUP('Données projet'!$B$10,Paramètres!$A$1:$I$89,5,0)</f>
        <v>156.72384000000008</v>
      </c>
      <c r="AK90" s="13">
        <f t="shared" si="89"/>
        <v>40.102680984620484</v>
      </c>
      <c r="AL90" s="20">
        <f t="shared" si="58"/>
        <v>342.80619071488081</v>
      </c>
      <c r="AM90" s="59">
        <f t="shared" si="59"/>
        <v>636.13952404821407</v>
      </c>
      <c r="AN90" s="59">
        <f ca="1">AVERAGE(OFFSET($AM$3,0,0,'Données projet'!$E$10+1,1))-AVERAGE(OFFSET($H$3,0,0,'Données projet'!$E$10+1,1))</f>
        <v>263.30962868541337</v>
      </c>
      <c r="AO90" s="59">
        <f t="shared" si="90"/>
        <v>269.61868559913404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42.150184236920019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42.150184236920019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-2.5006556825246661E-14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181.39264602498668</v>
      </c>
      <c r="T91" s="59">
        <f t="shared" si="88"/>
        <v>338.52444384059521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20.274649235341254</v>
      </c>
      <c r="AA91" s="21">
        <f>EXP(-LN(2)/25)*AA90+(1-EXP(-LN(2)/25))/(LN(2)/25)*Calculateur!V91*Calculateur!X91*VLOOKUP('Données projet'!$B$9,Paramètres!$A$1:$I$89,3,0)*0.475*44/12</f>
        <v>3.3173143020164346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23.591963537357689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3.6</v>
      </c>
      <c r="AI91" s="13">
        <f>IF('Données projet'!$A$62&gt;35,AI90+AH91-AQ90,IF(A91&lt;'Données projet'!$A$62,$AF$205^A91,IF(A91='Données projet'!$A$62,'Données projet'!$B$62,AI90+AH91-AQ90)))</f>
        <v>242.8000000000001</v>
      </c>
      <c r="AJ91" s="13">
        <f>AI91*VLOOKUP('Données projet'!$B$10,Paramètres!$A$1:$I$89,3,0)*VLOOKUP('Données projet'!$B$10,Paramètres!$A$1:$I$89,5,0)</f>
        <v>159.08256000000006</v>
      </c>
      <c r="AK91" s="13">
        <f t="shared" si="89"/>
        <v>40.635515049195902</v>
      </c>
      <c r="AL91" s="20">
        <f t="shared" si="58"/>
        <v>347.84231404401629</v>
      </c>
      <c r="AM91" s="59">
        <f t="shared" si="59"/>
        <v>641.17564737734961</v>
      </c>
      <c r="AN91" s="59">
        <f ca="1">AVERAGE(OFFSET($AM$3,0,0,'Données projet'!$E$10+1,1))-AVERAGE(OFFSET($H$3,0,0,'Données projet'!$E$10+1,1))</f>
        <v>263.30962868541337</v>
      </c>
      <c r="AO91" s="59">
        <f t="shared" si="90"/>
        <v>269.61868559913404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41.323644833107842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41.323644833107842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-2.5006556825246661E-14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181.39264602498668</v>
      </c>
      <c r="T92" s="59">
        <f t="shared" si="88"/>
        <v>338.52444384059521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19.877075730151173</v>
      </c>
      <c r="AA92" s="21">
        <f>EXP(-LN(2)/25)*AA91+(1-EXP(-LN(2)/25))/(LN(2)/25)*Calculateur!V92*Calculateur!X92*VLOOKUP('Données projet'!$B$9,Paramètres!$A$1:$I$89,3,0)*0.475*44/12</f>
        <v>3.2266021679778181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23.103677898128993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3.6</v>
      </c>
      <c r="AI92" s="13">
        <f>IF('Données projet'!$A$62&gt;35,AI91+AH92-AQ91,IF(A92&lt;'Données projet'!$A$62,$AF$205^A92,IF(A92='Données projet'!$A$62,'Données projet'!$B$62,AI91+AH92-AQ91)))</f>
        <v>246.40000000000009</v>
      </c>
      <c r="AJ92" s="13">
        <f>AI92*VLOOKUP('Données projet'!$B$10,Paramètres!$A$1:$I$89,3,0)*VLOOKUP('Données projet'!$B$10,Paramètres!$A$1:$I$89,5,0)</f>
        <v>161.44128000000006</v>
      </c>
      <c r="AK92" s="13">
        <f t="shared" si="89"/>
        <v>41.167430271655704</v>
      </c>
      <c r="AL92" s="20">
        <f t="shared" si="58"/>
        <v>352.87683705646708</v>
      </c>
      <c r="AM92" s="59">
        <f t="shared" si="59"/>
        <v>646.2101703898004</v>
      </c>
      <c r="AN92" s="59">
        <f ca="1">AVERAGE(OFFSET($AM$3,0,0,'Données projet'!$E$10+1,1))-AVERAGE(OFFSET($H$3,0,0,'Données projet'!$E$10+1,1))</f>
        <v>263.30962868541337</v>
      </c>
      <c r="AO92" s="59">
        <f t="shared" si="90"/>
        <v>269.61868559913404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40.513313362865162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40.513313362865162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-2.5006556825246661E-14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181.39264602498668</v>
      </c>
      <c r="T93" s="59">
        <f t="shared" si="88"/>
        <v>338.52444384059521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19.487298398901977</v>
      </c>
      <c r="AA93" s="21">
        <f>EXP(-LN(2)/25)*AA92+(1-EXP(-LN(2)/25))/(LN(2)/25)*Calculateur!V93*Calculateur!X93*VLOOKUP('Données projet'!$B$9,Paramètres!$A$1:$I$89,3,0)*0.475*44/12</f>
        <v>3.1383705620148312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22.625668960916808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250</v>
      </c>
      <c r="AG93" s="12">
        <f>VLOOKUP(A93,'Données projet'!$A$61:$I$81,9,0)</f>
        <v>3.6</v>
      </c>
      <c r="AH93" s="12">
        <f t="array" ref="AH93">INDEX(AG:AG,MIN(IF(ISNUMBER(AG93:AG289),ROW(AG93:AG289),"")))</f>
        <v>3.6</v>
      </c>
      <c r="AI93" s="13">
        <f>IF('Données projet'!$A$62&gt;35,AI92+AH93-AQ92,IF(A93&lt;'Données projet'!$A$62,$AF$205^A93,IF(A93='Données projet'!$A$62,'Données projet'!$B$62,AI92+AH93-AQ92)))</f>
        <v>250.00000000000009</v>
      </c>
      <c r="AJ93" s="13">
        <f>AI93*VLOOKUP('Données projet'!$B$10,Paramètres!$A$1:$I$89,3,0)*VLOOKUP('Données projet'!$B$10,Paramètres!$A$1:$I$89,5,0)</f>
        <v>163.80000000000004</v>
      </c>
      <c r="AK93" s="13">
        <f t="shared" si="89"/>
        <v>41.698441627605334</v>
      </c>
      <c r="AL93" s="20">
        <f t="shared" si="58"/>
        <v>357.90978583474595</v>
      </c>
      <c r="AM93" s="59">
        <f t="shared" si="59"/>
        <v>651.24311916807926</v>
      </c>
      <c r="AN93" s="59">
        <f ca="1">AVERAGE(OFFSET($AM$3,0,0,'Données projet'!$E$10+1,1))-AVERAGE(OFFSET($H$3,0,0,'Données projet'!$E$10+1,1))</f>
        <v>263.30962868541337</v>
      </c>
      <c r="AO93" s="59">
        <f t="shared" si="90"/>
        <v>269.61868559913404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44.079183238373886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44.079183238373886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-2.5006556825246661E-14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181.39264602498668</v>
      </c>
      <c r="T94" s="59">
        <f t="shared" si="88"/>
        <v>338.52444384059521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19.105164363377881</v>
      </c>
      <c r="AA94" s="21">
        <f>EXP(-LN(2)/25)*AA93+(1-EXP(-LN(2)/25))/(LN(2)/25)*Calculateur!V94*Calculateur!X94*VLOOKUP('Données projet'!$B$9,Paramètres!$A$1:$I$89,3,0)*0.475*44/12</f>
        <v>3.0525516539568005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22.157716017334682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236.00000000000009</v>
      </c>
      <c r="AJ94" s="13">
        <f>AI94*VLOOKUP('Données projet'!$B$10,Paramètres!$A$1:$I$89,3,0)*VLOOKUP('Données projet'!$B$10,Paramètres!$A$1:$I$89,5,0)</f>
        <v>154.62720000000004</v>
      </c>
      <c r="AK94" s="13">
        <f t="shared" si="89"/>
        <v>39.62826685000794</v>
      </c>
      <c r="AL94" s="20">
        <f t="shared" si="58"/>
        <v>338.32827143043056</v>
      </c>
      <c r="AM94" s="59">
        <f t="shared" si="59"/>
        <v>631.66160476376388</v>
      </c>
      <c r="AN94" s="59">
        <f ca="1">AVERAGE(OFFSET($AM$3,0,0,'Données projet'!$E$10+1,1))-AVERAGE(OFFSET($H$3,0,0,'Données projet'!$E$10+1,1))</f>
        <v>263.30962868541337</v>
      </c>
      <c r="AO94" s="59">
        <f t="shared" si="90"/>
        <v>269.61868559913404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43.214817340716415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43.214817340716415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-2.5006556825246661E-14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181.39264602498668</v>
      </c>
      <c r="T95" s="59">
        <f t="shared" si="88"/>
        <v>338.52444384059521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18.730523743211663</v>
      </c>
      <c r="AA95" s="21">
        <f>EXP(-LN(2)/25)*AA94+(1-EXP(-LN(2)/25))/(LN(2)/25)*Calculateur!V95*Calculateur!X95*VLOOKUP('Données projet'!$B$9,Paramètres!$A$1:$I$89,3,0)*0.475*44/12</f>
        <v>2.9690794684526369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21.6996032116643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236.00000000000009</v>
      </c>
      <c r="AJ95" s="13">
        <f>AI95*VLOOKUP('Données projet'!$B$10,Paramètres!$A$1:$I$89,3,0)*VLOOKUP('Données projet'!$B$10,Paramètres!$A$1:$I$89,5,0)</f>
        <v>154.62720000000004</v>
      </c>
      <c r="AK95" s="13">
        <f t="shared" si="89"/>
        <v>39.62826685000794</v>
      </c>
      <c r="AL95" s="20">
        <f t="shared" si="58"/>
        <v>338.32827143043056</v>
      </c>
      <c r="AM95" s="59">
        <f t="shared" si="59"/>
        <v>631.66160476376388</v>
      </c>
      <c r="AN95" s="59">
        <f ca="1">AVERAGE(OFFSET($AM$3,0,0,'Données projet'!$E$10+1,1))-AVERAGE(OFFSET($H$3,0,0,'Données projet'!$E$10+1,1))</f>
        <v>263.30962868541337</v>
      </c>
      <c r="AO95" s="59">
        <f t="shared" si="90"/>
        <v>269.61868559913404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42.367401131100863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42.367401131100863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-2.5006556825246661E-14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181.39264602498668</v>
      </c>
      <c r="T96" s="59">
        <f t="shared" si="88"/>
        <v>338.52444384059521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18.363229597098691</v>
      </c>
      <c r="AA96" s="21">
        <f>EXP(-LN(2)/25)*AA95+(1-EXP(-LN(2)/25))/(LN(2)/25)*Calculateur!V96*Calculateur!X96*VLOOKUP('Données projet'!$B$9,Paramètres!$A$1:$I$89,3,0)*0.475*44/12</f>
        <v>2.8878898342506965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21.251119431349387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236.00000000000009</v>
      </c>
      <c r="AJ96" s="13">
        <f>AI96*VLOOKUP('Données projet'!$B$10,Paramètres!$A$1:$I$89,3,0)*VLOOKUP('Données projet'!$B$10,Paramètres!$A$1:$I$89,5,0)</f>
        <v>154.62720000000004</v>
      </c>
      <c r="AK96" s="13">
        <f t="shared" si="89"/>
        <v>39.62826685000794</v>
      </c>
      <c r="AL96" s="20">
        <f t="shared" si="58"/>
        <v>338.32827143043056</v>
      </c>
      <c r="AM96" s="59">
        <f t="shared" si="59"/>
        <v>631.66160476376388</v>
      </c>
      <c r="AN96" s="59">
        <f ca="1">AVERAGE(OFFSET($AM$3,0,0,'Données projet'!$E$10+1,1))-AVERAGE(OFFSET($H$3,0,0,'Données projet'!$E$10+1,1))</f>
        <v>263.30962868541337</v>
      </c>
      <c r="AO96" s="59">
        <f t="shared" si="90"/>
        <v>269.61868559913404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41.53660223648302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41.53660223648302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-2.5006556825246661E-14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181.39264602498668</v>
      </c>
      <c r="T97" s="59">
        <f t="shared" si="88"/>
        <v>338.52444384059521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18.003137865163687</v>
      </c>
      <c r="AA97" s="21">
        <f>EXP(-LN(2)/25)*AA96+(1-EXP(-LN(2)/25))/(LN(2)/25)*Calculateur!V97*Calculateur!X97*VLOOKUP('Données projet'!$B$9,Paramètres!$A$1:$I$89,3,0)*0.475*44/12</f>
        <v>2.8089203348655851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20.812058200029274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236.00000000000009</v>
      </c>
      <c r="AJ97" s="13">
        <f>AI97*VLOOKUP('Données projet'!$B$10,Paramètres!$A$1:$I$89,3,0)*VLOOKUP('Données projet'!$B$10,Paramètres!$A$1:$I$89,5,0)</f>
        <v>154.62720000000004</v>
      </c>
      <c r="AK97" s="13">
        <f t="shared" si="89"/>
        <v>39.62826685000794</v>
      </c>
      <c r="AL97" s="20">
        <f t="shared" si="58"/>
        <v>338.32827143043056</v>
      </c>
      <c r="AM97" s="59">
        <f t="shared" si="59"/>
        <v>631.66160476376388</v>
      </c>
      <c r="AN97" s="59">
        <f ca="1">AVERAGE(OFFSET($AM$3,0,0,'Données projet'!$E$10+1,1))-AVERAGE(OFFSET($H$3,0,0,'Données projet'!$E$10+1,1))</f>
        <v>263.30962868541337</v>
      </c>
      <c r="AO97" s="59">
        <f t="shared" si="90"/>
        <v>269.61868559913404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40.722094801451348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40.722094801451348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-2.5006556825246661E-14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181.39264602498668</v>
      </c>
      <c r="T98" s="59">
        <f t="shared" si="88"/>
        <v>338.52444384059521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17.650107312457656</v>
      </c>
      <c r="AA98" s="21">
        <f>EXP(-LN(2)/25)*AA97+(1-EXP(-LN(2)/25))/(LN(2)/25)*Calculateur!V98*Calculateur!X98*VLOOKUP('Données projet'!$B$9,Paramètres!$A$1:$I$89,3,0)*0.475*44/12</f>
        <v>2.7321102605939851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20.382217573051641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236.00000000000009</v>
      </c>
      <c r="AJ98" s="13">
        <f>AI98*VLOOKUP('Données projet'!$B$10,Paramètres!$A$1:$I$89,3,0)*VLOOKUP('Données projet'!$B$10,Paramètres!$A$1:$I$89,5,0)</f>
        <v>154.62720000000004</v>
      </c>
      <c r="AK98" s="13">
        <f t="shared" si="89"/>
        <v>39.62826685000794</v>
      </c>
      <c r="AL98" s="20">
        <f t="shared" si="58"/>
        <v>338.32827143043056</v>
      </c>
      <c r="AM98" s="59">
        <f t="shared" si="59"/>
        <v>631.66160476376388</v>
      </c>
      <c r="AN98" s="59">
        <f ca="1">AVERAGE(OFFSET($AM$3,0,0,'Données projet'!$E$10+1,1))-AVERAGE(OFFSET($H$3,0,0,'Données projet'!$E$10+1,1))</f>
        <v>263.30962868541337</v>
      </c>
      <c r="AO98" s="59">
        <f t="shared" si="90"/>
        <v>269.61868559913404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39.923559360420164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39.923559360420164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-2.5006556825246661E-14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181.39264602498668</v>
      </c>
      <c r="T99" s="59">
        <f t="shared" si="88"/>
        <v>338.52444384059521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17.303999473562818</v>
      </c>
      <c r="AA99" s="21">
        <f>EXP(-LN(2)/25)*AA98+(1-EXP(-LN(2)/25))/(LN(2)/25)*Calculateur!V99*Calculateur!X99*VLOOKUP('Données projet'!$B$9,Paramètres!$A$1:$I$89,3,0)*0.475*44/12</f>
        <v>2.6574005618426084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19.961400035405426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236.00000000000009</v>
      </c>
      <c r="AJ99" s="13">
        <f>AI99*VLOOKUP('Données projet'!$B$10,Paramètres!$A$1:$I$89,3,0)*VLOOKUP('Données projet'!$B$10,Paramètres!$A$1:$I$89,5,0)</f>
        <v>154.62720000000004</v>
      </c>
      <c r="AK99" s="13">
        <f t="shared" si="89"/>
        <v>39.62826685000794</v>
      </c>
      <c r="AL99" s="20">
        <f t="shared" si="58"/>
        <v>338.32827143043056</v>
      </c>
      <c r="AM99" s="59">
        <f t="shared" si="59"/>
        <v>631.66160476376388</v>
      </c>
      <c r="AN99" s="59">
        <f ca="1">AVERAGE(OFFSET($AM$3,0,0,'Données projet'!$E$10+1,1))-AVERAGE(OFFSET($H$3,0,0,'Données projet'!$E$10+1,1))</f>
        <v>263.30962868541337</v>
      </c>
      <c r="AO99" s="59">
        <f t="shared" si="90"/>
        <v>269.61868559913404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39.140682712329074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39.140682712329074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-2.5006556825246661E-14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181.39264602498668</v>
      </c>
      <c r="T100" s="59">
        <f t="shared" si="88"/>
        <v>338.52444384059521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16.964678598283772</v>
      </c>
      <c r="AA100" s="21">
        <f>EXP(-LN(2)/25)*AA99+(1-EXP(-LN(2)/25))/(LN(2)/25)*Calculateur!V100*Calculateur!X100*VLOOKUP('Données projet'!$B$9,Paramètres!$A$1:$I$89,3,0)*0.475*44/12</f>
        <v>2.5847338037324001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19.549412402016173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236.00000000000009</v>
      </c>
      <c r="AJ100" s="13">
        <f>AI100*VLOOKUP('Données projet'!$B$10,Paramètres!$A$1:$I$89,3,0)*VLOOKUP('Données projet'!$B$10,Paramètres!$A$1:$I$89,5,0)</f>
        <v>154.62720000000004</v>
      </c>
      <c r="AK100" s="13">
        <f t="shared" si="89"/>
        <v>39.62826685000794</v>
      </c>
      <c r="AL100" s="20">
        <f t="shared" si="58"/>
        <v>338.32827143043056</v>
      </c>
      <c r="AM100" s="59">
        <f t="shared" si="59"/>
        <v>631.66160476376388</v>
      </c>
      <c r="AN100" s="59">
        <f ca="1">AVERAGE(OFFSET($AM$3,0,0,'Données projet'!$E$10+1,1))-AVERAGE(OFFSET($H$3,0,0,'Données projet'!$E$10+1,1))</f>
        <v>263.30962868541337</v>
      </c>
      <c r="AO100" s="59">
        <f t="shared" si="90"/>
        <v>269.61868559913404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38.37315779779945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38.37315779779945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-2.5006556825246661E-14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181.39264602498668</v>
      </c>
      <c r="T101" s="59">
        <f t="shared" si="88"/>
        <v>338.52444384059521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16.632011598403647</v>
      </c>
      <c r="AA101" s="21">
        <f>EXP(-LN(2)/25)*AA100+(1-EXP(-LN(2)/25))/(LN(2)/25)*Calculateur!V101*Calculateur!X101*VLOOKUP('Données projet'!$B$9,Paramètres!$A$1:$I$89,3,0)*0.475*44/12</f>
        <v>2.5140541219440946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19.146065720347742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236.00000000000009</v>
      </c>
      <c r="AJ101" s="13">
        <f>AI101*VLOOKUP('Données projet'!$B$10,Paramètres!$A$1:$I$89,3,0)*VLOOKUP('Données projet'!$B$10,Paramètres!$A$1:$I$89,5,0)</f>
        <v>154.62720000000004</v>
      </c>
      <c r="AK101" s="13">
        <f t="shared" si="89"/>
        <v>39.62826685000794</v>
      </c>
      <c r="AL101" s="20">
        <f t="shared" si="58"/>
        <v>338.32827143043056</v>
      </c>
      <c r="AM101" s="59">
        <f t="shared" si="59"/>
        <v>631.66160476376388</v>
      </c>
      <c r="AN101" s="59">
        <f ca="1">AVERAGE(OFFSET($AM$3,0,0,'Données projet'!$E$10+1,1))-AVERAGE(OFFSET($H$3,0,0,'Données projet'!$E$10+1,1))</f>
        <v>263.30962868541337</v>
      </c>
      <c r="AO101" s="59">
        <f t="shared" si="90"/>
        <v>269.61868559913404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37.620683578699776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37.620683578699776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-2.5006556825246661E-14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181.39264602498668</v>
      </c>
      <c r="T102" s="59">
        <f t="shared" si="88"/>
        <v>338.52444384059521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16.305867995484338</v>
      </c>
      <c r="AA102" s="21">
        <f>EXP(-LN(2)/25)*AA101+(1-EXP(-LN(2)/25))/(LN(2)/25)*Calculateur!V102*Calculateur!X102*VLOOKUP('Données projet'!$B$9,Paramètres!$A$1:$I$89,3,0)*0.475*44/12</f>
        <v>2.4453071797711732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18.751175175255511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236.00000000000009</v>
      </c>
      <c r="AJ102" s="13">
        <f>AI102*VLOOKUP('Données projet'!$B$10,Paramètres!$A$1:$I$89,3,0)*VLOOKUP('Données projet'!$B$10,Paramètres!$A$1:$I$89,5,0)</f>
        <v>154.62720000000004</v>
      </c>
      <c r="AK102" s="13">
        <f t="shared" si="89"/>
        <v>39.62826685000794</v>
      </c>
      <c r="AL102" s="20">
        <f t="shared" si="58"/>
        <v>338.32827143043056</v>
      </c>
      <c r="AM102" s="59">
        <f t="shared" si="59"/>
        <v>631.66160476376388</v>
      </c>
      <c r="AN102" s="59">
        <f ca="1">AVERAGE(OFFSET($AM$3,0,0,'Données projet'!$E$10+1,1))-AVERAGE(OFFSET($H$3,0,0,'Données projet'!$E$10+1,1))</f>
        <v>263.30962868541337</v>
      </c>
      <c r="AO102" s="59">
        <f t="shared" si="90"/>
        <v>269.61868559913404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36.882964920072695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36.882964920072695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-2.5006556825246661E-14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181.39264602498668</v>
      </c>
      <c r="T103" s="59">
        <f t="shared" si="88"/>
        <v>338.52444384059521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15.98611986969032</v>
      </c>
      <c r="AA103" s="21">
        <f>EXP(-LN(2)/25)*AA102+(1-EXP(-LN(2)/25))/(LN(2)/25)*Calculateur!V103*Calculateur!X103*VLOOKUP('Données projet'!$B$9,Paramètres!$A$1:$I$89,3,0)*0.475*44/12</f>
        <v>2.3784401263472148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18.364559996037535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236.00000000000009</v>
      </c>
      <c r="AJ103" s="13">
        <f>AI103*VLOOKUP('Données projet'!$B$10,Paramètres!$A$1:$I$89,3,0)*VLOOKUP('Données projet'!$B$10,Paramètres!$A$1:$I$89,5,0)</f>
        <v>154.62720000000004</v>
      </c>
      <c r="AK103" s="13">
        <f t="shared" si="89"/>
        <v>39.62826685000794</v>
      </c>
      <c r="AL103" s="20">
        <f t="shared" si="58"/>
        <v>338.32827143043056</v>
      </c>
      <c r="AM103" s="59">
        <f t="shared" si="59"/>
        <v>631.66160476376388</v>
      </c>
      <c r="AN103" s="59">
        <f ca="1">AVERAGE(OFFSET($AM$3,0,0,'Données projet'!$E$10+1,1))-AVERAGE(OFFSET($H$3,0,0,'Données projet'!$E$10+1,1))</f>
        <v>263.30962868541337</v>
      </c>
      <c r="AO103" s="59">
        <f t="shared" si="90"/>
        <v>269.61868559913404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36.159712474377336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36.159712474377336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-2.5006556825246661E-14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181.39264602498668</v>
      </c>
      <c r="T104" s="59">
        <f t="shared" si="88"/>
        <v>338.52444384059521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15.672641809616024</v>
      </c>
      <c r="AA104" s="21">
        <f>EXP(-LN(2)/25)*AA103+(1-EXP(-LN(2)/25))/(LN(2)/25)*Calculateur!V104*Calculateur!X104*VLOOKUP('Données projet'!$B$9,Paramètres!$A$1:$I$89,3,0)*0.475*44/12</f>
        <v>2.3134015560155201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17.986043365631545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236.00000000000009</v>
      </c>
      <c r="AJ104" s="13">
        <f>AI104*VLOOKUP('Données projet'!$B$10,Paramètres!$A$1:$I$89,3,0)*VLOOKUP('Données projet'!$B$10,Paramètres!$A$1:$I$89,5,0)</f>
        <v>154.62720000000004</v>
      </c>
      <c r="AK104" s="13">
        <f t="shared" si="89"/>
        <v>39.62826685000794</v>
      </c>
      <c r="AL104" s="20">
        <f t="shared" si="58"/>
        <v>338.32827143043056</v>
      </c>
      <c r="AM104" s="59">
        <f t="shared" si="59"/>
        <v>631.66160476376388</v>
      </c>
      <c r="AN104" s="59">
        <f ca="1">AVERAGE(OFFSET($AM$3,0,0,'Données projet'!$E$10+1,1))-AVERAGE(OFFSET($H$3,0,0,'Données projet'!$E$10+1,1))</f>
        <v>263.30962868541337</v>
      </c>
      <c r="AO104" s="59">
        <f t="shared" si="90"/>
        <v>269.61868559913404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35.450642568001633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35.450642568001633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-2.5006556825246661E-14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181.39264602498668</v>
      </c>
      <c r="T105" s="59">
        <f t="shared" si="88"/>
        <v>338.52444384059521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15.365310863097049</v>
      </c>
      <c r="AA105" s="21">
        <f>EXP(-LN(2)/25)*AA104+(1-EXP(-LN(2)/25))/(LN(2)/25)*Calculateur!V105*Calculateur!X105*VLOOKUP('Données projet'!$B$9,Paramètres!$A$1:$I$89,3,0)*0.475*44/12</f>
        <v>2.2501414688097752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17.615452331906823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236.00000000000009</v>
      </c>
      <c r="AJ105" s="13">
        <f>AI105*VLOOKUP('Données projet'!$B$10,Paramètres!$A$1:$I$89,3,0)*VLOOKUP('Données projet'!$B$10,Paramètres!$A$1:$I$89,5,0)</f>
        <v>154.62720000000004</v>
      </c>
      <c r="AK105" s="13">
        <f t="shared" si="89"/>
        <v>39.62826685000794</v>
      </c>
      <c r="AL105" s="20">
        <f t="shared" si="58"/>
        <v>338.32827143043056</v>
      </c>
      <c r="AM105" s="59">
        <f t="shared" si="59"/>
        <v>631.66160476376388</v>
      </c>
      <c r="AN105" s="59">
        <f ca="1">AVERAGE(OFFSET($AM$3,0,0,'Données projet'!$E$10+1,1))-AVERAGE(OFFSET($H$3,0,0,'Données projet'!$E$10+1,1))</f>
        <v>263.30962868541337</v>
      </c>
      <c r="AO105" s="59">
        <f t="shared" si="90"/>
        <v>269.61868559913404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34.755477090000021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34.755477090000021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-2.5006556825246661E-14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181.39264602498668</v>
      </c>
      <c r="T106" s="59">
        <f t="shared" si="88"/>
        <v>338.52444384059521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15.064006488985942</v>
      </c>
      <c r="AA106" s="21">
        <f>EXP(-LN(2)/25)*AA105+(1-EXP(-LN(2)/25))/(LN(2)/25)*Calculateur!V106*Calculateur!X106*VLOOKUP('Données projet'!$B$9,Paramètres!$A$1:$I$89,3,0)*0.475*44/12</f>
        <v>2.1886112320153748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17.252617721001318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236.00000000000009</v>
      </c>
      <c r="AJ106" s="13">
        <f>AI106*VLOOKUP('Données projet'!$B$10,Paramètres!$A$1:$I$89,3,0)*VLOOKUP('Données projet'!$B$10,Paramètres!$A$1:$I$89,5,0)</f>
        <v>154.62720000000004</v>
      </c>
      <c r="AK106" s="13">
        <f t="shared" si="89"/>
        <v>39.62826685000794</v>
      </c>
      <c r="AL106" s="20">
        <f t="shared" si="58"/>
        <v>338.32827143043056</v>
      </c>
      <c r="AM106" s="59">
        <f t="shared" si="59"/>
        <v>631.66160476376388</v>
      </c>
      <c r="AN106" s="59">
        <f ca="1">AVERAGE(OFFSET($AM$3,0,0,'Données projet'!$E$10+1,1))-AVERAGE(OFFSET($H$3,0,0,'Données projet'!$E$10+1,1))</f>
        <v>263.30962868541337</v>
      </c>
      <c r="AO106" s="59">
        <f t="shared" si="90"/>
        <v>269.61868559913404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34.073943383012946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34.073943383012946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-2.5006556825246661E-14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181.39264602498668</v>
      </c>
      <c r="T107" s="59">
        <f t="shared" si="88"/>
        <v>338.52444384059521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14.768610509873634</v>
      </c>
      <c r="AA107" s="21">
        <f>EXP(-LN(2)/25)*AA106+(1-EXP(-LN(2)/25))/(LN(2)/25)*Calculateur!V107*Calculateur!X107*VLOOKUP('Données projet'!$B$9,Paramètres!$A$1:$I$89,3,0)*0.475*44/12</f>
        <v>2.1287635427818516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16.897374052655486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236.00000000000009</v>
      </c>
      <c r="AJ107" s="13">
        <f>AI107*VLOOKUP('Données projet'!$B$10,Paramètres!$A$1:$I$89,3,0)*VLOOKUP('Données projet'!$B$10,Paramètres!$A$1:$I$89,5,0)</f>
        <v>154.62720000000004</v>
      </c>
      <c r="AK107" s="13">
        <f t="shared" si="89"/>
        <v>39.62826685000794</v>
      </c>
      <c r="AL107" s="20">
        <f t="shared" si="58"/>
        <v>338.32827143043056</v>
      </c>
      <c r="AM107" s="59">
        <f t="shared" si="59"/>
        <v>631.66160476376388</v>
      </c>
      <c r="AN107" s="59">
        <f ca="1">AVERAGE(OFFSET($AM$3,0,0,'Données projet'!$E$10+1,1))-AVERAGE(OFFSET($H$3,0,0,'Données projet'!$E$10+1,1))</f>
        <v>263.30962868541337</v>
      </c>
      <c r="AO107" s="59">
        <f t="shared" si="90"/>
        <v>269.61868559913404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33.40577413632537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33.40577413632537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-2.5006556825246661E-14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181.39264602498668</v>
      </c>
      <c r="T108" s="59">
        <f t="shared" si="88"/>
        <v>338.52444384059521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14.47900706573796</v>
      </c>
      <c r="AA108" s="21">
        <f>EXP(-LN(2)/25)*AA107+(1-EXP(-LN(2)/25))/(LN(2)/25)*Calculateur!V108*Calculateur!X108*VLOOKUP('Données projet'!$B$9,Paramètres!$A$1:$I$89,3,0)*0.475*44/12</f>
        <v>2.0705523917576727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16.549559457495633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236.00000000000009</v>
      </c>
      <c r="AJ108" s="13">
        <f>AI108*VLOOKUP('Données projet'!$B$10,Paramètres!$A$1:$I$89,3,0)*VLOOKUP('Données projet'!$B$10,Paramètres!$A$1:$I$89,5,0)</f>
        <v>154.62720000000004</v>
      </c>
      <c r="AK108" s="13">
        <f t="shared" si="89"/>
        <v>39.62826685000794</v>
      </c>
      <c r="AL108" s="20">
        <f t="shared" si="58"/>
        <v>338.32827143043056</v>
      </c>
      <c r="AM108" s="59">
        <f t="shared" si="59"/>
        <v>631.66160476376388</v>
      </c>
      <c r="AN108" s="59">
        <f ca="1">AVERAGE(OFFSET($AM$3,0,0,'Données projet'!$E$10+1,1))-AVERAGE(OFFSET($H$3,0,0,'Données projet'!$E$10+1,1))</f>
        <v>263.30962868541337</v>
      </c>
      <c r="AO108" s="59">
        <f t="shared" si="90"/>
        <v>269.61868559913404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32.750707281022336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32.750707281022336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-2.5006556825246661E-14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181.39264602498668</v>
      </c>
      <c r="T109" s="59">
        <f t="shared" si="88"/>
        <v>338.52444384059521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14.195082568501128</v>
      </c>
      <c r="AA109" s="21">
        <f>EXP(-LN(2)/25)*AA108+(1-EXP(-LN(2)/25))/(LN(2)/25)*Calculateur!V109*Calculateur!X109*VLOOKUP('Données projet'!$B$9,Paramètres!$A$1:$I$89,3,0)*0.475*44/12</f>
        <v>2.0139330277194412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16.209015596220571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236.00000000000009</v>
      </c>
      <c r="AJ109" s="13">
        <f>AI109*VLOOKUP('Données projet'!$B$10,Paramètres!$A$1:$I$89,3,0)*VLOOKUP('Données projet'!$B$10,Paramètres!$A$1:$I$89,5,0)</f>
        <v>154.62720000000004</v>
      </c>
      <c r="AK109" s="13">
        <f t="shared" si="89"/>
        <v>39.62826685000794</v>
      </c>
      <c r="AL109" s="20">
        <f t="shared" si="58"/>
        <v>338.32827143043056</v>
      </c>
      <c r="AM109" s="59">
        <f t="shared" si="59"/>
        <v>631.66160476376388</v>
      </c>
      <c r="AN109" s="59">
        <f ca="1">AVERAGE(OFFSET($AM$3,0,0,'Données projet'!$E$10+1,1))-AVERAGE(OFFSET($H$3,0,0,'Données projet'!$E$10+1,1))</f>
        <v>263.30962868541337</v>
      </c>
      <c r="AO109" s="59">
        <f t="shared" si="90"/>
        <v>269.61868559913404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32.108485887200466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32.108485887200466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-2.5006556825246661E-14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181.39264602498668</v>
      </c>
      <c r="T110" s="59">
        <f t="shared" si="88"/>
        <v>338.52444384059521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13.916725657478267</v>
      </c>
      <c r="AA110" s="21">
        <f>EXP(-LN(2)/25)*AA109+(1-EXP(-LN(2)/25))/(LN(2)/25)*Calculateur!V110*Calculateur!X110*VLOOKUP('Données projet'!$B$9,Paramètres!$A$1:$I$89,3,0)*0.475*44/12</f>
        <v>1.958861923168318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15.875587580646584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236.00000000000009</v>
      </c>
      <c r="AJ110" s="13">
        <f>AI110*VLOOKUP('Données projet'!$B$10,Paramètres!$A$1:$I$89,3,0)*VLOOKUP('Données projet'!$B$10,Paramètres!$A$1:$I$89,5,0)</f>
        <v>154.62720000000004</v>
      </c>
      <c r="AK110" s="13">
        <f t="shared" si="89"/>
        <v>39.62826685000794</v>
      </c>
      <c r="AL110" s="20">
        <f t="shared" si="58"/>
        <v>338.32827143043056</v>
      </c>
      <c r="AM110" s="59">
        <f t="shared" si="59"/>
        <v>631.66160476376388</v>
      </c>
      <c r="AN110" s="59">
        <f ca="1">AVERAGE(OFFSET($AM$3,0,0,'Données projet'!$E$10+1,1))-AVERAGE(OFFSET($H$3,0,0,'Données projet'!$E$10+1,1))</f>
        <v>263.30962868541337</v>
      </c>
      <c r="AO110" s="59">
        <f t="shared" si="90"/>
        <v>269.61868559913404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31.478858063195073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31.478858063195073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-2.5006556825246661E-14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181.39264602498668</v>
      </c>
      <c r="T111" s="59">
        <f t="shared" si="88"/>
        <v>338.52444384059521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13.643827155699613</v>
      </c>
      <c r="AA111" s="21">
        <f>EXP(-LN(2)/25)*AA110+(1-EXP(-LN(2)/25))/(LN(2)/25)*Calculateur!V111*Calculateur!X111*VLOOKUP('Données projet'!$B$9,Paramètres!$A$1:$I$89,3,0)*0.475*44/12</f>
        <v>1.9052967408672088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15.549123896566822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236.00000000000009</v>
      </c>
      <c r="AJ111" s="13">
        <f>AI111*VLOOKUP('Données projet'!$B$10,Paramètres!$A$1:$I$89,3,0)*VLOOKUP('Données projet'!$B$10,Paramètres!$A$1:$I$89,5,0)</f>
        <v>154.62720000000004</v>
      </c>
      <c r="AK111" s="13">
        <f t="shared" si="89"/>
        <v>39.62826685000794</v>
      </c>
      <c r="AL111" s="20">
        <f t="shared" si="58"/>
        <v>338.32827143043056</v>
      </c>
      <c r="AM111" s="59">
        <f t="shared" si="59"/>
        <v>631.66160476376388</v>
      </c>
      <c r="AN111" s="59">
        <f ca="1">AVERAGE(OFFSET($AM$3,0,0,'Données projet'!$E$10+1,1))-AVERAGE(OFFSET($H$3,0,0,'Données projet'!$E$10+1,1))</f>
        <v>263.30962868541337</v>
      </c>
      <c r="AO111" s="59">
        <f t="shared" si="90"/>
        <v>269.61868559913404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30.861576856783373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30.861576856783373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-2.5006556825246661E-14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181.39264602498668</v>
      </c>
      <c r="T112" s="59">
        <f t="shared" si="88"/>
        <v>338.52444384059521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13.376280027089187</v>
      </c>
      <c r="AA112" s="21">
        <f>EXP(-LN(2)/25)*AA111+(1-EXP(-LN(2)/25))/(LN(2)/25)*Calculateur!V112*Calculateur!X112*VLOOKUP('Données projet'!$B$9,Paramètres!$A$1:$I$89,3,0)*0.475*44/12</f>
        <v>1.853196301292994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15.229476328382182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236.00000000000009</v>
      </c>
      <c r="AJ112" s="13">
        <f>AI112*VLOOKUP('Données projet'!$B$10,Paramètres!$A$1:$I$89,3,0)*VLOOKUP('Données projet'!$B$10,Paramètres!$A$1:$I$89,5,0)</f>
        <v>154.62720000000004</v>
      </c>
      <c r="AK112" s="13">
        <f t="shared" si="89"/>
        <v>39.62826685000794</v>
      </c>
      <c r="AL112" s="20">
        <f t="shared" si="58"/>
        <v>338.32827143043056</v>
      </c>
      <c r="AM112" s="59">
        <f t="shared" si="59"/>
        <v>631.66160476376388</v>
      </c>
      <c r="AN112" s="59">
        <f ca="1">AVERAGE(OFFSET($AM$3,0,0,'Données projet'!$E$10+1,1))-AVERAGE(OFFSET($H$3,0,0,'Données projet'!$E$10+1,1))</f>
        <v>263.30962868541337</v>
      </c>
      <c r="AO112" s="59">
        <f t="shared" si="90"/>
        <v>269.61868559913404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30.256400158325047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30.256400158325047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-2.5006556825246661E-14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181.39264602498668</v>
      </c>
      <c r="T113" s="59">
        <f t="shared" si="88"/>
        <v>338.52444384059521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13.113979334483178</v>
      </c>
      <c r="AA113" s="21">
        <f>EXP(-LN(2)/25)*AA112+(1-EXP(-LN(2)/25))/(LN(2)/25)*Calculateur!V113*Calculateur!X113*VLOOKUP('Données projet'!$B$9,Paramètres!$A$1:$I$89,3,0)*0.475*44/12</f>
        <v>1.8025205509787792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14.916499885461956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236.00000000000009</v>
      </c>
      <c r="AJ113" s="13">
        <f>AI113*VLOOKUP('Données projet'!$B$10,Paramètres!$A$1:$I$89,3,0)*VLOOKUP('Données projet'!$B$10,Paramètres!$A$1:$I$89,5,0)</f>
        <v>154.62720000000004</v>
      </c>
      <c r="AK113" s="13">
        <f t="shared" si="89"/>
        <v>39.62826685000794</v>
      </c>
      <c r="AL113" s="20">
        <f t="shared" si="58"/>
        <v>338.32827143043056</v>
      </c>
      <c r="AM113" s="59">
        <f t="shared" si="59"/>
        <v>631.66160476376388</v>
      </c>
      <c r="AN113" s="59">
        <f ca="1">AVERAGE(OFFSET($AM$3,0,0,'Données projet'!$E$10+1,1))-AVERAGE(OFFSET($H$3,0,0,'Données projet'!$E$10+1,1))</f>
        <v>263.30962868541337</v>
      </c>
      <c r="AO113" s="59">
        <f t="shared" si="90"/>
        <v>269.61868559913404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29.66309060580215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29.66309060580215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-2.5006556825246661E-14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181.39264602498668</v>
      </c>
      <c r="T114" s="59">
        <f t="shared" si="88"/>
        <v>338.52444384059521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12.856822198471546</v>
      </c>
      <c r="AA114" s="21">
        <f>EXP(-LN(2)/25)*AA113+(1-EXP(-LN(2)/25))/(LN(2)/25)*Calculateur!V114*Calculateur!X114*VLOOKUP('Données projet'!$B$9,Paramètres!$A$1:$I$89,3,0)*0.475*44/12</f>
        <v>1.7532305317218284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14.610052730193374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236.00000000000009</v>
      </c>
      <c r="AJ114" s="13">
        <f>AI114*VLOOKUP('Données projet'!$B$10,Paramètres!$A$1:$I$89,3,0)*VLOOKUP('Données projet'!$B$10,Paramètres!$A$1:$I$89,5,0)</f>
        <v>154.62720000000004</v>
      </c>
      <c r="AK114" s="13">
        <f t="shared" si="89"/>
        <v>39.62826685000794</v>
      </c>
      <c r="AL114" s="20">
        <f t="shared" si="58"/>
        <v>338.32827143043056</v>
      </c>
      <c r="AM114" s="59">
        <f t="shared" si="59"/>
        <v>631.66160476376388</v>
      </c>
      <c r="AN114" s="59">
        <f ca="1">AVERAGE(OFFSET($AM$3,0,0,'Données projet'!$E$10+1,1))-AVERAGE(OFFSET($H$3,0,0,'Données projet'!$E$10+1,1))</f>
        <v>263.30962868541337</v>
      </c>
      <c r="AO114" s="59">
        <f t="shared" si="90"/>
        <v>269.61868559913404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29.081415491721135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29.081415491721135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-2.5006556825246661E-14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181.39264602498668</v>
      </c>
      <c r="T115" s="59">
        <f t="shared" si="88"/>
        <v>338.52444384059521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12.604707757046738</v>
      </c>
      <c r="AA115" s="21">
        <f>EXP(-LN(2)/25)*AA114+(1-EXP(-LN(2)/25))/(LN(2)/25)*Calculateur!V115*Calculateur!X115*VLOOKUP('Données projet'!$B$9,Paramètres!$A$1:$I$89,3,0)*0.475*44/12</f>
        <v>1.7052883506335084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14.309996107680245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236.00000000000009</v>
      </c>
      <c r="AJ115" s="13">
        <f>AI115*VLOOKUP('Données projet'!$B$10,Paramètres!$A$1:$I$89,3,0)*VLOOKUP('Données projet'!$B$10,Paramètres!$A$1:$I$89,5,0)</f>
        <v>154.62720000000004</v>
      </c>
      <c r="AK115" s="13">
        <f t="shared" si="89"/>
        <v>39.62826685000794</v>
      </c>
      <c r="AL115" s="20">
        <f t="shared" si="58"/>
        <v>338.32827143043056</v>
      </c>
      <c r="AM115" s="59">
        <f t="shared" si="59"/>
        <v>631.66160476376388</v>
      </c>
      <c r="AN115" s="59">
        <f ca="1">AVERAGE(OFFSET($AM$3,0,0,'Données projet'!$E$10+1,1))-AVERAGE(OFFSET($H$3,0,0,'Données projet'!$E$10+1,1))</f>
        <v>263.30962868541337</v>
      </c>
      <c r="AO115" s="59">
        <f t="shared" si="90"/>
        <v>269.61868559913404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28.511146671840461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28.511146671840461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-2.5006556825246661E-14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181.39264602498668</v>
      </c>
      <c r="T116" s="59">
        <f t="shared" si="88"/>
        <v>338.52444384059521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12.357537126043646</v>
      </c>
      <c r="AA116" s="21">
        <f>EXP(-LN(2)/25)*AA115+(1-EXP(-LN(2)/25))/(LN(2)/25)*Calculateur!V116*Calculateur!X116*VLOOKUP('Données projet'!$B$9,Paramètres!$A$1:$I$89,3,0)*0.475*44/12</f>
        <v>1.6586571510082182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14.016194277051863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236.00000000000009</v>
      </c>
      <c r="AJ116" s="13">
        <f>AI116*VLOOKUP('Données projet'!$B$10,Paramètres!$A$1:$I$89,3,0)*VLOOKUP('Données projet'!$B$10,Paramètres!$A$1:$I$89,5,0)</f>
        <v>154.62720000000004</v>
      </c>
      <c r="AK116" s="13">
        <f t="shared" si="89"/>
        <v>39.62826685000794</v>
      </c>
      <c r="AL116" s="20">
        <f t="shared" si="58"/>
        <v>338.32827143043056</v>
      </c>
      <c r="AM116" s="59">
        <f t="shared" si="59"/>
        <v>631.66160476376388</v>
      </c>
      <c r="AN116" s="59">
        <f ca="1">AVERAGE(OFFSET($AM$3,0,0,'Données projet'!$E$10+1,1))-AVERAGE(OFFSET($H$3,0,0,'Données projet'!$E$10+1,1))</f>
        <v>263.30962868541337</v>
      </c>
      <c r="AO116" s="59">
        <f t="shared" si="90"/>
        <v>269.61868559913404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27.952060475688011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27.952060475688011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-2.5006556825246661E-14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181.39264602498668</v>
      </c>
      <c r="T117" s="59">
        <f t="shared" si="88"/>
        <v>338.52444384059521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12.115213360355325</v>
      </c>
      <c r="AA117" s="21">
        <f>EXP(-LN(2)/25)*AA116+(1-EXP(-LN(2)/25))/(LN(2)/25)*Calculateur!V117*Calculateur!X117*VLOOKUP('Données projet'!$B$9,Paramètres!$A$1:$I$89,3,0)*0.475*44/12</f>
        <v>1.6133010839889099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13.728514444344235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236.00000000000009</v>
      </c>
      <c r="AJ117" s="13">
        <f>AI117*VLOOKUP('Données projet'!$B$10,Paramètres!$A$1:$I$89,3,0)*VLOOKUP('Données projet'!$B$10,Paramètres!$A$1:$I$89,5,0)</f>
        <v>154.62720000000004</v>
      </c>
      <c r="AK117" s="13">
        <f t="shared" si="89"/>
        <v>39.62826685000794</v>
      </c>
      <c r="AL117" s="20">
        <f t="shared" si="58"/>
        <v>338.32827143043056</v>
      </c>
      <c r="AM117" s="59">
        <f t="shared" si="59"/>
        <v>631.66160476376388</v>
      </c>
      <c r="AN117" s="59">
        <f ca="1">AVERAGE(OFFSET($AM$3,0,0,'Données projet'!$E$10+1,1))-AVERAGE(OFFSET($H$3,0,0,'Données projet'!$E$10+1,1))</f>
        <v>263.30962868541337</v>
      </c>
      <c r="AO117" s="59">
        <f t="shared" si="90"/>
        <v>269.61868559913404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27.403937618833204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27.403937618833204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-2.5006556825246661E-14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181.39264602498668</v>
      </c>
      <c r="T118" s="59">
        <f t="shared" si="88"/>
        <v>338.52444384059521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11.877641415909249</v>
      </c>
      <c r="AA118" s="21">
        <f>EXP(-LN(2)/25)*AA117+(1-EXP(-LN(2)/25))/(LN(2)/25)*Calculateur!V118*Calculateur!X118*VLOOKUP('Données projet'!$B$9,Paramètres!$A$1:$I$89,3,0)*0.475*44/12</f>
        <v>1.5691852810074165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13.446826696916666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236.00000000000009</v>
      </c>
      <c r="AJ118" s="13">
        <f>AI118*VLOOKUP('Données projet'!$B$10,Paramètres!$A$1:$I$89,3,0)*VLOOKUP('Données projet'!$B$10,Paramètres!$A$1:$I$89,5,0)</f>
        <v>154.62720000000004</v>
      </c>
      <c r="AK118" s="13">
        <f t="shared" si="89"/>
        <v>39.62826685000794</v>
      </c>
      <c r="AL118" s="20">
        <f t="shared" si="58"/>
        <v>338.32827143043056</v>
      </c>
      <c r="AM118" s="59">
        <f t="shared" si="59"/>
        <v>631.66160476376388</v>
      </c>
      <c r="AN118" s="59">
        <f ca="1">AVERAGE(OFFSET($AM$3,0,0,'Données projet'!$E$10+1,1))-AVERAGE(OFFSET($H$3,0,0,'Données projet'!$E$10+1,1))</f>
        <v>263.30962868541337</v>
      </c>
      <c r="AO118" s="59">
        <f t="shared" si="90"/>
        <v>269.61868559913404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26.866563116879387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26.866563116879387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-2.5006556825246661E-14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181.39264602498668</v>
      </c>
      <c r="T119" s="59">
        <f t="shared" si="88"/>
        <v>338.52444384059521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11.644728112389183</v>
      </c>
      <c r="AA119" s="21">
        <f>EXP(-LN(2)/25)*AA118+(1-EXP(-LN(2)/25))/(LN(2)/25)*Calculateur!V119*Calculateur!X119*VLOOKUP('Données projet'!$B$9,Paramètres!$A$1:$I$89,3,0)*0.475*44/12</f>
        <v>1.5262758269784011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13.171003939367584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236.00000000000009</v>
      </c>
      <c r="AJ119" s="13">
        <f>AI119*VLOOKUP('Données projet'!$B$10,Paramètres!$A$1:$I$89,3,0)*VLOOKUP('Données projet'!$B$10,Paramètres!$A$1:$I$89,5,0)</f>
        <v>154.62720000000004</v>
      </c>
      <c r="AK119" s="13">
        <f t="shared" si="89"/>
        <v>39.62826685000794</v>
      </c>
      <c r="AL119" s="20">
        <f t="shared" si="58"/>
        <v>338.32827143043056</v>
      </c>
      <c r="AM119" s="59">
        <f t="shared" si="59"/>
        <v>631.66160476376388</v>
      </c>
      <c r="AN119" s="59">
        <f ca="1">AVERAGE(OFFSET($AM$3,0,0,'Données projet'!$E$10+1,1))-AVERAGE(OFFSET($H$3,0,0,'Données projet'!$E$10+1,1))</f>
        <v>263.30962868541337</v>
      </c>
      <c r="AO119" s="59">
        <f t="shared" si="90"/>
        <v>269.61868559913404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26.339726201142803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26.339726201142803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-2.5006556825246661E-14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181.39264602498668</v>
      </c>
      <c r="T120" s="59">
        <f t="shared" si="88"/>
        <v>338.52444384059521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11.416382096688057</v>
      </c>
      <c r="AA120" s="21">
        <f>EXP(-LN(2)/25)*AA119+(1-EXP(-LN(2)/25))/(LN(2)/25)*Calculateur!V120*Calculateur!X120*VLOOKUP('Données projet'!$B$9,Paramètres!$A$1:$I$89,3,0)*0.475*44/12</f>
        <v>1.4845397342263194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12.900921830914376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236.00000000000009</v>
      </c>
      <c r="AJ120" s="13">
        <f>AI120*VLOOKUP('Données projet'!$B$10,Paramètres!$A$1:$I$89,3,0)*VLOOKUP('Données projet'!$B$10,Paramètres!$A$1:$I$89,5,0)</f>
        <v>154.62720000000004</v>
      </c>
      <c r="AK120" s="13">
        <f t="shared" si="89"/>
        <v>39.62826685000794</v>
      </c>
      <c r="AL120" s="20">
        <f t="shared" si="58"/>
        <v>338.32827143043056</v>
      </c>
      <c r="AM120" s="59">
        <f t="shared" si="59"/>
        <v>631.66160476376388</v>
      </c>
      <c r="AN120" s="59">
        <f ca="1">AVERAGE(OFFSET($AM$3,0,0,'Données projet'!$E$10+1,1))-AVERAGE(OFFSET($H$3,0,0,'Données projet'!$E$10+1,1))</f>
        <v>263.30962868541337</v>
      </c>
      <c r="AO120" s="59">
        <f t="shared" si="90"/>
        <v>269.61868559913404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25.823220235985023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25.823220235985023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-2.5006556825246661E-14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181.39264602498668</v>
      </c>
      <c r="T121" s="59">
        <f t="shared" si="88"/>
        <v>338.52444384059521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11.192513807077514</v>
      </c>
      <c r="AA121" s="21">
        <f>EXP(-LN(2)/25)*AA120+(1-EXP(-LN(2)/25))/(LN(2)/25)*Calculateur!V121*Calculateur!X121*VLOOKUP('Données projet'!$B$9,Paramètres!$A$1:$I$89,3,0)*0.475*44/12</f>
        <v>1.4439449171253489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12.636458724202862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236.00000000000009</v>
      </c>
      <c r="AJ121" s="13">
        <f>AI121*VLOOKUP('Données projet'!$B$10,Paramètres!$A$1:$I$89,3,0)*VLOOKUP('Données projet'!$B$10,Paramètres!$A$1:$I$89,5,0)</f>
        <v>154.62720000000004</v>
      </c>
      <c r="AK121" s="13">
        <f t="shared" si="89"/>
        <v>39.62826685000794</v>
      </c>
      <c r="AL121" s="20">
        <f t="shared" si="58"/>
        <v>338.32827143043056</v>
      </c>
      <c r="AM121" s="59">
        <f t="shared" si="59"/>
        <v>631.66160476376388</v>
      </c>
      <c r="AN121" s="59">
        <f ca="1">AVERAGE(OFFSET($AM$3,0,0,'Données projet'!$E$10+1,1))-AVERAGE(OFFSET($H$3,0,0,'Données projet'!$E$10+1,1))</f>
        <v>263.30962868541337</v>
      </c>
      <c r="AO121" s="59">
        <f t="shared" si="90"/>
        <v>269.61868559913404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25.316842637766456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25.316842637766456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-2.5006556825246661E-14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181.39264602498668</v>
      </c>
      <c r="T122" s="59">
        <f t="shared" si="88"/>
        <v>338.52444384059521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10.973035438080061</v>
      </c>
      <c r="AA122" s="21">
        <f>EXP(-LN(2)/25)*AA121+(1-EXP(-LN(2)/25))/(LN(2)/25)*Calculateur!V122*Calculateur!X122*VLOOKUP('Données projet'!$B$9,Paramètres!$A$1:$I$89,3,0)*0.475*44/12</f>
        <v>1.4044601674327932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12.377495605512854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236.00000000000009</v>
      </c>
      <c r="AJ122" s="13">
        <f>AI122*VLOOKUP('Données projet'!$B$10,Paramètres!$A$1:$I$89,3,0)*VLOOKUP('Données projet'!$B$10,Paramètres!$A$1:$I$89,5,0)</f>
        <v>154.62720000000004</v>
      </c>
      <c r="AK122" s="13">
        <f t="shared" si="89"/>
        <v>39.62826685000794</v>
      </c>
      <c r="AL122" s="20">
        <f t="shared" si="58"/>
        <v>338.32827143043056</v>
      </c>
      <c r="AM122" s="59">
        <f t="shared" si="59"/>
        <v>631.66160476376388</v>
      </c>
      <c r="AN122" s="59">
        <f ca="1">AVERAGE(OFFSET($AM$3,0,0,'Données projet'!$E$10+1,1))-AVERAGE(OFFSET($H$3,0,0,'Données projet'!$E$10+1,1))</f>
        <v>263.30962868541337</v>
      </c>
      <c r="AO122" s="59">
        <f t="shared" si="90"/>
        <v>269.61868559913404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24.82039479538912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24.82039479538912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-2.5006556825246661E-14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181.39264602498668</v>
      </c>
      <c r="T123" s="59">
        <f t="shared" si="88"/>
        <v>338.52444384059521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10.757860906030059</v>
      </c>
      <c r="AA123" s="21">
        <f>EXP(-LN(2)/25)*AA122+(1-EXP(-LN(2)/25))/(LN(2)/25)*Calculateur!V123*Calculateur!X123*VLOOKUP('Données projet'!$B$9,Paramètres!$A$1:$I$89,3,0)*0.475*44/12</f>
        <v>1.3660551302969932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12.123916036327053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236.00000000000009</v>
      </c>
      <c r="AJ123" s="13">
        <f>AI123*VLOOKUP('Données projet'!$B$10,Paramètres!$A$1:$I$89,3,0)*VLOOKUP('Données projet'!$B$10,Paramètres!$A$1:$I$89,5,0)</f>
        <v>154.62720000000004</v>
      </c>
      <c r="AK123" s="13">
        <f t="shared" si="89"/>
        <v>39.62826685000794</v>
      </c>
      <c r="AL123" s="20">
        <f t="shared" si="58"/>
        <v>338.32827143043056</v>
      </c>
      <c r="AM123" s="59">
        <f t="shared" si="59"/>
        <v>631.66160476376388</v>
      </c>
      <c r="AN123" s="59">
        <f ca="1">AVERAGE(OFFSET($AM$3,0,0,'Données projet'!$E$10+1,1))-AVERAGE(OFFSET($H$3,0,0,'Données projet'!$E$10+1,1))</f>
        <v>263.30962868541337</v>
      </c>
      <c r="AO123" s="59">
        <f t="shared" si="90"/>
        <v>269.61868559913404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24.333681992397519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24.333681992397519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-2.5006556825246661E-14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181.39264602498668</v>
      </c>
      <c r="T124" s="59">
        <f t="shared" si="88"/>
        <v>338.52444384059521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10.546905815310053</v>
      </c>
      <c r="AA124" s="21">
        <f>EXP(-LN(2)/25)*AA123+(1-EXP(-LN(2)/25))/(LN(2)/25)*Calculateur!V124*Calculateur!X124*VLOOKUP('Données projet'!$B$9,Paramètres!$A$1:$I$89,3,0)*0.475*44/12</f>
        <v>1.3287002809213049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11.875606096231358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236.00000000000009</v>
      </c>
      <c r="AJ124" s="13">
        <f>AI124*VLOOKUP('Données projet'!$B$10,Paramètres!$A$1:$I$89,3,0)*VLOOKUP('Données projet'!$B$10,Paramètres!$A$1:$I$89,5,0)</f>
        <v>154.62720000000004</v>
      </c>
      <c r="AK124" s="13">
        <f t="shared" si="89"/>
        <v>39.62826685000794</v>
      </c>
      <c r="AL124" s="20">
        <f t="shared" si="58"/>
        <v>338.32827143043056</v>
      </c>
      <c r="AM124" s="59">
        <f t="shared" si="59"/>
        <v>631.66160476376388</v>
      </c>
      <c r="AN124" s="59">
        <f ca="1">AVERAGE(OFFSET($AM$3,0,0,'Données projet'!$E$10+1,1))-AVERAGE(OFFSET($H$3,0,0,'Données projet'!$E$10+1,1))</f>
        <v>263.30962868541337</v>
      </c>
      <c r="AO124" s="59">
        <f t="shared" si="90"/>
        <v>269.61868559913404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23.856513330607086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23.856513330607086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-2.5006556825246661E-14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181.39264602498668</v>
      </c>
      <c r="T125" s="59">
        <f t="shared" si="88"/>
        <v>338.52444384059521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10.340087425249166</v>
      </c>
      <c r="AA125" s="21">
        <f>EXP(-LN(2)/25)*AA124+(1-EXP(-LN(2)/25))/(LN(2)/25)*Calculateur!V125*Calculateur!X125*VLOOKUP('Données projet'!$B$9,Paramètres!$A$1:$I$89,3,0)*0.475*44/12</f>
        <v>1.2923669018662007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11.632454327115367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236.00000000000009</v>
      </c>
      <c r="AJ125" s="13">
        <f>AI125*VLOOKUP('Données projet'!$B$10,Paramètres!$A$1:$I$89,3,0)*VLOOKUP('Données projet'!$B$10,Paramètres!$A$1:$I$89,5,0)</f>
        <v>154.62720000000004</v>
      </c>
      <c r="AK125" s="13">
        <f t="shared" si="89"/>
        <v>39.62826685000794</v>
      </c>
      <c r="AL125" s="20">
        <f t="shared" si="58"/>
        <v>338.32827143043056</v>
      </c>
      <c r="AM125" s="59">
        <f t="shared" si="59"/>
        <v>631.66160476376388</v>
      </c>
      <c r="AN125" s="59">
        <f ca="1">AVERAGE(OFFSET($AM$3,0,0,'Données projet'!$E$10+1,1))-AVERAGE(OFFSET($H$3,0,0,'Données projet'!$E$10+1,1))</f>
        <v>263.30962868541337</v>
      </c>
      <c r="AO125" s="59">
        <f t="shared" si="90"/>
        <v>269.61868559913404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23.388701655230218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23.388701655230218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-2.5006556825246661E-14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181.39264602498668</v>
      </c>
      <c r="T126" s="59">
        <f t="shared" si="88"/>
        <v>338.52444384059521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10.137324617670611</v>
      </c>
      <c r="AA126" s="21">
        <f>EXP(-LN(2)/25)*AA125+(1-EXP(-LN(2)/25))/(LN(2)/25)*Calculateur!V126*Calculateur!X126*VLOOKUP('Données projet'!$B$9,Paramètres!$A$1:$I$89,3,0)*0.475*44/12</f>
        <v>1.2570270609720477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11.394351678642659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236.00000000000009</v>
      </c>
      <c r="AJ126" s="13">
        <f>AI126*VLOOKUP('Données projet'!$B$10,Paramètres!$A$1:$I$89,3,0)*VLOOKUP('Données projet'!$B$10,Paramètres!$A$1:$I$89,5,0)</f>
        <v>154.62720000000004</v>
      </c>
      <c r="AK126" s="13">
        <f t="shared" si="89"/>
        <v>39.62826685000794</v>
      </c>
      <c r="AL126" s="20">
        <f t="shared" si="58"/>
        <v>338.32827143043056</v>
      </c>
      <c r="AM126" s="59">
        <f t="shared" si="59"/>
        <v>631.66160476376388</v>
      </c>
      <c r="AN126" s="59">
        <f ca="1">AVERAGE(OFFSET($AM$3,0,0,'Données projet'!$E$10+1,1))-AVERAGE(OFFSET($H$3,0,0,'Données projet'!$E$10+1,1))</f>
        <v>263.30962868541337</v>
      </c>
      <c r="AO126" s="59">
        <f t="shared" si="90"/>
        <v>269.61868559913404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22.93006348147054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22.93006348147054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-2.5006556825246661E-14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181.39264602498668</v>
      </c>
      <c r="T127" s="59">
        <f t="shared" si="88"/>
        <v>338.52444384059521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9.9385378650755705</v>
      </c>
      <c r="AA127" s="21">
        <f>EXP(-LN(2)/25)*AA126+(1-EXP(-LN(2)/25))/(LN(2)/25)*Calculateur!V127*Calculateur!X127*VLOOKUP('Données projet'!$B$9,Paramètres!$A$1:$I$89,3,0)*0.475*44/12</f>
        <v>1.222653589885587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11.161191454961157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236.00000000000009</v>
      </c>
      <c r="AJ127" s="13">
        <f>AI127*VLOOKUP('Données projet'!$B$10,Paramètres!$A$1:$I$89,3,0)*VLOOKUP('Données projet'!$B$10,Paramètres!$A$1:$I$89,5,0)</f>
        <v>154.62720000000004</v>
      </c>
      <c r="AK127" s="13">
        <f t="shared" si="89"/>
        <v>39.62826685000794</v>
      </c>
      <c r="AL127" s="20">
        <f t="shared" si="58"/>
        <v>338.32827143043056</v>
      </c>
      <c r="AM127" s="59">
        <f t="shared" si="59"/>
        <v>631.66160476376388</v>
      </c>
      <c r="AN127" s="59">
        <f ca="1">AVERAGE(OFFSET($AM$3,0,0,'Données projet'!$E$10+1,1))-AVERAGE(OFFSET($H$3,0,0,'Données projet'!$E$10+1,1))</f>
        <v>263.30962868541337</v>
      </c>
      <c r="AO127" s="59">
        <f t="shared" si="90"/>
        <v>269.61868559913404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22.480418922556627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22.480418922556627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-2.5006556825246661E-14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181.39264602498668</v>
      </c>
      <c r="T128" s="59">
        <f t="shared" si="88"/>
        <v>338.52444384059521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9.7436491994509726</v>
      </c>
      <c r="AA128" s="21">
        <f>EXP(-LN(2)/25)*AA127+(1-EXP(-LN(2)/25))/(LN(2)/25)*Calculateur!V128*Calculateur!X128*VLOOKUP('Données projet'!$B$9,Paramètres!$A$1:$I$89,3,0)*0.475*44/12</f>
        <v>1.1892200631736078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10.93286926262458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236.00000000000009</v>
      </c>
      <c r="AJ128" s="13">
        <f>AI128*VLOOKUP('Données projet'!$B$10,Paramètres!$A$1:$I$89,3,0)*VLOOKUP('Données projet'!$B$10,Paramètres!$A$1:$I$89,5,0)</f>
        <v>154.62720000000004</v>
      </c>
      <c r="AK128" s="13">
        <f t="shared" si="89"/>
        <v>39.62826685000794</v>
      </c>
      <c r="AL128" s="20">
        <f t="shared" si="58"/>
        <v>338.32827143043056</v>
      </c>
      <c r="AM128" s="59">
        <f t="shared" si="59"/>
        <v>631.66160476376388</v>
      </c>
      <c r="AN128" s="59">
        <f ca="1">AVERAGE(OFFSET($AM$3,0,0,'Données projet'!$E$10+1,1))-AVERAGE(OFFSET($H$3,0,0,'Données projet'!$E$10+1,1))</f>
        <v>263.30962868541337</v>
      </c>
      <c r="AO128" s="59">
        <f t="shared" si="90"/>
        <v>269.61868559913404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22.039591619186915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22.039591619186915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-2.5006556825246661E-14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181.39264602498668</v>
      </c>
      <c r="T129" s="59">
        <f t="shared" si="88"/>
        <v>338.52444384059521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9.5525821816889245</v>
      </c>
      <c r="AA129" s="21">
        <f>EXP(-LN(2)/25)*AA128+(1-EXP(-LN(2)/25))/(LN(2)/25)*Calculateur!V129*Calculateur!X129*VLOOKUP('Données projet'!$B$9,Paramètres!$A$1:$I$89,3,0)*0.475*44/12</f>
        <v>1.1567007780077605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10.709282959696685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236.00000000000009</v>
      </c>
      <c r="AJ129" s="13">
        <f>AI129*VLOOKUP('Données projet'!$B$10,Paramètres!$A$1:$I$89,3,0)*VLOOKUP('Données projet'!$B$10,Paramètres!$A$1:$I$89,5,0)</f>
        <v>154.62720000000004</v>
      </c>
      <c r="AK129" s="13">
        <f t="shared" si="89"/>
        <v>39.62826685000794</v>
      </c>
      <c r="AL129" s="20">
        <f t="shared" si="58"/>
        <v>338.32827143043056</v>
      </c>
      <c r="AM129" s="59">
        <f t="shared" si="59"/>
        <v>631.66160476376388</v>
      </c>
      <c r="AN129" s="59">
        <f ca="1">AVERAGE(OFFSET($AM$3,0,0,'Données projet'!$E$10+1,1))-AVERAGE(OFFSET($H$3,0,0,'Données projet'!$E$10+1,1))</f>
        <v>263.30962868541337</v>
      </c>
      <c r="AO129" s="59">
        <f t="shared" si="90"/>
        <v>269.61868559913404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21.607408670358179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21.607408670358179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-2.5006556825246661E-14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181.39264602498668</v>
      </c>
      <c r="T130" s="59">
        <f t="shared" si="88"/>
        <v>338.52444384059521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9.3652618716058171</v>
      </c>
      <c r="AA130" s="21">
        <f>EXP(-LN(2)/25)*AA129+(1-EXP(-LN(2)/25))/(LN(2)/25)*Calculateur!V130*Calculateur!X130*VLOOKUP('Données projet'!$B$9,Paramètres!$A$1:$I$89,3,0)*0.475*44/12</f>
        <v>1.125070734404888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10.490332606010705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236.00000000000009</v>
      </c>
      <c r="AJ130" s="13">
        <f>AI130*VLOOKUP('Données projet'!$B$10,Paramètres!$A$1:$I$89,3,0)*VLOOKUP('Données projet'!$B$10,Paramètres!$A$1:$I$89,5,0)</f>
        <v>154.62720000000004</v>
      </c>
      <c r="AK130" s="13">
        <f t="shared" si="89"/>
        <v>39.62826685000794</v>
      </c>
      <c r="AL130" s="20">
        <f t="shared" si="58"/>
        <v>338.32827143043056</v>
      </c>
      <c r="AM130" s="59">
        <f t="shared" si="59"/>
        <v>631.66160476376388</v>
      </c>
      <c r="AN130" s="59">
        <f ca="1">AVERAGE(OFFSET($AM$3,0,0,'Données projet'!$E$10+1,1))-AVERAGE(OFFSET($H$3,0,0,'Données projet'!$E$10+1,1))</f>
        <v>263.30962868541337</v>
      </c>
      <c r="AO130" s="59">
        <f t="shared" si="90"/>
        <v>269.61868559913404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21.183700565550403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21.183700565550403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-2.5006556825246661E-14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181.39264602498668</v>
      </c>
      <c r="T131" s="59">
        <f t="shared" si="88"/>
        <v>338.52444384059521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9.1816147985493313</v>
      </c>
      <c r="AA131" s="21">
        <f>EXP(-LN(2)/25)*AA130+(1-EXP(-LN(2)/25))/(LN(2)/25)*Calculateur!V131*Calculateur!X131*VLOOKUP('Données projet'!$B$9,Paramètres!$A$1:$I$89,3,0)*0.475*44/12</f>
        <v>1.0943056160076878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10.275920414557019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236.00000000000009</v>
      </c>
      <c r="AJ131" s="13">
        <f>AI131*VLOOKUP('Données projet'!$B$10,Paramètres!$A$1:$I$89,3,0)*VLOOKUP('Données projet'!$B$10,Paramètres!$A$1:$I$89,5,0)</f>
        <v>154.62720000000004</v>
      </c>
      <c r="AK131" s="13">
        <f t="shared" si="89"/>
        <v>39.62826685000794</v>
      </c>
      <c r="AL131" s="20">
        <f t="shared" si="58"/>
        <v>338.32827143043056</v>
      </c>
      <c r="AM131" s="59">
        <f t="shared" si="59"/>
        <v>631.66160476376388</v>
      </c>
      <c r="AN131" s="59">
        <f ca="1">AVERAGE(OFFSET($AM$3,0,0,'Données projet'!$E$10+1,1))-AVERAGE(OFFSET($H$3,0,0,'Données projet'!$E$10+1,1))</f>
        <v>263.30962868541337</v>
      </c>
      <c r="AO131" s="59">
        <f t="shared" si="90"/>
        <v>269.61868559913404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20.768301118241482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20.768301118241482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-2.5006556825246661E-14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181.39264602498668</v>
      </c>
      <c r="T132" s="59">
        <f t="shared" si="88"/>
        <v>338.52444384059521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9.0015689325818293</v>
      </c>
      <c r="AA132" s="21">
        <f>EXP(-LN(2)/25)*AA131+(1-EXP(-LN(2)/25))/(LN(2)/25)*Calculateur!V132*Calculateur!X132*VLOOKUP('Données projet'!$B$9,Paramètres!$A$1:$I$89,3,0)*0.475*44/12</f>
        <v>1.0643817713909263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10.065950703972756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236.00000000000009</v>
      </c>
      <c r="AJ132" s="13">
        <f>AI132*VLOOKUP('Données projet'!$B$10,Paramètres!$A$1:$I$89,3,0)*VLOOKUP('Données projet'!$B$10,Paramètres!$A$1:$I$89,5,0)</f>
        <v>154.62720000000004</v>
      </c>
      <c r="AK132" s="13">
        <f t="shared" si="89"/>
        <v>39.62826685000794</v>
      </c>
      <c r="AL132" s="20">
        <f t="shared" ref="AL132:AL153" si="112">(AJ132+AK132)*0.475*44/12</f>
        <v>338.32827143043056</v>
      </c>
      <c r="AM132" s="59">
        <f t="shared" ref="AM132:AM195" si="113">AL132+(AD132+AE132)*44/12</f>
        <v>631.66160476376388</v>
      </c>
      <c r="AN132" s="59">
        <f ca="1">AVERAGE(OFFSET($AM$3,0,0,'Données projet'!$E$10+1,1))-AVERAGE(OFFSET($H$3,0,0,'Données projet'!$E$10+1,1))</f>
        <v>263.30962868541337</v>
      </c>
      <c r="AO132" s="59">
        <f t="shared" si="90"/>
        <v>269.61868559913404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20.361047400725646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20.361047400725646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-2.5006556825246661E-14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181.39264602498668</v>
      </c>
      <c r="T133" s="59">
        <f t="shared" ref="T133:T196" si="142">$T$3</f>
        <v>338.52444384059521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8.8250536562288158</v>
      </c>
      <c r="AA133" s="21">
        <f>EXP(-LN(2)/25)*AA132+(1-EXP(-LN(2)/25))/(LN(2)/25)*Calculateur!V133*Calculateur!X133*VLOOKUP('Données projet'!$B$9,Paramètres!$A$1:$I$89,3,0)*0.475*44/12</f>
        <v>1.0352761958788368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9.8603298521076521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236.00000000000009</v>
      </c>
      <c r="AJ133" s="13">
        <f>AI133*VLOOKUP('Données projet'!$B$10,Paramètres!$A$1:$I$89,3,0)*VLOOKUP('Données projet'!$B$10,Paramètres!$A$1:$I$89,5,0)</f>
        <v>154.62720000000004</v>
      </c>
      <c r="AK133" s="13">
        <f t="shared" ref="AK133:AK153" si="143">EXP(-1.0587+0.8836*LN(AJ133)+0.284)</f>
        <v>39.62826685000794</v>
      </c>
      <c r="AL133" s="20">
        <f t="shared" si="112"/>
        <v>338.32827143043056</v>
      </c>
      <c r="AM133" s="59">
        <f t="shared" si="113"/>
        <v>631.66160476376388</v>
      </c>
      <c r="AN133" s="59">
        <f ca="1">AVERAGE(OFFSET($AM$3,0,0,'Données projet'!$E$10+1,1))-AVERAGE(OFFSET($H$3,0,0,'Données projet'!$E$10+1,1))</f>
        <v>263.30962868541337</v>
      </c>
      <c r="AO133" s="59">
        <f t="shared" ref="AO133:AO196" si="144">$AO$3</f>
        <v>269.61868559913404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19.961779680210054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19.961779680210054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-2.5006556825246661E-14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181.39264602498668</v>
      </c>
      <c r="T134" s="59">
        <f t="shared" si="142"/>
        <v>338.52444384059521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8.6519997367813968</v>
      </c>
      <c r="AA134" s="21">
        <f>EXP(-LN(2)/25)*AA133+(1-EXP(-LN(2)/25))/(LN(2)/25)*Calculateur!V134*Calculateur!X134*VLOOKUP('Données projet'!$B$9,Paramètres!$A$1:$I$89,3,0)*0.475*44/12</f>
        <v>1.006966513859721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9.658966250641118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236.00000000000009</v>
      </c>
      <c r="AJ134" s="13">
        <f>AI134*VLOOKUP('Données projet'!$B$10,Paramètres!$A$1:$I$89,3,0)*VLOOKUP('Données projet'!$B$10,Paramètres!$A$1:$I$89,5,0)</f>
        <v>154.62720000000004</v>
      </c>
      <c r="AK134" s="13">
        <f t="shared" si="143"/>
        <v>39.62826685000794</v>
      </c>
      <c r="AL134" s="20">
        <f t="shared" si="112"/>
        <v>338.32827143043056</v>
      </c>
      <c r="AM134" s="59">
        <f t="shared" si="113"/>
        <v>631.66160476376388</v>
      </c>
      <c r="AN134" s="59">
        <f ca="1">AVERAGE(OFFSET($AM$3,0,0,'Données projet'!$E$10+1,1))-AVERAGE(OFFSET($H$3,0,0,'Données projet'!$E$10+1,1))</f>
        <v>263.30962868541337</v>
      </c>
      <c r="AO134" s="59">
        <f t="shared" si="144"/>
        <v>269.61868559913404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19.570341356164509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19.570341356164509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-2.5006556825246661E-14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181.39264602498668</v>
      </c>
      <c r="T135" s="59">
        <f t="shared" si="142"/>
        <v>338.52444384059521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8.4823392991418736</v>
      </c>
      <c r="AA135" s="21">
        <f>EXP(-LN(2)/25)*AA134+(1-EXP(-LN(2)/25))/(LN(2)/25)*Calculateur!V135*Calculateur!X135*VLOOKUP('Données projet'!$B$9,Paramètres!$A$1:$I$89,3,0)*0.475*44/12</f>
        <v>0.97943096158415943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9.4617702607260323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236.00000000000009</v>
      </c>
      <c r="AJ135" s="13">
        <f>AI135*VLOOKUP('Données projet'!$B$10,Paramètres!$A$1:$I$89,3,0)*VLOOKUP('Données projet'!$B$10,Paramètres!$A$1:$I$89,5,0)</f>
        <v>154.62720000000004</v>
      </c>
      <c r="AK135" s="13">
        <f t="shared" si="143"/>
        <v>39.62826685000794</v>
      </c>
      <c r="AL135" s="20">
        <f t="shared" si="112"/>
        <v>338.32827143043056</v>
      </c>
      <c r="AM135" s="59">
        <f t="shared" si="113"/>
        <v>631.66160476376388</v>
      </c>
      <c r="AN135" s="59">
        <f ca="1">AVERAGE(OFFSET($AM$3,0,0,'Données projet'!$E$10+1,1))-AVERAGE(OFFSET($H$3,0,0,'Données projet'!$E$10+1,1))</f>
        <v>263.30962868541337</v>
      </c>
      <c r="AO135" s="59">
        <f t="shared" si="144"/>
        <v>269.61868559913404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19.186578898899697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19.186578898899697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-2.5006556825246661E-14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181.39264602498668</v>
      </c>
      <c r="T136" s="59">
        <f t="shared" si="142"/>
        <v>338.52444384059521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8.316005799201811</v>
      </c>
      <c r="AA136" s="21">
        <f>EXP(-LN(2)/25)*AA135+(1-EXP(-LN(2)/25))/(LN(2)/25)*Calculateur!V136*Calculateur!X136*VLOOKUP('Données projet'!$B$9,Paramètres!$A$1:$I$89,3,0)*0.475*44/12</f>
        <v>0.95264837043360484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9.2686541696354166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236.00000000000009</v>
      </c>
      <c r="AJ136" s="13">
        <f>AI136*VLOOKUP('Données projet'!$B$10,Paramètres!$A$1:$I$89,3,0)*VLOOKUP('Données projet'!$B$10,Paramètres!$A$1:$I$89,5,0)</f>
        <v>154.62720000000004</v>
      </c>
      <c r="AK136" s="13">
        <f t="shared" si="143"/>
        <v>39.62826685000794</v>
      </c>
      <c r="AL136" s="20">
        <f t="shared" si="112"/>
        <v>338.32827143043056</v>
      </c>
      <c r="AM136" s="59">
        <f t="shared" si="113"/>
        <v>631.66160476376388</v>
      </c>
      <c r="AN136" s="59">
        <f ca="1">AVERAGE(OFFSET($AM$3,0,0,'Données projet'!$E$10+1,1))-AVERAGE(OFFSET($H$3,0,0,'Données projet'!$E$10+1,1))</f>
        <v>263.30962868541337</v>
      </c>
      <c r="AO136" s="59">
        <f t="shared" si="144"/>
        <v>269.61868559913404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18.810341789349859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18.810341789349859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-2.5006556825246661E-14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181.39264602498668</v>
      </c>
      <c r="T137" s="59">
        <f t="shared" si="142"/>
        <v>338.52444384059521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8.1529339977421564</v>
      </c>
      <c r="AA137" s="21">
        <f>EXP(-LN(2)/25)*AA136+(1-EXP(-LN(2)/25))/(LN(2)/25)*Calculateur!V137*Calculateur!X137*VLOOKUP('Données projet'!$B$9,Paramètres!$A$1:$I$89,3,0)*0.475*44/12</f>
        <v>0.92659815064649742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9.0795321483886546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236.00000000000009</v>
      </c>
      <c r="AJ137" s="13">
        <f>AI137*VLOOKUP('Données projet'!$B$10,Paramètres!$A$1:$I$89,3,0)*VLOOKUP('Données projet'!$B$10,Paramètres!$A$1:$I$89,5,0)</f>
        <v>154.62720000000004</v>
      </c>
      <c r="AK137" s="13">
        <f t="shared" si="143"/>
        <v>39.62826685000794</v>
      </c>
      <c r="AL137" s="20">
        <f t="shared" si="112"/>
        <v>338.32827143043056</v>
      </c>
      <c r="AM137" s="59">
        <f t="shared" si="113"/>
        <v>631.66160476376388</v>
      </c>
      <c r="AN137" s="59">
        <f ca="1">AVERAGE(OFFSET($AM$3,0,0,'Données projet'!$E$10+1,1))-AVERAGE(OFFSET($H$3,0,0,'Données projet'!$E$10+1,1))</f>
        <v>263.30962868541337</v>
      </c>
      <c r="AO137" s="59">
        <f t="shared" si="144"/>
        <v>269.61868559913404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18.441482460036319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18.441482460036319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-2.5006556825246661E-14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181.39264602498668</v>
      </c>
      <c r="T138" s="59">
        <f t="shared" si="142"/>
        <v>338.52444384059521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7.9930599348451485</v>
      </c>
      <c r="AA138" s="21">
        <f>EXP(-LN(2)/25)*AA137+(1-EXP(-LN(2)/25))/(LN(2)/25)*Calculateur!V138*Calculateur!X138*VLOOKUP('Données projet'!$B$9,Paramètres!$A$1:$I$89,3,0)*0.475*44/12</f>
        <v>0.90126027548939003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8.8943202103345378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236.00000000000009</v>
      </c>
      <c r="AJ138" s="13">
        <f>AI138*VLOOKUP('Données projet'!$B$10,Paramètres!$A$1:$I$89,3,0)*VLOOKUP('Données projet'!$B$10,Paramètres!$A$1:$I$89,5,0)</f>
        <v>154.62720000000004</v>
      </c>
      <c r="AK138" s="13">
        <f t="shared" si="143"/>
        <v>39.62826685000794</v>
      </c>
      <c r="AL138" s="20">
        <f t="shared" si="112"/>
        <v>338.32827143043056</v>
      </c>
      <c r="AM138" s="59">
        <f t="shared" si="113"/>
        <v>631.66160476376388</v>
      </c>
      <c r="AN138" s="59">
        <f ca="1">AVERAGE(OFFSET($AM$3,0,0,'Données projet'!$E$10+1,1))-AVERAGE(OFFSET($H$3,0,0,'Données projet'!$E$10+1,1))</f>
        <v>263.30962868541337</v>
      </c>
      <c r="AO138" s="59">
        <f t="shared" si="144"/>
        <v>269.61868559913404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18.07985623718864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18.07985623718864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-2.5006556825246661E-14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181.39264602498668</v>
      </c>
      <c r="T139" s="59">
        <f t="shared" si="142"/>
        <v>338.52444384059521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7.8363209048080007</v>
      </c>
      <c r="AA139" s="21">
        <f>EXP(-LN(2)/25)*AA138+(1-EXP(-LN(2)/25))/(LN(2)/25)*Calculateur!V139*Calculateur!X139*VLOOKUP('Données projet'!$B$9,Paramètres!$A$1:$I$89,3,0)*0.475*44/12</f>
        <v>0.87661526586091465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8.7129361706689146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236.00000000000009</v>
      </c>
      <c r="AJ139" s="13">
        <f>AI139*VLOOKUP('Données projet'!$B$10,Paramètres!$A$1:$I$89,3,0)*VLOOKUP('Données projet'!$B$10,Paramètres!$A$1:$I$89,5,0)</f>
        <v>154.62720000000004</v>
      </c>
      <c r="AK139" s="13">
        <f t="shared" si="143"/>
        <v>39.62826685000794</v>
      </c>
      <c r="AL139" s="20">
        <f t="shared" si="112"/>
        <v>338.32827143043056</v>
      </c>
      <c r="AM139" s="59">
        <f t="shared" si="113"/>
        <v>631.66160476376388</v>
      </c>
      <c r="AN139" s="59">
        <f ca="1">AVERAGE(OFFSET($AM$3,0,0,'Données projet'!$E$10+1,1))-AVERAGE(OFFSET($H$3,0,0,'Données projet'!$E$10+1,1))</f>
        <v>263.30962868541337</v>
      </c>
      <c r="AO139" s="59">
        <f t="shared" si="144"/>
        <v>269.61868559913404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17.725321284000788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17.725321284000788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-2.5006556825246661E-14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181.39264602498668</v>
      </c>
      <c r="T140" s="59">
        <f t="shared" si="142"/>
        <v>338.52444384059521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7.6826554315485129</v>
      </c>
      <c r="AA140" s="21">
        <f>EXP(-LN(2)/25)*AA139+(1-EXP(-LN(2)/25))/(LN(2)/25)*Calculateur!V140*Calculateur!X140*VLOOKUP('Données projet'!$B$9,Paramètres!$A$1:$I$89,3,0)*0.475*44/12</f>
        <v>0.85264417531675463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8.5352996068652676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236.00000000000009</v>
      </c>
      <c r="AJ140" s="13">
        <f>AI140*VLOOKUP('Données projet'!$B$10,Paramètres!$A$1:$I$89,3,0)*VLOOKUP('Données projet'!$B$10,Paramètres!$A$1:$I$89,5,0)</f>
        <v>154.62720000000004</v>
      </c>
      <c r="AK140" s="13">
        <f t="shared" si="143"/>
        <v>39.62826685000794</v>
      </c>
      <c r="AL140" s="20">
        <f t="shared" si="112"/>
        <v>338.32827143043056</v>
      </c>
      <c r="AM140" s="59">
        <f t="shared" si="113"/>
        <v>631.66160476376388</v>
      </c>
      <c r="AN140" s="59">
        <f ca="1">AVERAGE(OFFSET($AM$3,0,0,'Données projet'!$E$10+1,1))-AVERAGE(OFFSET($H$3,0,0,'Données projet'!$E$10+1,1))</f>
        <v>263.30962868541337</v>
      </c>
      <c r="AO140" s="59">
        <f t="shared" si="144"/>
        <v>269.61868559913404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17.377738544999982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17.377738544999982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-2.5006556825246661E-14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181.39264602498668</v>
      </c>
      <c r="T141" s="59">
        <f t="shared" si="142"/>
        <v>338.52444384059521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7.5320032444929597</v>
      </c>
      <c r="AA141" s="21">
        <f>EXP(-LN(2)/25)*AA140+(1-EXP(-LN(2)/25))/(LN(2)/25)*Calculateur!V141*Calculateur!X141*VLOOKUP('Données projet'!$B$9,Paramètres!$A$1:$I$89,3,0)*0.475*44/12</f>
        <v>0.82932857550410954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8.3613318199970692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236.00000000000009</v>
      </c>
      <c r="AJ141" s="13">
        <f>AI141*VLOOKUP('Données projet'!$B$10,Paramètres!$A$1:$I$89,3,0)*VLOOKUP('Données projet'!$B$10,Paramètres!$A$1:$I$89,5,0)</f>
        <v>154.62720000000004</v>
      </c>
      <c r="AK141" s="13">
        <f t="shared" si="143"/>
        <v>39.62826685000794</v>
      </c>
      <c r="AL141" s="20">
        <f t="shared" si="112"/>
        <v>338.32827143043056</v>
      </c>
      <c r="AM141" s="59">
        <f t="shared" si="113"/>
        <v>631.66160476376388</v>
      </c>
      <c r="AN141" s="59">
        <f ca="1">AVERAGE(OFFSET($AM$3,0,0,'Données projet'!$E$10+1,1))-AVERAGE(OFFSET($H$3,0,0,'Données projet'!$E$10+1,1))</f>
        <v>263.30962868541337</v>
      </c>
      <c r="AO141" s="59">
        <f t="shared" si="144"/>
        <v>269.61868559913404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17.036971691506444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17.036971691506444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-2.5006556825246661E-14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181.39264602498668</v>
      </c>
      <c r="T142" s="59">
        <f t="shared" si="142"/>
        <v>338.52444384059521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7.3843052549368053</v>
      </c>
      <c r="AA142" s="21">
        <f>EXP(-LN(2)/25)*AA141+(1-EXP(-LN(2)/25))/(LN(2)/25)*Calculateur!V142*Calculateur!X142*VLOOKUP('Données projet'!$B$9,Paramètres!$A$1:$I$89,3,0)*0.475*44/12</f>
        <v>0.80665054199445529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8.1909557969312612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236.00000000000009</v>
      </c>
      <c r="AJ142" s="13">
        <f>AI142*VLOOKUP('Données projet'!$B$10,Paramètres!$A$1:$I$89,3,0)*VLOOKUP('Données projet'!$B$10,Paramètres!$A$1:$I$89,5,0)</f>
        <v>154.62720000000004</v>
      </c>
      <c r="AK142" s="13">
        <f t="shared" si="143"/>
        <v>39.62826685000794</v>
      </c>
      <c r="AL142" s="20">
        <f t="shared" si="112"/>
        <v>338.32827143043056</v>
      </c>
      <c r="AM142" s="59">
        <f t="shared" si="113"/>
        <v>631.66160476376388</v>
      </c>
      <c r="AN142" s="59">
        <f ca="1">AVERAGE(OFFSET($AM$3,0,0,'Données projet'!$E$10+1,1))-AVERAGE(OFFSET($H$3,0,0,'Données projet'!$E$10+1,1))</f>
        <v>263.30962868541337</v>
      </c>
      <c r="AO142" s="59">
        <f t="shared" si="144"/>
        <v>269.61868559913404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16.702887068162656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16.702887068162656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-2.5006556825246661E-14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181.39264602498668</v>
      </c>
      <c r="T143" s="59">
        <f t="shared" si="142"/>
        <v>338.52444384059521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7.2395035328689685</v>
      </c>
      <c r="AA143" s="21">
        <f>EXP(-LN(2)/25)*AA142+(1-EXP(-LN(2)/25))/(LN(2)/25)*Calculateur!V143*Calculateur!X143*VLOOKUP('Données projet'!$B$9,Paramètres!$A$1:$I$89,3,0)*0.475*44/12</f>
        <v>0.78459264050370858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8.0240961733726763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236.00000000000009</v>
      </c>
      <c r="AJ143" s="13">
        <f>AI143*VLOOKUP('Données projet'!$B$10,Paramètres!$A$1:$I$89,3,0)*VLOOKUP('Données projet'!$B$10,Paramètres!$A$1:$I$89,5,0)</f>
        <v>154.62720000000004</v>
      </c>
      <c r="AK143" s="13">
        <f t="shared" si="143"/>
        <v>39.62826685000794</v>
      </c>
      <c r="AL143" s="20">
        <f t="shared" si="112"/>
        <v>338.32827143043056</v>
      </c>
      <c r="AM143" s="59">
        <f t="shared" si="113"/>
        <v>631.66160476376388</v>
      </c>
      <c r="AN143" s="59">
        <f ca="1">AVERAGE(OFFSET($AM$3,0,0,'Données projet'!$E$10+1,1))-AVERAGE(OFFSET($H$3,0,0,'Données projet'!$E$10+1,1))</f>
        <v>263.30962868541337</v>
      </c>
      <c r="AO143" s="59">
        <f t="shared" si="144"/>
        <v>269.61868559913404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16.37535364051114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16.37535364051114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-2.5006556825246661E-14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181.39264602498668</v>
      </c>
      <c r="T144" s="59">
        <f t="shared" si="142"/>
        <v>338.52444384059521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7.0975412842505525</v>
      </c>
      <c r="AA144" s="21">
        <f>EXP(-LN(2)/25)*AA143+(1-EXP(-LN(2)/25))/(LN(2)/25)*Calculateur!V144*Calculateur!X144*VLOOKUP('Données projet'!$B$9,Paramètres!$A$1:$I$89,3,0)*0.475*44/12</f>
        <v>0.7631379134892009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7.8606791977397537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236.00000000000009</v>
      </c>
      <c r="AJ144" s="13">
        <f>AI144*VLOOKUP('Données projet'!$B$10,Paramètres!$A$1:$I$89,3,0)*VLOOKUP('Données projet'!$B$10,Paramètres!$A$1:$I$89,5,0)</f>
        <v>154.62720000000004</v>
      </c>
      <c r="AK144" s="13">
        <f t="shared" si="143"/>
        <v>39.62826685000794</v>
      </c>
      <c r="AL144" s="20">
        <f t="shared" si="112"/>
        <v>338.32827143043056</v>
      </c>
      <c r="AM144" s="59">
        <f t="shared" si="113"/>
        <v>631.66160476376388</v>
      </c>
      <c r="AN144" s="59">
        <f ca="1">AVERAGE(OFFSET($AM$3,0,0,'Données projet'!$E$10+1,1))-AVERAGE(OFFSET($H$3,0,0,'Données projet'!$E$10+1,1))</f>
        <v>263.30962868541337</v>
      </c>
      <c r="AO144" s="59">
        <f t="shared" si="144"/>
        <v>269.61868559913404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16.054242943600205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16.054242943600205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-2.5006556825246661E-14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181.39264602498668</v>
      </c>
      <c r="T145" s="59">
        <f t="shared" si="142"/>
        <v>338.52444384059521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6.9583628287391219</v>
      </c>
      <c r="AA145" s="21">
        <f>EXP(-LN(2)/25)*AA144+(1-EXP(-LN(2)/25))/(LN(2)/25)*Calculateur!V145*Calculateur!X145*VLOOKUP('Données projet'!$B$9,Paramètres!$A$1:$I$89,3,0)*0.475*44/12</f>
        <v>0.74226986711316001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7.7006326958522822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236.00000000000009</v>
      </c>
      <c r="AJ145" s="13">
        <f>AI145*VLOOKUP('Données projet'!$B$10,Paramètres!$A$1:$I$89,3,0)*VLOOKUP('Données projet'!$B$10,Paramètres!$A$1:$I$89,5,0)</f>
        <v>154.62720000000004</v>
      </c>
      <c r="AK145" s="13">
        <f t="shared" si="143"/>
        <v>39.62826685000794</v>
      </c>
      <c r="AL145" s="20">
        <f t="shared" si="112"/>
        <v>338.32827143043056</v>
      </c>
      <c r="AM145" s="59">
        <f t="shared" si="113"/>
        <v>631.66160476376388</v>
      </c>
      <c r="AN145" s="59">
        <f ca="1">AVERAGE(OFFSET($AM$3,0,0,'Données projet'!$E$10+1,1))-AVERAGE(OFFSET($H$3,0,0,'Données projet'!$E$10+1,1))</f>
        <v>263.30962868541337</v>
      </c>
      <c r="AO145" s="59">
        <f t="shared" si="144"/>
        <v>269.61868559913404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15.739429031597508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15.739429031597508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-2.5006556825246661E-14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181.39264602498668</v>
      </c>
      <c r="T146" s="59">
        <f t="shared" si="142"/>
        <v>338.52444384059521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6.821913577849795</v>
      </c>
      <c r="AA146" s="21">
        <f>EXP(-LN(2)/25)*AA145+(1-EXP(-LN(2)/25))/(LN(2)/25)*Calculateur!V146*Calculateur!X146*VLOOKUP('Données projet'!$B$9,Paramètres!$A$1:$I$89,3,0)*0.475*44/12</f>
        <v>0.72197245856267478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7.54388603641247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236.00000000000009</v>
      </c>
      <c r="AJ146" s="13">
        <f>AI146*VLOOKUP('Données projet'!$B$10,Paramètres!$A$1:$I$89,3,0)*VLOOKUP('Données projet'!$B$10,Paramètres!$A$1:$I$89,5,0)</f>
        <v>154.62720000000004</v>
      </c>
      <c r="AK146" s="13">
        <f t="shared" si="143"/>
        <v>39.62826685000794</v>
      </c>
      <c r="AL146" s="20">
        <f t="shared" si="112"/>
        <v>338.32827143043056</v>
      </c>
      <c r="AM146" s="59">
        <f t="shared" si="113"/>
        <v>631.66160476376388</v>
      </c>
      <c r="AN146" s="59">
        <f ca="1">AVERAGE(OFFSET($AM$3,0,0,'Données projet'!$E$10+1,1))-AVERAGE(OFFSET($H$3,0,0,'Données projet'!$E$10+1,1))</f>
        <v>263.30962868541337</v>
      </c>
      <c r="AO146" s="59">
        <f t="shared" si="144"/>
        <v>269.61868559913404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15.430788428391658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15.430788428391658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-2.5006556825246661E-14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181.39264602498668</v>
      </c>
      <c r="T147" s="59">
        <f t="shared" si="142"/>
        <v>338.52444384059521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6.688140013544583</v>
      </c>
      <c r="AA147" s="21">
        <f>EXP(-LN(2)/25)*AA146+(1-EXP(-LN(2)/25))/(LN(2)/25)*Calculateur!V147*Calculateur!X147*VLOOKUP('Données projet'!$B$9,Paramètres!$A$1:$I$89,3,0)*0.475*44/12</f>
        <v>0.70223008371639695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7.3903700972609796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236.00000000000009</v>
      </c>
      <c r="AJ147" s="13">
        <f>AI147*VLOOKUP('Données projet'!$B$10,Paramètres!$A$1:$I$89,3,0)*VLOOKUP('Données projet'!$B$10,Paramètres!$A$1:$I$89,5,0)</f>
        <v>154.62720000000004</v>
      </c>
      <c r="AK147" s="13">
        <f t="shared" si="143"/>
        <v>39.62826685000794</v>
      </c>
      <c r="AL147" s="20">
        <f t="shared" si="112"/>
        <v>338.32827143043056</v>
      </c>
      <c r="AM147" s="59">
        <f t="shared" si="113"/>
        <v>631.66160476376388</v>
      </c>
      <c r="AN147" s="59">
        <f ca="1">AVERAGE(OFFSET($AM$3,0,0,'Données projet'!$E$10+1,1))-AVERAGE(OFFSET($H$3,0,0,'Données projet'!$E$10+1,1))</f>
        <v>263.30962868541337</v>
      </c>
      <c r="AO147" s="59">
        <f t="shared" si="144"/>
        <v>269.61868559913404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15.128200079162495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15.128200079162495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-2.5006556825246661E-14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181.39264602498668</v>
      </c>
      <c r="T148" s="59">
        <f t="shared" si="142"/>
        <v>338.52444384059521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6.5569896672415782</v>
      </c>
      <c r="AA148" s="21">
        <f>EXP(-LN(2)/25)*AA147+(1-EXP(-LN(2)/25))/(LN(2)/25)*Calculateur!V148*Calculateur!X148*VLOOKUP('Données projet'!$B$9,Paramètres!$A$1:$I$89,3,0)*0.475*44/12</f>
        <v>0.68302756514849694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7.2400172323900751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236.00000000000009</v>
      </c>
      <c r="AJ148" s="13">
        <f>AI148*VLOOKUP('Données projet'!$B$10,Paramètres!$A$1:$I$89,3,0)*VLOOKUP('Données projet'!$B$10,Paramètres!$A$1:$I$89,5,0)</f>
        <v>154.62720000000004</v>
      </c>
      <c r="AK148" s="13">
        <f t="shared" si="143"/>
        <v>39.62826685000794</v>
      </c>
      <c r="AL148" s="20">
        <f t="shared" si="112"/>
        <v>338.32827143043056</v>
      </c>
      <c r="AM148" s="59">
        <f t="shared" si="113"/>
        <v>631.66160476376388</v>
      </c>
      <c r="AN148" s="59">
        <f ca="1">AVERAGE(OFFSET($AM$3,0,0,'Données projet'!$E$10+1,1))-AVERAGE(OFFSET($H$3,0,0,'Données projet'!$E$10+1,1))</f>
        <v>263.30962868541337</v>
      </c>
      <c r="AO148" s="59">
        <f t="shared" si="144"/>
        <v>269.61868559913404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14.831545302901047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14.831545302901047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-2.5006556825246661E-14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181.39264602498668</v>
      </c>
      <c r="T149" s="59">
        <f t="shared" si="142"/>
        <v>338.52444384059521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6.4284110992357633</v>
      </c>
      <c r="AA149" s="21">
        <f>EXP(-LN(2)/25)*AA148+(1-EXP(-LN(2)/25))/(LN(2)/25)*Calculateur!V149*Calculateur!X149*VLOOKUP('Données projet'!$B$9,Paramètres!$A$1:$I$89,3,0)*0.475*44/12</f>
        <v>0.66435014046065277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7.0927612396964159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236.00000000000009</v>
      </c>
      <c r="AJ149" s="13">
        <f>AI149*VLOOKUP('Données projet'!$B$10,Paramètres!$A$1:$I$89,3,0)*VLOOKUP('Données projet'!$B$10,Paramètres!$A$1:$I$89,5,0)</f>
        <v>154.62720000000004</v>
      </c>
      <c r="AK149" s="13">
        <f t="shared" si="143"/>
        <v>39.62826685000794</v>
      </c>
      <c r="AL149" s="20">
        <f t="shared" si="112"/>
        <v>338.32827143043056</v>
      </c>
      <c r="AM149" s="59">
        <f t="shared" si="113"/>
        <v>631.66160476376388</v>
      </c>
      <c r="AN149" s="59">
        <f ca="1">AVERAGE(OFFSET($AM$3,0,0,'Données projet'!$E$10+1,1))-AVERAGE(OFFSET($H$3,0,0,'Données projet'!$E$10+1,1))</f>
        <v>263.30962868541337</v>
      </c>
      <c r="AO149" s="59">
        <f t="shared" si="144"/>
        <v>269.61868559913404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14.540707745860539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14.540707745860539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-2.5006556825246661E-14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181.39264602498668</v>
      </c>
      <c r="T150" s="59">
        <f t="shared" si="142"/>
        <v>338.52444384059521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6.302353878523359</v>
      </c>
      <c r="AA150" s="21">
        <f>EXP(-LN(2)/25)*AA149+(1-EXP(-LN(2)/25))/(LN(2)/25)*Calculateur!V150*Calculateur!X150*VLOOKUP('Données projet'!$B$9,Paramètres!$A$1:$I$89,3,0)*0.475*44/12</f>
        <v>0.6461834509331007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6.9485373294564594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236.00000000000009</v>
      </c>
      <c r="AJ150" s="13">
        <f>AI150*VLOOKUP('Données projet'!$B$10,Paramètres!$A$1:$I$89,3,0)*VLOOKUP('Données projet'!$B$10,Paramètres!$A$1:$I$89,5,0)</f>
        <v>154.62720000000004</v>
      </c>
      <c r="AK150" s="13">
        <f t="shared" si="143"/>
        <v>39.62826685000794</v>
      </c>
      <c r="AL150" s="20">
        <f t="shared" si="112"/>
        <v>338.32827143043056</v>
      </c>
      <c r="AM150" s="59">
        <f t="shared" si="113"/>
        <v>631.66160476376388</v>
      </c>
      <c r="AN150" s="59">
        <f ca="1">AVERAGE(OFFSET($AM$3,0,0,'Données projet'!$E$10+1,1))-AVERAGE(OFFSET($H$3,0,0,'Données projet'!$E$10+1,1))</f>
        <v>263.30962868541337</v>
      </c>
      <c r="AO150" s="59">
        <f t="shared" si="144"/>
        <v>269.61868559913404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14.255573335920202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14.255573335920202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-2.5006556825246661E-14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181.39264602498668</v>
      </c>
      <c r="T151" s="59">
        <f t="shared" si="142"/>
        <v>338.52444384059521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6.178768563021813</v>
      </c>
      <c r="AA151" s="21">
        <f>EXP(-LN(2)/25)*AA150+(1-EXP(-LN(2)/25))/(LN(2)/25)*Calculateur!V151*Calculateur!X151*VLOOKUP('Données projet'!$B$9,Paramètres!$A$1:$I$89,3,0)*0.475*44/12</f>
        <v>0.62851353048602421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6.8072820935078369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236.00000000000009</v>
      </c>
      <c r="AJ151" s="13">
        <f>AI151*VLOOKUP('Données projet'!$B$10,Paramètres!$A$1:$I$89,3,0)*VLOOKUP('Données projet'!$B$10,Paramètres!$A$1:$I$89,5,0)</f>
        <v>154.62720000000004</v>
      </c>
      <c r="AK151" s="13">
        <f t="shared" si="143"/>
        <v>39.62826685000794</v>
      </c>
      <c r="AL151" s="20">
        <f t="shared" si="112"/>
        <v>338.32827143043056</v>
      </c>
      <c r="AM151" s="59">
        <f t="shared" si="113"/>
        <v>631.66160476376388</v>
      </c>
      <c r="AN151" s="59">
        <f ca="1">AVERAGE(OFFSET($AM$3,0,0,'Données projet'!$E$10+1,1))-AVERAGE(OFFSET($H$3,0,0,'Données projet'!$E$10+1,1))</f>
        <v>263.30962868541337</v>
      </c>
      <c r="AO151" s="59">
        <f t="shared" si="144"/>
        <v>269.61868559913404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13.976030237843977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13.976030237843977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-2.5006556825246661E-14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181.39264602498668</v>
      </c>
      <c r="T152" s="59">
        <f t="shared" si="142"/>
        <v>338.52444384059521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6.0576066801776527</v>
      </c>
      <c r="AA152" s="21">
        <f>EXP(-LN(2)/25)*AA151+(1-EXP(-LN(2)/25))/(LN(2)/25)*Calculateur!V152*Calculateur!X152*VLOOKUP('Données projet'!$B$9,Paramètres!$A$1:$I$89,3,0)*0.475*44/12</f>
        <v>0.61132679494279385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6.668933475120447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236.00000000000009</v>
      </c>
      <c r="AJ152" s="13">
        <f>AI152*VLOOKUP('Données projet'!$B$10,Paramètres!$A$1:$I$89,3,0)*VLOOKUP('Données projet'!$B$10,Paramètres!$A$1:$I$89,5,0)</f>
        <v>154.62720000000004</v>
      </c>
      <c r="AK152" s="13">
        <f t="shared" si="143"/>
        <v>39.62826685000794</v>
      </c>
      <c r="AL152" s="20">
        <f t="shared" si="112"/>
        <v>338.32827143043056</v>
      </c>
      <c r="AM152" s="59">
        <f t="shared" si="113"/>
        <v>631.66160476376388</v>
      </c>
      <c r="AN152" s="59">
        <f ca="1">AVERAGE(OFFSET($AM$3,0,0,'Données projet'!$E$10+1,1))-AVERAGE(OFFSET($H$3,0,0,'Données projet'!$E$10+1,1))</f>
        <v>263.30962868541337</v>
      </c>
      <c r="AO152" s="59">
        <f t="shared" si="144"/>
        <v>269.61868559913404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13.701968809416574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13.701968809416574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-2.5006556825246661E-14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181.39264602498668</v>
      </c>
      <c r="T153" s="59">
        <f t="shared" si="142"/>
        <v>338.52444384059521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5.9388207079546147</v>
      </c>
      <c r="AA153" s="21">
        <f>EXP(-LN(2)/25)*AA152+(1-EXP(-LN(2)/25))/(LN(2)/25)*Calculateur!V153*Calculateur!X153*VLOOKUP('Données projet'!$B$9,Paramètres!$A$1:$I$89,3,0)*0.475*44/12</f>
        <v>0.59461003158680426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6.5334307395414193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236.00000000000009</v>
      </c>
      <c r="AJ153" s="13">
        <f>AI153*VLOOKUP('Données projet'!$B$10,Paramètres!$A$1:$I$89,3,0)*VLOOKUP('Données projet'!$B$10,Paramètres!$A$1:$I$89,5,0)</f>
        <v>154.62720000000004</v>
      </c>
      <c r="AK153" s="13">
        <f t="shared" si="143"/>
        <v>39.62826685000794</v>
      </c>
      <c r="AL153" s="20">
        <f t="shared" si="112"/>
        <v>338.32827143043056</v>
      </c>
      <c r="AM153" s="59">
        <f t="shared" si="113"/>
        <v>631.66160476376388</v>
      </c>
      <c r="AN153" s="59">
        <f ca="1">AVERAGE(OFFSET($AM$3,0,0,'Données projet'!$E$10+1,1))-AVERAGE(OFFSET($H$3,0,0,'Données projet'!$E$10+1,1))</f>
        <v>263.30962868541337</v>
      </c>
      <c r="AO153" s="59">
        <f t="shared" si="144"/>
        <v>269.61868559913404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13.433281558439667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13.433281558439667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-2.5006556825246661E-14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181.39264602498668</v>
      </c>
      <c r="T154" s="59">
        <f t="shared" si="142"/>
        <v>338.52444384059521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5.8223640561945817</v>
      </c>
      <c r="AA154" s="21">
        <f>EXP(-LN(2)/25)*AA153+(1-EXP(-LN(2)/25))/(LN(2)/25)*Calculateur!V154*Calculateur!X154*VLOOKUP('Données projet'!$B$9,Paramètres!$A$1:$I$89,3,0)*0.475*44/12</f>
        <v>0.57835038900388058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6.4007144451984619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236.00000000000009</v>
      </c>
      <c r="AJ154" s="13">
        <f>AI154*VLOOKUP('Données projet'!$B$10,Paramètres!$A$1:$I$89,3,0)*VLOOKUP('Données projet'!$B$10,Paramètres!$A$1:$I$89,5,0)</f>
        <v>154.62720000000004</v>
      </c>
      <c r="AK154" s="13">
        <f t="shared" ref="AK154:AK203" si="164">EXP(-1.0587+0.8836*LN(AJ154)+0.284)</f>
        <v>39.62826685000794</v>
      </c>
      <c r="AL154" s="20">
        <f t="shared" ref="AL154:AL203" si="165">(AJ154+AK154)*0.475*44/12</f>
        <v>338.32827143043056</v>
      </c>
      <c r="AM154" s="59">
        <f t="shared" si="113"/>
        <v>631.66160476376388</v>
      </c>
      <c r="AN154" s="59">
        <f ca="1">AVERAGE(OFFSET($AM$3,0,0,'Données projet'!$E$10+1,1))-AVERAGE(OFFSET($H$3,0,0,'Données projet'!$E$10+1,1))</f>
        <v>263.30962868541337</v>
      </c>
      <c r="AO154" s="59">
        <f t="shared" si="144"/>
        <v>269.61868559913404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13.169863100571376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13.169863100571376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-2.5006556825246661E-14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181.39264602498668</v>
      </c>
      <c r="T155" s="59">
        <f t="shared" si="142"/>
        <v>338.52444384059521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5.7081910483440197</v>
      </c>
      <c r="AA155" s="21">
        <f>EXP(-LN(2)/25)*AA154+(1-EXP(-LN(2)/25))/(LN(2)/25)*Calculateur!V155*Calculateur!X155*VLOOKUP('Données projet'!$B$9,Paramètres!$A$1:$I$89,3,0)*0.475*44/12</f>
        <v>0.56253536720244435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6.2707264155464637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236.00000000000009</v>
      </c>
      <c r="AJ155" s="13">
        <f>AI155*VLOOKUP('Données projet'!$B$10,Paramètres!$A$1:$I$89,3,0)*VLOOKUP('Données projet'!$B$10,Paramètres!$A$1:$I$89,5,0)</f>
        <v>154.62720000000004</v>
      </c>
      <c r="AK155" s="13">
        <f t="shared" si="164"/>
        <v>39.62826685000794</v>
      </c>
      <c r="AL155" s="20">
        <f t="shared" si="165"/>
        <v>338.32827143043056</v>
      </c>
      <c r="AM155" s="59">
        <f t="shared" si="113"/>
        <v>631.66160476376388</v>
      </c>
      <c r="AN155" s="59">
        <f ca="1">AVERAGE(OFFSET($AM$3,0,0,'Données projet'!$E$10+1,1))-AVERAGE(OFFSET($H$3,0,0,'Données projet'!$E$10+1,1))</f>
        <v>263.30962868541337</v>
      </c>
      <c r="AO155" s="59">
        <f t="shared" si="144"/>
        <v>269.61868559913404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12.911610117992488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12.911610117992488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-2.5006556825246661E-14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181.39264602498668</v>
      </c>
      <c r="T156" s="59">
        <f t="shared" si="142"/>
        <v>338.52444384059521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5.5962569035387482</v>
      </c>
      <c r="AA156" s="21">
        <f>EXP(-LN(2)/25)*AA155+(1-EXP(-LN(2)/25))/(LN(2)/25)*Calculateur!V156*Calculateur!X156*VLOOKUP('Données projet'!$B$9,Paramètres!$A$1:$I$89,3,0)*0.475*44/12</f>
        <v>0.54715280800384425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6.1434097115425921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236.00000000000009</v>
      </c>
      <c r="AJ156" s="13">
        <f>AI156*VLOOKUP('Données projet'!$B$10,Paramètres!$A$1:$I$89,3,0)*VLOOKUP('Données projet'!$B$10,Paramètres!$A$1:$I$89,5,0)</f>
        <v>154.62720000000004</v>
      </c>
      <c r="AK156" s="13">
        <f t="shared" si="164"/>
        <v>39.62826685000794</v>
      </c>
      <c r="AL156" s="20">
        <f t="shared" si="165"/>
        <v>338.32827143043056</v>
      </c>
      <c r="AM156" s="59">
        <f t="shared" si="113"/>
        <v>631.66160476376388</v>
      </c>
      <c r="AN156" s="59">
        <f ca="1">AVERAGE(OFFSET($AM$3,0,0,'Données projet'!$E$10+1,1))-AVERAGE(OFFSET($H$3,0,0,'Données projet'!$E$10+1,1))</f>
        <v>263.30962868541337</v>
      </c>
      <c r="AO156" s="59">
        <f t="shared" si="144"/>
        <v>269.61868559913404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12.658421318883207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12.658421318883207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-2.5006556825246661E-14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181.39264602498668</v>
      </c>
      <c r="T157" s="59">
        <f t="shared" si="142"/>
        <v>338.52444384059521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5.4865177190400214</v>
      </c>
      <c r="AA157" s="21">
        <f>EXP(-LN(2)/25)*AA156+(1-EXP(-LN(2)/25))/(LN(2)/25)*Calculateur!V157*Calculateur!X157*VLOOKUP('Données projet'!$B$9,Paramètres!$A$1:$I$89,3,0)*0.475*44/12</f>
        <v>0.53219088569546347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6.018708604735485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236.00000000000009</v>
      </c>
      <c r="AJ157" s="13">
        <f>AI157*VLOOKUP('Données projet'!$B$10,Paramètres!$A$1:$I$89,3,0)*VLOOKUP('Données projet'!$B$10,Paramètres!$A$1:$I$89,5,0)</f>
        <v>154.62720000000004</v>
      </c>
      <c r="AK157" s="13">
        <f t="shared" si="164"/>
        <v>39.62826685000794</v>
      </c>
      <c r="AL157" s="20">
        <f t="shared" si="165"/>
        <v>338.32827143043056</v>
      </c>
      <c r="AM157" s="59">
        <f t="shared" si="113"/>
        <v>631.66160476376388</v>
      </c>
      <c r="AN157" s="59">
        <f ca="1">AVERAGE(OFFSET($AM$3,0,0,'Données projet'!$E$10+1,1))-AVERAGE(OFFSET($H$3,0,0,'Données projet'!$E$10+1,1))</f>
        <v>263.30962868541337</v>
      </c>
      <c r="AO157" s="59">
        <f t="shared" si="144"/>
        <v>269.61868559913404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12.410197397694539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12.410197397694539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-2.5006556825246661E-14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181.39264602498668</v>
      </c>
      <c r="T158" s="59">
        <f t="shared" si="142"/>
        <v>338.52444384059521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5.3789304530150215</v>
      </c>
      <c r="AA158" s="21">
        <f>EXP(-LN(2)/25)*AA157+(1-EXP(-LN(2)/25))/(LN(2)/25)*Calculateur!V158*Calculateur!X158*VLOOKUP('Données projet'!$B$9,Paramètres!$A$1:$I$89,3,0)*0.475*44/12</f>
        <v>0.51763809793941873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5.8965685509544405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236.00000000000009</v>
      </c>
      <c r="AJ158" s="13">
        <f>AI158*VLOOKUP('Données projet'!$B$10,Paramètres!$A$1:$I$89,3,0)*VLOOKUP('Données projet'!$B$10,Paramètres!$A$1:$I$89,5,0)</f>
        <v>154.62720000000004</v>
      </c>
      <c r="AK158" s="13">
        <f t="shared" si="164"/>
        <v>39.62826685000794</v>
      </c>
      <c r="AL158" s="20">
        <f t="shared" si="165"/>
        <v>338.32827143043056</v>
      </c>
      <c r="AM158" s="59">
        <f t="shared" si="113"/>
        <v>631.66160476376388</v>
      </c>
      <c r="AN158" s="59">
        <f ca="1">AVERAGE(OFFSET($AM$3,0,0,'Données projet'!$E$10+1,1))-AVERAGE(OFFSET($H$3,0,0,'Données projet'!$E$10+1,1))</f>
        <v>263.30962868541337</v>
      </c>
      <c r="AO158" s="59">
        <f t="shared" si="144"/>
        <v>269.61868559913404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12.166840996198738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12.166840996198738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-2.5006556825246661E-14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181.39264602498668</v>
      </c>
      <c r="T159" s="59">
        <f t="shared" si="142"/>
        <v>338.52444384059521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5.2734529076550185</v>
      </c>
      <c r="AA159" s="21">
        <f>EXP(-LN(2)/25)*AA158+(1-EXP(-LN(2)/25))/(LN(2)/25)*Calculateur!V159*Calculateur!X159*VLOOKUP('Données projet'!$B$9,Paramètres!$A$1:$I$89,3,0)*0.475*44/12</f>
        <v>0.50348325692986085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5.7769361645848791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236.00000000000009</v>
      </c>
      <c r="AJ159" s="13">
        <f>AI159*VLOOKUP('Données projet'!$B$10,Paramètres!$A$1:$I$89,3,0)*VLOOKUP('Données projet'!$B$10,Paramètres!$A$1:$I$89,5,0)</f>
        <v>154.62720000000004</v>
      </c>
      <c r="AK159" s="13">
        <f t="shared" si="164"/>
        <v>39.62826685000794</v>
      </c>
      <c r="AL159" s="20">
        <f t="shared" si="165"/>
        <v>338.32827143043056</v>
      </c>
      <c r="AM159" s="59">
        <f t="shared" si="113"/>
        <v>631.66160476376388</v>
      </c>
      <c r="AN159" s="59">
        <f ca="1">AVERAGE(OFFSET($AM$3,0,0,'Données projet'!$E$10+1,1))-AVERAGE(OFFSET($H$3,0,0,'Données projet'!$E$10+1,1))</f>
        <v>263.30962868541337</v>
      </c>
      <c r="AO159" s="59">
        <f t="shared" si="144"/>
        <v>269.61868559913404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11.928256665303522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11.928256665303522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-2.5006556825246661E-14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181.39264602498668</v>
      </c>
      <c r="T160" s="59">
        <f t="shared" si="142"/>
        <v>338.52444384059521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5.1700437126245751</v>
      </c>
      <c r="AA160" s="21">
        <f>EXP(-LN(2)/25)*AA159+(1-EXP(-LN(2)/25))/(LN(2)/25)*Calculateur!V160*Calculateur!X160*VLOOKUP('Données projet'!$B$9,Paramètres!$A$1:$I$89,3,0)*0.475*44/12</f>
        <v>0.48971548079208005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5.6597591934166553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236.00000000000009</v>
      </c>
      <c r="AJ160" s="13">
        <f>AI160*VLOOKUP('Données projet'!$B$10,Paramètres!$A$1:$I$89,3,0)*VLOOKUP('Données projet'!$B$10,Paramètres!$A$1:$I$89,5,0)</f>
        <v>154.62720000000004</v>
      </c>
      <c r="AK160" s="13">
        <f t="shared" si="164"/>
        <v>39.62826685000794</v>
      </c>
      <c r="AL160" s="20">
        <f t="shared" si="165"/>
        <v>338.32827143043056</v>
      </c>
      <c r="AM160" s="59">
        <f t="shared" si="113"/>
        <v>631.66160476376388</v>
      </c>
      <c r="AN160" s="59">
        <f ca="1">AVERAGE(OFFSET($AM$3,0,0,'Données projet'!$E$10+1,1))-AVERAGE(OFFSET($H$3,0,0,'Données projet'!$E$10+1,1))</f>
        <v>263.30962868541337</v>
      </c>
      <c r="AO160" s="59">
        <f t="shared" si="144"/>
        <v>269.61868559913404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11.694350827615088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11.694350827615088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-2.5006556825246661E-14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181.39264602498668</v>
      </c>
      <c r="T161" s="59">
        <f t="shared" si="142"/>
        <v>338.52444384059521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5.0686623088352976</v>
      </c>
      <c r="AA161" s="21">
        <f>EXP(-LN(2)/25)*AA160+(1-EXP(-LN(2)/25))/(LN(2)/25)*Calculateur!V161*Calculateur!X161*VLOOKUP('Données projet'!$B$9,Paramètres!$A$1:$I$89,3,0)*0.475*44/12</f>
        <v>0.47632418521680275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5.5449864940521003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236.00000000000009</v>
      </c>
      <c r="AJ161" s="13">
        <f>AI161*VLOOKUP('Données projet'!$B$10,Paramètres!$A$1:$I$89,3,0)*VLOOKUP('Données projet'!$B$10,Paramètres!$A$1:$I$89,5,0)</f>
        <v>154.62720000000004</v>
      </c>
      <c r="AK161" s="13">
        <f t="shared" si="164"/>
        <v>39.62826685000794</v>
      </c>
      <c r="AL161" s="20">
        <f t="shared" si="165"/>
        <v>338.32827143043056</v>
      </c>
      <c r="AM161" s="59">
        <f t="shared" si="113"/>
        <v>631.66160476376388</v>
      </c>
      <c r="AN161" s="59">
        <f ca="1">AVERAGE(OFFSET($AM$3,0,0,'Données projet'!$E$10+1,1))-AVERAGE(OFFSET($H$3,0,0,'Données projet'!$E$10+1,1))</f>
        <v>263.30962868541337</v>
      </c>
      <c r="AO161" s="59">
        <f t="shared" si="144"/>
        <v>269.61868559913404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11.465031740735251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11.465031740735251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-2.5006556825246661E-14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181.39264602498668</v>
      </c>
      <c r="T162" s="59">
        <f t="shared" si="142"/>
        <v>338.52444384059521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4.9692689325377781</v>
      </c>
      <c r="AA162" s="21">
        <f>EXP(-LN(2)/25)*AA161+(1-EXP(-LN(2)/25))/(LN(2)/25)*Calculateur!V162*Calculateur!X162*VLOOKUP('Données projet'!$B$9,Paramètres!$A$1:$I$89,3,0)*0.475*44/12</f>
        <v>0.46329907532324904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5.4325680078610272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236.00000000000009</v>
      </c>
      <c r="AJ162" s="13">
        <f>AI162*VLOOKUP('Données projet'!$B$10,Paramètres!$A$1:$I$89,3,0)*VLOOKUP('Données projet'!$B$10,Paramètres!$A$1:$I$89,5,0)</f>
        <v>154.62720000000004</v>
      </c>
      <c r="AK162" s="13">
        <f t="shared" si="164"/>
        <v>39.62826685000794</v>
      </c>
      <c r="AL162" s="20">
        <f t="shared" si="165"/>
        <v>338.32827143043056</v>
      </c>
      <c r="AM162" s="59">
        <f t="shared" si="113"/>
        <v>631.66160476376388</v>
      </c>
      <c r="AN162" s="59">
        <f ca="1">AVERAGE(OFFSET($AM$3,0,0,'Données projet'!$E$10+1,1))-AVERAGE(OFFSET($H$3,0,0,'Données projet'!$E$10+1,1))</f>
        <v>263.30962868541337</v>
      </c>
      <c r="AO162" s="59">
        <f t="shared" si="144"/>
        <v>269.61868559913404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11.240209461278296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11.240209461278296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-2.5006556825246661E-14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181.39264602498668</v>
      </c>
      <c r="T163" s="59">
        <f t="shared" si="142"/>
        <v>338.52444384059521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4.8718245997254792</v>
      </c>
      <c r="AA163" s="21">
        <f>EXP(-LN(2)/25)*AA162+(1-EXP(-LN(2)/25))/(LN(2)/25)*Calculateur!V163*Calculateur!X163*VLOOKUP('Données projet'!$B$9,Paramètres!$A$1:$I$89,3,0)*0.475*44/12</f>
        <v>0.45063013774469529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5.3224547374701743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236.00000000000009</v>
      </c>
      <c r="AJ163" s="13">
        <f>AI163*VLOOKUP('Données projet'!$B$10,Paramètres!$A$1:$I$89,3,0)*VLOOKUP('Données projet'!$B$10,Paramètres!$A$1:$I$89,5,0)</f>
        <v>154.62720000000004</v>
      </c>
      <c r="AK163" s="13">
        <f t="shared" si="164"/>
        <v>39.62826685000794</v>
      </c>
      <c r="AL163" s="20">
        <f t="shared" si="165"/>
        <v>338.32827143043056</v>
      </c>
      <c r="AM163" s="59">
        <f t="shared" si="113"/>
        <v>631.66160476376388</v>
      </c>
      <c r="AN163" s="59">
        <f ca="1">AVERAGE(OFFSET($AM$3,0,0,'Données projet'!$E$10+1,1))-AVERAGE(OFFSET($H$3,0,0,'Données projet'!$E$10+1,1))</f>
        <v>263.30962868541337</v>
      </c>
      <c r="AO163" s="59">
        <f t="shared" si="144"/>
        <v>269.61868559913404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11.019795809593441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11.019795809593441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-2.5006556825246661E-14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181.39264602498668</v>
      </c>
      <c r="T164" s="59">
        <f t="shared" si="142"/>
        <v>338.52444384059521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4.7762910908444551</v>
      </c>
      <c r="AA164" s="21">
        <f>EXP(-LN(2)/25)*AA163+(1-EXP(-LN(2)/25))/(LN(2)/25)*Calculateur!V164*Calculateur!X164*VLOOKUP('Données projet'!$B$9,Paramètres!$A$1:$I$89,3,0)*0.475*44/12</f>
        <v>0.4383076329304576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5.2145987237749125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236.00000000000009</v>
      </c>
      <c r="AJ164" s="13">
        <f>AI164*VLOOKUP('Données projet'!$B$10,Paramètres!$A$1:$I$89,3,0)*VLOOKUP('Données projet'!$B$10,Paramètres!$A$1:$I$89,5,0)</f>
        <v>154.62720000000004</v>
      </c>
      <c r="AK164" s="13">
        <f t="shared" si="164"/>
        <v>39.62826685000794</v>
      </c>
      <c r="AL164" s="20">
        <f t="shared" si="165"/>
        <v>338.32827143043056</v>
      </c>
      <c r="AM164" s="59">
        <f t="shared" si="113"/>
        <v>631.66160476376388</v>
      </c>
      <c r="AN164" s="59">
        <f ca="1">AVERAGE(OFFSET($AM$3,0,0,'Données projet'!$E$10+1,1))-AVERAGE(OFFSET($H$3,0,0,'Données projet'!$E$10+1,1))</f>
        <v>263.30962868541337</v>
      </c>
      <c r="AO164" s="59">
        <f t="shared" si="144"/>
        <v>269.61868559913404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10.803704335179074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10.803704335179074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-2.5006556825246661E-14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181.39264602498668</v>
      </c>
      <c r="T165" s="59">
        <f t="shared" si="142"/>
        <v>338.52444384059521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4.6826309358029015</v>
      </c>
      <c r="AA165" s="21">
        <f>EXP(-LN(2)/25)*AA164+(1-EXP(-LN(2)/25))/(LN(2)/25)*Calculateur!V165*Calculateur!X165*VLOOKUP('Données projet'!$B$9,Paramètres!$A$1:$I$89,3,0)*0.475*44/12</f>
        <v>0.42632208765837759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5.1089530234612788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236.00000000000009</v>
      </c>
      <c r="AJ165" s="13">
        <f>AI165*VLOOKUP('Données projet'!$B$10,Paramètres!$A$1:$I$89,3,0)*VLOOKUP('Données projet'!$B$10,Paramètres!$A$1:$I$89,5,0)</f>
        <v>154.62720000000004</v>
      </c>
      <c r="AK165" s="13">
        <f t="shared" si="164"/>
        <v>39.62826685000794</v>
      </c>
      <c r="AL165" s="20">
        <f t="shared" si="165"/>
        <v>338.32827143043056</v>
      </c>
      <c r="AM165" s="59">
        <f t="shared" si="113"/>
        <v>631.66160476376388</v>
      </c>
      <c r="AN165" s="59">
        <f ca="1">AVERAGE(OFFSET($AM$3,0,0,'Données projet'!$E$10+1,1))-AVERAGE(OFFSET($H$3,0,0,'Données projet'!$E$10+1,1))</f>
        <v>263.30962868541337</v>
      </c>
      <c r="AO165" s="59">
        <f t="shared" si="144"/>
        <v>269.61868559913404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10.591850282775187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10.591850282775187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-2.5006556825246661E-14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181.39264602498668</v>
      </c>
      <c r="T166" s="59">
        <f t="shared" si="142"/>
        <v>338.52444384059521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4.5908073992746585</v>
      </c>
      <c r="AA166" s="21">
        <f>EXP(-LN(2)/25)*AA165+(1-EXP(-LN(2)/25))/(LN(2)/25)*Calculateur!V166*Calculateur!X166*VLOOKUP('Données projet'!$B$9,Paramètres!$A$1:$I$89,3,0)*0.475*44/12</f>
        <v>0.41466428775205505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5.0054716870267137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236.00000000000009</v>
      </c>
      <c r="AJ166" s="13">
        <f>AI166*VLOOKUP('Données projet'!$B$10,Paramètres!$A$1:$I$89,3,0)*VLOOKUP('Données projet'!$B$10,Paramètres!$A$1:$I$89,5,0)</f>
        <v>154.62720000000004</v>
      </c>
      <c r="AK166" s="13">
        <f t="shared" si="164"/>
        <v>39.62826685000794</v>
      </c>
      <c r="AL166" s="20">
        <f t="shared" si="165"/>
        <v>338.32827143043056</v>
      </c>
      <c r="AM166" s="59">
        <f t="shared" si="113"/>
        <v>631.66160476376388</v>
      </c>
      <c r="AN166" s="59">
        <f ca="1">AVERAGE(OFFSET($AM$3,0,0,'Données projet'!$E$10+1,1))-AVERAGE(OFFSET($H$3,0,0,'Données projet'!$E$10+1,1))</f>
        <v>263.30962868541337</v>
      </c>
      <c r="AO166" s="59">
        <f t="shared" si="144"/>
        <v>269.61868559913404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10.384150559120728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10.384150559120728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-2.5006556825246661E-14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181.39264602498668</v>
      </c>
      <c r="T167" s="59">
        <f t="shared" si="142"/>
        <v>338.52444384059521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4.5007844662909076</v>
      </c>
      <c r="AA167" s="21">
        <f>EXP(-LN(2)/25)*AA166+(1-EXP(-LN(2)/25))/(LN(2)/25)*Calculateur!V167*Calculateur!X167*VLOOKUP('Données projet'!$B$9,Paramètres!$A$1:$I$89,3,0)*0.475*44/12</f>
        <v>0.40332527099722792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4.9041097372881355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236.00000000000009</v>
      </c>
      <c r="AJ167" s="13">
        <f>AI167*VLOOKUP('Données projet'!$B$10,Paramètres!$A$1:$I$89,3,0)*VLOOKUP('Données projet'!$B$10,Paramètres!$A$1:$I$89,5,0)</f>
        <v>154.62720000000004</v>
      </c>
      <c r="AK167" s="13">
        <f t="shared" si="164"/>
        <v>39.62826685000794</v>
      </c>
      <c r="AL167" s="20">
        <f t="shared" si="165"/>
        <v>338.32827143043056</v>
      </c>
      <c r="AM167" s="59">
        <f t="shared" si="113"/>
        <v>631.66160476376388</v>
      </c>
      <c r="AN167" s="59">
        <f ca="1">AVERAGE(OFFSET($AM$3,0,0,'Données projet'!$E$10+1,1))-AVERAGE(OFFSET($H$3,0,0,'Données projet'!$E$10+1,1))</f>
        <v>263.30962868541337</v>
      </c>
      <c r="AO167" s="59">
        <f t="shared" si="144"/>
        <v>269.61868559913404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10.18052370036281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10.18052370036281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-2.5006556825246661E-14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181.39264602498668</v>
      </c>
      <c r="T168" s="59">
        <f t="shared" si="142"/>
        <v>338.52444384059521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4.4125268281144008</v>
      </c>
      <c r="AA168" s="21">
        <f>EXP(-LN(2)/25)*AA167+(1-EXP(-LN(2)/25))/(LN(2)/25)*Calculateur!V168*Calculateur!X168*VLOOKUP('Données projet'!$B$9,Paramètres!$A$1:$I$89,3,0)*0.475*44/12</f>
        <v>0.39229632025185451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4.8048231483662551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236.00000000000009</v>
      </c>
      <c r="AJ168" s="13">
        <f>AI168*VLOOKUP('Données projet'!$B$10,Paramètres!$A$1:$I$89,3,0)*VLOOKUP('Données projet'!$B$10,Paramètres!$A$1:$I$89,5,0)</f>
        <v>154.62720000000004</v>
      </c>
      <c r="AK168" s="13">
        <f t="shared" si="164"/>
        <v>39.62826685000794</v>
      </c>
      <c r="AL168" s="20">
        <f t="shared" si="165"/>
        <v>338.32827143043056</v>
      </c>
      <c r="AM168" s="59">
        <f t="shared" si="113"/>
        <v>631.66160476376388</v>
      </c>
      <c r="AN168" s="59">
        <f ca="1">AVERAGE(OFFSET($AM$3,0,0,'Données projet'!$E$10+1,1))-AVERAGE(OFFSET($H$3,0,0,'Données projet'!$E$10+1,1))</f>
        <v>263.30962868541337</v>
      </c>
      <c r="AO168" s="59">
        <f t="shared" si="144"/>
        <v>269.61868559913404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9.9808898401050143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9.9808898401050143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-2.5006556825246661E-14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181.39264602498668</v>
      </c>
      <c r="T169" s="59">
        <f t="shared" si="142"/>
        <v>338.52444384059521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4.3259998683906913</v>
      </c>
      <c r="AA169" s="21">
        <f>EXP(-LN(2)/25)*AA168+(1-EXP(-LN(2)/25))/(LN(2)/25)*Calculateur!V169*Calculateur!X169*VLOOKUP('Données projet'!$B$9,Paramètres!$A$1:$I$89,3,0)*0.475*44/12</f>
        <v>0.38156895674460067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4.7075688251352918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236.00000000000009</v>
      </c>
      <c r="AJ169" s="13">
        <f>AI169*VLOOKUP('Données projet'!$B$10,Paramètres!$A$1:$I$89,3,0)*VLOOKUP('Données projet'!$B$10,Paramètres!$A$1:$I$89,5,0)</f>
        <v>154.62720000000004</v>
      </c>
      <c r="AK169" s="13">
        <f t="shared" si="164"/>
        <v>39.62826685000794</v>
      </c>
      <c r="AL169" s="20">
        <f t="shared" si="165"/>
        <v>338.32827143043056</v>
      </c>
      <c r="AM169" s="59">
        <f t="shared" si="113"/>
        <v>631.66160476376388</v>
      </c>
      <c r="AN169" s="59">
        <f ca="1">AVERAGE(OFFSET($AM$3,0,0,'Données projet'!$E$10+1,1))-AVERAGE(OFFSET($H$3,0,0,'Données projet'!$E$10+1,1))</f>
        <v>263.30962868541337</v>
      </c>
      <c r="AO169" s="59">
        <f t="shared" si="144"/>
        <v>269.61868559913404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9.7851706780822436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9.7851706780822436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-2.5006556825246661E-14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181.39264602498668</v>
      </c>
      <c r="T170" s="59">
        <f t="shared" si="142"/>
        <v>338.52444384059521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4.2411696495709297</v>
      </c>
      <c r="AA170" s="21">
        <f>EXP(-LN(2)/25)*AA169+(1-EXP(-LN(2)/25))/(LN(2)/25)*Calculateur!V170*Calculateur!X170*VLOOKUP('Données projet'!$B$9,Paramètres!$A$1:$I$89,3,0)*0.475*44/12</f>
        <v>0.37113493355658023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4.6123045831275098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236.00000000000009</v>
      </c>
      <c r="AJ170" s="13">
        <f>AI170*VLOOKUP('Données projet'!$B$10,Paramètres!$A$1:$I$89,3,0)*VLOOKUP('Données projet'!$B$10,Paramètres!$A$1:$I$89,5,0)</f>
        <v>154.62720000000004</v>
      </c>
      <c r="AK170" s="13">
        <f t="shared" si="164"/>
        <v>39.62826685000794</v>
      </c>
      <c r="AL170" s="20">
        <f t="shared" si="165"/>
        <v>338.32827143043056</v>
      </c>
      <c r="AM170" s="59">
        <f t="shared" si="113"/>
        <v>631.66160476376388</v>
      </c>
      <c r="AN170" s="59">
        <f ca="1">AVERAGE(OFFSET($AM$3,0,0,'Données projet'!$E$10+1,1))-AVERAGE(OFFSET($H$3,0,0,'Données projet'!$E$10+1,1))</f>
        <v>263.30962868541337</v>
      </c>
      <c r="AO170" s="59">
        <f t="shared" si="144"/>
        <v>269.61868559913404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9.5932894494498377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9.5932894494498377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-2.5006556825246661E-14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181.39264602498668</v>
      </c>
      <c r="T171" s="59">
        <f t="shared" si="142"/>
        <v>338.52444384059521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4.1580028996008993</v>
      </c>
      <c r="AA171" s="21">
        <f>EXP(-LN(2)/25)*AA170+(1-EXP(-LN(2)/25))/(LN(2)/25)*Calculateur!V171*Calculateur!X171*VLOOKUP('Données projet'!$B$9,Paramètres!$A$1:$I$89,3,0)*0.475*44/12</f>
        <v>0.36098622928133761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4.5189891288822368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236.00000000000009</v>
      </c>
      <c r="AJ171" s="13">
        <f>AI171*VLOOKUP('Données projet'!$B$10,Paramètres!$A$1:$I$89,3,0)*VLOOKUP('Données projet'!$B$10,Paramètres!$A$1:$I$89,5,0)</f>
        <v>154.62720000000004</v>
      </c>
      <c r="AK171" s="13">
        <f t="shared" si="164"/>
        <v>39.62826685000794</v>
      </c>
      <c r="AL171" s="20">
        <f t="shared" si="165"/>
        <v>338.32827143043056</v>
      </c>
      <c r="AM171" s="59">
        <f t="shared" si="113"/>
        <v>631.66160476376388</v>
      </c>
      <c r="AN171" s="59">
        <f ca="1">AVERAGE(OFFSET($AM$3,0,0,'Données projet'!$E$10+1,1))-AVERAGE(OFFSET($H$3,0,0,'Données projet'!$E$10+1,1))</f>
        <v>263.30962868541337</v>
      </c>
      <c r="AO171" s="59">
        <f t="shared" si="144"/>
        <v>269.61868559913404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9.4051708946749191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9.4051708946749191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-2.5006556825246661E-14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181.39264602498668</v>
      </c>
      <c r="T172" s="59">
        <f t="shared" si="142"/>
        <v>338.52444384059521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4.076466998871072</v>
      </c>
      <c r="AA172" s="21">
        <f>EXP(-LN(2)/25)*AA171+(1-EXP(-LN(2)/25))/(LN(2)/25)*Calculateur!V172*Calculateur!X172*VLOOKUP('Données projet'!$B$9,Paramètres!$A$1:$I$89,3,0)*0.475*44/12</f>
        <v>0.3511150418581987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4.4275820407292708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236.00000000000009</v>
      </c>
      <c r="AJ172" s="13">
        <f>AI172*VLOOKUP('Données projet'!$B$10,Paramètres!$A$1:$I$89,3,0)*VLOOKUP('Données projet'!$B$10,Paramètres!$A$1:$I$89,5,0)</f>
        <v>154.62720000000004</v>
      </c>
      <c r="AK172" s="13">
        <f t="shared" si="164"/>
        <v>39.62826685000794</v>
      </c>
      <c r="AL172" s="20">
        <f t="shared" si="165"/>
        <v>338.32827143043056</v>
      </c>
      <c r="AM172" s="59">
        <f t="shared" si="113"/>
        <v>631.66160476376388</v>
      </c>
      <c r="AN172" s="59">
        <f ca="1">AVERAGE(OFFSET($AM$3,0,0,'Données projet'!$E$10+1,1))-AVERAGE(OFFSET($H$3,0,0,'Données projet'!$E$10+1,1))</f>
        <v>263.30962868541337</v>
      </c>
      <c r="AO172" s="59">
        <f t="shared" si="144"/>
        <v>269.61868559913404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9.2207412300181488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9.2207412300181488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-2.5006556825246661E-14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181.39264602498668</v>
      </c>
      <c r="T173" s="59">
        <f t="shared" si="142"/>
        <v>338.52444384059521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3.9965299674225681</v>
      </c>
      <c r="AA173" s="21">
        <f>EXP(-LN(2)/25)*AA172+(1-EXP(-LN(2)/25))/(LN(2)/25)*Calculateur!V173*Calculateur!X173*VLOOKUP('Données projet'!$B$9,Paramètres!$A$1:$I$89,3,0)*0.475*44/12</f>
        <v>0.34151378257424869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4.3380437499968165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236.00000000000009</v>
      </c>
      <c r="AJ173" s="13">
        <f>AI173*VLOOKUP('Données projet'!$B$10,Paramètres!$A$1:$I$89,3,0)*VLOOKUP('Données projet'!$B$10,Paramètres!$A$1:$I$89,5,0)</f>
        <v>154.62720000000004</v>
      </c>
      <c r="AK173" s="13">
        <f t="shared" si="164"/>
        <v>39.62826685000794</v>
      </c>
      <c r="AL173" s="20">
        <f t="shared" si="165"/>
        <v>338.32827143043056</v>
      </c>
      <c r="AM173" s="59">
        <f t="shared" si="113"/>
        <v>631.66160476376388</v>
      </c>
      <c r="AN173" s="59">
        <f ca="1">AVERAGE(OFFSET($AM$3,0,0,'Données projet'!$E$10+1,1))-AVERAGE(OFFSET($H$3,0,0,'Données projet'!$E$10+1,1))</f>
        <v>263.30962868541337</v>
      </c>
      <c r="AO173" s="59">
        <f t="shared" si="144"/>
        <v>269.61868559913404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9.0399281185943092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9.0399281185943092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-2.5006556825246661E-14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181.39264602498668</v>
      </c>
      <c r="T174" s="59">
        <f t="shared" si="142"/>
        <v>338.52444384059521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3.9181604524039946</v>
      </c>
      <c r="AA174" s="21">
        <f>EXP(-LN(2)/25)*AA173+(1-EXP(-LN(2)/25))/(LN(2)/25)*Calculateur!V174*Calculateur!X174*VLOOKUP('Données projet'!$B$9,Paramètres!$A$1:$I$89,3,0)*0.475*44/12</f>
        <v>0.33217507023032655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4.2503355226343214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236.00000000000009</v>
      </c>
      <c r="AJ174" s="13">
        <f>AI174*VLOOKUP('Données projet'!$B$10,Paramètres!$A$1:$I$89,3,0)*VLOOKUP('Données projet'!$B$10,Paramètres!$A$1:$I$89,5,0)</f>
        <v>154.62720000000004</v>
      </c>
      <c r="AK174" s="13">
        <f t="shared" si="164"/>
        <v>39.62826685000794</v>
      </c>
      <c r="AL174" s="20">
        <f t="shared" si="165"/>
        <v>338.32827143043056</v>
      </c>
      <c r="AM174" s="59">
        <f t="shared" si="113"/>
        <v>631.66160476376388</v>
      </c>
      <c r="AN174" s="59">
        <f ca="1">AVERAGE(OFFSET($AM$3,0,0,'Données projet'!$E$10+1,1))-AVERAGE(OFFSET($H$3,0,0,'Données projet'!$E$10+1,1))</f>
        <v>263.30962868541337</v>
      </c>
      <c r="AO174" s="59">
        <f t="shared" si="144"/>
        <v>269.61868559913404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8.8626606420003835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8.8626606420003835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-2.5006556825246661E-14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181.39264602498668</v>
      </c>
      <c r="T175" s="59">
        <f t="shared" si="142"/>
        <v>338.52444384059521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3.8413277157742511</v>
      </c>
      <c r="AA175" s="21">
        <f>EXP(-LN(2)/25)*AA174+(1-EXP(-LN(2)/25))/(LN(2)/25)*Calculateur!V175*Calculateur!X175*VLOOKUP('Données projet'!$B$9,Paramètres!$A$1:$I$89,3,0)*0.475*44/12</f>
        <v>0.32309172546655052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4.1644194412408018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236.00000000000009</v>
      </c>
      <c r="AJ175" s="13">
        <f>AI175*VLOOKUP('Données projet'!$B$10,Paramètres!$A$1:$I$89,3,0)*VLOOKUP('Données projet'!$B$10,Paramètres!$A$1:$I$89,5,0)</f>
        <v>154.62720000000004</v>
      </c>
      <c r="AK175" s="13">
        <f t="shared" si="164"/>
        <v>39.62826685000794</v>
      </c>
      <c r="AL175" s="20">
        <f t="shared" si="165"/>
        <v>338.32827143043056</v>
      </c>
      <c r="AM175" s="59">
        <f t="shared" si="113"/>
        <v>631.66160476376388</v>
      </c>
      <c r="AN175" s="59">
        <f ca="1">AVERAGE(OFFSET($AM$3,0,0,'Données projet'!$E$10+1,1))-AVERAGE(OFFSET($H$3,0,0,'Données projet'!$E$10+1,1))</f>
        <v>263.30962868541337</v>
      </c>
      <c r="AO175" s="59">
        <f t="shared" si="144"/>
        <v>269.61868559913404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8.6888692724999803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8.6888692724999803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-2.5006556825246661E-14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181.39264602498668</v>
      </c>
      <c r="T176" s="59">
        <f t="shared" si="142"/>
        <v>338.52444384059521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3.7660016222464749</v>
      </c>
      <c r="AA176" s="21">
        <f>EXP(-LN(2)/25)*AA175+(1-EXP(-LN(2)/25))/(LN(2)/25)*Calculateur!V176*Calculateur!X176*VLOOKUP('Données projet'!$B$9,Paramètres!$A$1:$I$89,3,0)*0.475*44/12</f>
        <v>0.31425676524301227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4.0802583874894873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236.00000000000009</v>
      </c>
      <c r="AJ176" s="13">
        <f>AI176*VLOOKUP('Données projet'!$B$10,Paramètres!$A$1:$I$89,3,0)*VLOOKUP('Données projet'!$B$10,Paramètres!$A$1:$I$89,5,0)</f>
        <v>154.62720000000004</v>
      </c>
      <c r="AK176" s="13">
        <f t="shared" si="164"/>
        <v>39.62826685000794</v>
      </c>
      <c r="AL176" s="20">
        <f t="shared" si="165"/>
        <v>338.32827143043056</v>
      </c>
      <c r="AM176" s="59">
        <f t="shared" si="113"/>
        <v>631.66160476376388</v>
      </c>
      <c r="AN176" s="59">
        <f ca="1">AVERAGE(OFFSET($AM$3,0,0,'Données projet'!$E$10+1,1))-AVERAGE(OFFSET($H$3,0,0,'Données projet'!$E$10+1,1))</f>
        <v>263.30962868541337</v>
      </c>
      <c r="AO176" s="59">
        <f t="shared" si="144"/>
        <v>269.61868559913404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8.5184858457532115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8.5184858457532115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-2.5006556825246661E-14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181.39264602498668</v>
      </c>
      <c r="T177" s="59">
        <f t="shared" si="142"/>
        <v>338.52444384059521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3.6921526274683978</v>
      </c>
      <c r="AA177" s="21">
        <f>EXP(-LN(2)/25)*AA176+(1-EXP(-LN(2)/25))/(LN(2)/25)*Calculateur!V177*Calculateur!X177*VLOOKUP('Données projet'!$B$9,Paramètres!$A$1:$I$89,3,0)*0.475*44/12</f>
        <v>0.30566339747139704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3.9978160249397949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236.00000000000009</v>
      </c>
      <c r="AJ177" s="13">
        <f>AI177*VLOOKUP('Données projet'!$B$10,Paramètres!$A$1:$I$89,3,0)*VLOOKUP('Données projet'!$B$10,Paramètres!$A$1:$I$89,5,0)</f>
        <v>154.62720000000004</v>
      </c>
      <c r="AK177" s="13">
        <f t="shared" si="164"/>
        <v>39.62826685000794</v>
      </c>
      <c r="AL177" s="20">
        <f t="shared" si="165"/>
        <v>338.32827143043056</v>
      </c>
      <c r="AM177" s="59">
        <f t="shared" si="113"/>
        <v>631.66160476376388</v>
      </c>
      <c r="AN177" s="59">
        <f ca="1">AVERAGE(OFFSET($AM$3,0,0,'Données projet'!$E$10+1,1))-AVERAGE(OFFSET($H$3,0,0,'Données projet'!$E$10+1,1))</f>
        <v>263.30962868541337</v>
      </c>
      <c r="AO177" s="59">
        <f t="shared" si="144"/>
        <v>269.61868559913404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8.3514435340813176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8.3514435340813176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-2.5006556825246661E-14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181.39264602498668</v>
      </c>
      <c r="T178" s="59">
        <f t="shared" si="142"/>
        <v>338.52444384059521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3.6197517664344798</v>
      </c>
      <c r="AA178" s="21">
        <f>EXP(-LN(2)/25)*AA177+(1-EXP(-LN(2)/25))/(LN(2)/25)*Calculateur!V178*Calculateur!X178*VLOOKUP('Données projet'!$B$9,Paramètres!$A$1:$I$89,3,0)*0.475*44/12</f>
        <v>0.29730501579340224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3.9170567822278821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236.00000000000009</v>
      </c>
      <c r="AJ178" s="13">
        <f>AI178*VLOOKUP('Données projet'!$B$10,Paramètres!$A$1:$I$89,3,0)*VLOOKUP('Données projet'!$B$10,Paramètres!$A$1:$I$89,5,0)</f>
        <v>154.62720000000004</v>
      </c>
      <c r="AK178" s="13">
        <f t="shared" si="164"/>
        <v>39.62826685000794</v>
      </c>
      <c r="AL178" s="20">
        <f t="shared" si="165"/>
        <v>338.32827143043056</v>
      </c>
      <c r="AM178" s="59">
        <f t="shared" si="113"/>
        <v>631.66160476376388</v>
      </c>
      <c r="AN178" s="59">
        <f ca="1">AVERAGE(OFFSET($AM$3,0,0,'Données projet'!$E$10+1,1))-AVERAGE(OFFSET($H$3,0,0,'Données projet'!$E$10+1,1))</f>
        <v>263.30962868541337</v>
      </c>
      <c r="AO178" s="59">
        <f t="shared" si="144"/>
        <v>269.61868559913404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8.1876768202555592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8.1876768202555592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-2.5006556825246661E-14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181.39264602498668</v>
      </c>
      <c r="T179" s="59">
        <f t="shared" si="142"/>
        <v>338.52444384059521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3.5487706421252718</v>
      </c>
      <c r="AA179" s="21">
        <f>EXP(-LN(2)/25)*AA178+(1-EXP(-LN(2)/25))/(LN(2)/25)*Calculateur!V179*Calculateur!X179*VLOOKUP('Données projet'!$B$9,Paramètres!$A$1:$I$89,3,0)*0.475*44/12</f>
        <v>0.28917519450194035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3.8379458366272123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236.00000000000009</v>
      </c>
      <c r="AJ179" s="13">
        <f>AI179*VLOOKUP('Données projet'!$B$10,Paramètres!$A$1:$I$89,3,0)*VLOOKUP('Données projet'!$B$10,Paramètres!$A$1:$I$89,5,0)</f>
        <v>154.62720000000004</v>
      </c>
      <c r="AK179" s="13">
        <f t="shared" si="164"/>
        <v>39.62826685000794</v>
      </c>
      <c r="AL179" s="20">
        <f t="shared" si="165"/>
        <v>338.32827143043056</v>
      </c>
      <c r="AM179" s="59">
        <f t="shared" si="113"/>
        <v>631.66160476376388</v>
      </c>
      <c r="AN179" s="59">
        <f ca="1">AVERAGE(OFFSET($AM$3,0,0,'Données projet'!$E$10+1,1))-AVERAGE(OFFSET($H$3,0,0,'Données projet'!$E$10+1,1))</f>
        <v>263.30962868541337</v>
      </c>
      <c r="AO179" s="59">
        <f t="shared" si="144"/>
        <v>269.61868559913404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8.0271214718000934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8.0271214718000934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-2.5006556825246661E-14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181.39264602498668</v>
      </c>
      <c r="T180" s="59">
        <f t="shared" si="142"/>
        <v>338.52444384059521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3.4791814143695565</v>
      </c>
      <c r="AA180" s="21">
        <f>EXP(-LN(2)/25)*AA179+(1-EXP(-LN(2)/25))/(LN(2)/25)*Calculateur!V180*Calculateur!X180*VLOOKUP('Données projet'!$B$9,Paramètres!$A$1:$I$89,3,0)*0.475*44/12</f>
        <v>0.28126768360122223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3.7604490979707785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236.00000000000009</v>
      </c>
      <c r="AJ180" s="13">
        <f>AI180*VLOOKUP('Données projet'!$B$10,Paramètres!$A$1:$I$89,3,0)*VLOOKUP('Données projet'!$B$10,Paramètres!$A$1:$I$89,5,0)</f>
        <v>154.62720000000004</v>
      </c>
      <c r="AK180" s="13">
        <f t="shared" si="164"/>
        <v>39.62826685000794</v>
      </c>
      <c r="AL180" s="20">
        <f t="shared" si="165"/>
        <v>338.32827143043056</v>
      </c>
      <c r="AM180" s="59">
        <f t="shared" si="113"/>
        <v>631.66160476376388</v>
      </c>
      <c r="AN180" s="59">
        <f ca="1">AVERAGE(OFFSET($AM$3,0,0,'Données projet'!$E$10+1,1))-AVERAGE(OFFSET($H$3,0,0,'Données projet'!$E$10+1,1))</f>
        <v>263.30962868541337</v>
      </c>
      <c r="AO180" s="59">
        <f t="shared" si="144"/>
        <v>269.61868559913404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7.8697145157987451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7.8697145157987451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-2.5006556825246661E-14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181.39264602498668</v>
      </c>
      <c r="T181" s="59">
        <f t="shared" si="142"/>
        <v>338.52444384059521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3.4109567889248931</v>
      </c>
      <c r="AA181" s="21">
        <f>EXP(-LN(2)/25)*AA180+(1-EXP(-LN(2)/25))/(LN(2)/25)*Calculateur!V181*Calculateur!X181*VLOOKUP('Données projet'!$B$9,Paramètres!$A$1:$I$89,3,0)*0.475*44/12</f>
        <v>0.27357640400192218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3.684533192926815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236.00000000000009</v>
      </c>
      <c r="AJ181" s="13">
        <f>AI181*VLOOKUP('Données projet'!$B$10,Paramètres!$A$1:$I$89,3,0)*VLOOKUP('Données projet'!$B$10,Paramètres!$A$1:$I$89,5,0)</f>
        <v>154.62720000000004</v>
      </c>
      <c r="AK181" s="13">
        <f t="shared" si="164"/>
        <v>39.62826685000794</v>
      </c>
      <c r="AL181" s="20">
        <f t="shared" si="165"/>
        <v>338.32827143043056</v>
      </c>
      <c r="AM181" s="59">
        <f t="shared" si="113"/>
        <v>631.66160476376388</v>
      </c>
      <c r="AN181" s="59">
        <f ca="1">AVERAGE(OFFSET($AM$3,0,0,'Données projet'!$E$10+1,1))-AVERAGE(OFFSET($H$3,0,0,'Données projet'!$E$10+1,1))</f>
        <v>263.30962868541337</v>
      </c>
      <c r="AO181" s="59">
        <f t="shared" si="144"/>
        <v>269.61868559913404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7.7153942141958209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7.7153942141958209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-2.5006556825246661E-14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181.39264602498668</v>
      </c>
      <c r="T182" s="59">
        <f t="shared" si="142"/>
        <v>338.52444384059521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3.3440700067722871</v>
      </c>
      <c r="AA182" s="21">
        <f>EXP(-LN(2)/25)*AA181+(1-EXP(-LN(2)/25))/(LN(2)/25)*Calculateur!V182*Calculateur!X182*VLOOKUP('Données projet'!$B$9,Paramètres!$A$1:$I$89,3,0)*0.475*44/12</f>
        <v>0.26609544284773179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3.6101654496200188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236.00000000000009</v>
      </c>
      <c r="AJ182" s="13">
        <f>AI182*VLOOKUP('Données projet'!$B$10,Paramètres!$A$1:$I$89,3,0)*VLOOKUP('Données projet'!$B$10,Paramètres!$A$1:$I$89,5,0)</f>
        <v>154.62720000000004</v>
      </c>
      <c r="AK182" s="13">
        <f t="shared" si="164"/>
        <v>39.62826685000794</v>
      </c>
      <c r="AL182" s="20">
        <f t="shared" si="165"/>
        <v>338.32827143043056</v>
      </c>
      <c r="AM182" s="59">
        <f t="shared" si="113"/>
        <v>631.66160476376388</v>
      </c>
      <c r="AN182" s="59">
        <f ca="1">AVERAGE(OFFSET($AM$3,0,0,'Données projet'!$E$10+1,1))-AVERAGE(OFFSET($H$3,0,0,'Données projet'!$E$10+1,1))</f>
        <v>263.30962868541337</v>
      </c>
      <c r="AO182" s="59">
        <f t="shared" si="144"/>
        <v>269.61868559913404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7.5641000395812403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7.5641000395812403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-2.5006556825246661E-14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181.39264602498668</v>
      </c>
      <c r="T183" s="59">
        <f t="shared" si="142"/>
        <v>338.52444384059521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3.2784948336207846</v>
      </c>
      <c r="AA183" s="21">
        <f>EXP(-LN(2)/25)*AA182+(1-EXP(-LN(2)/25))/(LN(2)/25)*Calculateur!V183*Calculateur!X183*VLOOKUP('Données projet'!$B$9,Paramètres!$A$1:$I$89,3,0)*0.475*44/12</f>
        <v>0.25881904896970942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3.5373138825904942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236.00000000000009</v>
      </c>
      <c r="AJ183" s="13">
        <f>AI183*VLOOKUP('Données projet'!$B$10,Paramètres!$A$1:$I$89,3,0)*VLOOKUP('Données projet'!$B$10,Paramètres!$A$1:$I$89,5,0)</f>
        <v>154.62720000000004</v>
      </c>
      <c r="AK183" s="13">
        <f t="shared" si="164"/>
        <v>39.62826685000794</v>
      </c>
      <c r="AL183" s="20">
        <f t="shared" si="165"/>
        <v>338.32827143043056</v>
      </c>
      <c r="AM183" s="59">
        <f t="shared" si="113"/>
        <v>631.66160476376388</v>
      </c>
      <c r="AN183" s="59">
        <f ca="1">AVERAGE(OFFSET($AM$3,0,0,'Données projet'!$E$10+1,1))-AVERAGE(OFFSET($H$3,0,0,'Données projet'!$E$10+1,1))</f>
        <v>263.30962868541337</v>
      </c>
      <c r="AO183" s="59">
        <f t="shared" si="144"/>
        <v>269.61868559913404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7.4157726514505171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7.4157726514505171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-2.5006556825246661E-14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181.39264602498668</v>
      </c>
      <c r="T184" s="59">
        <f t="shared" si="142"/>
        <v>338.52444384059521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3.2142055496178772</v>
      </c>
      <c r="AA184" s="21">
        <f>EXP(-LN(2)/25)*AA183+(1-EXP(-LN(2)/25))/(LN(2)/25)*Calculateur!V184*Calculateur!X184*VLOOKUP('Données projet'!$B$9,Paramètres!$A$1:$I$89,3,0)*0.475*44/12</f>
        <v>0.25174162846493048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3.4659471780828075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236.00000000000009</v>
      </c>
      <c r="AJ184" s="13">
        <f>AI184*VLOOKUP('Données projet'!$B$10,Paramètres!$A$1:$I$89,3,0)*VLOOKUP('Données projet'!$B$10,Paramètres!$A$1:$I$89,5,0)</f>
        <v>154.62720000000004</v>
      </c>
      <c r="AK184" s="13">
        <f t="shared" si="164"/>
        <v>39.62826685000794</v>
      </c>
      <c r="AL184" s="20">
        <f t="shared" si="165"/>
        <v>338.32827143043056</v>
      </c>
      <c r="AM184" s="59">
        <f t="shared" si="113"/>
        <v>631.66160476376388</v>
      </c>
      <c r="AN184" s="59">
        <f ca="1">AVERAGE(OFFSET($AM$3,0,0,'Données projet'!$E$10+1,1))-AVERAGE(OFFSET($H$3,0,0,'Données projet'!$E$10+1,1))</f>
        <v>263.30962868541337</v>
      </c>
      <c r="AO184" s="59">
        <f t="shared" si="144"/>
        <v>269.61868559913404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7.2703538729302633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7.2703538729302633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-2.5006556825246661E-14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181.39264602498668</v>
      </c>
      <c r="T185" s="59">
        <f t="shared" si="142"/>
        <v>338.52444384059521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3.1511769392616755</v>
      </c>
      <c r="AA185" s="21">
        <f>EXP(-LN(2)/25)*AA184+(1-EXP(-LN(2)/25))/(LN(2)/25)*Calculateur!V185*Calculateur!X185*VLOOKUP('Données projet'!$B$9,Paramètres!$A$1:$I$89,3,0)*0.475*44/12</f>
        <v>0.24485774039604008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3.3960346796577157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236.00000000000009</v>
      </c>
      <c r="AJ185" s="13">
        <f>AI185*VLOOKUP('Données projet'!$B$10,Paramètres!$A$1:$I$89,3,0)*VLOOKUP('Données projet'!$B$10,Paramètres!$A$1:$I$89,5,0)</f>
        <v>154.62720000000004</v>
      </c>
      <c r="AK185" s="13">
        <f t="shared" si="164"/>
        <v>39.62826685000794</v>
      </c>
      <c r="AL185" s="20">
        <f t="shared" si="165"/>
        <v>338.32827143043056</v>
      </c>
      <c r="AM185" s="59">
        <f t="shared" si="113"/>
        <v>631.66160476376388</v>
      </c>
      <c r="AN185" s="59">
        <f ca="1">AVERAGE(OFFSET($AM$3,0,0,'Données projet'!$E$10+1,1))-AVERAGE(OFFSET($H$3,0,0,'Données projet'!$E$10+1,1))</f>
        <v>263.30962868541337</v>
      </c>
      <c r="AO185" s="59">
        <f t="shared" si="144"/>
        <v>269.61868559913404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7.1277866679600947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7.1277866679600947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-2.5006556825246661E-14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181.39264602498668</v>
      </c>
      <c r="T186" s="59">
        <f t="shared" si="142"/>
        <v>338.52444384059521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3.0893842815109025</v>
      </c>
      <c r="AA186" s="21">
        <f>EXP(-LN(2)/25)*AA185+(1-EXP(-LN(2)/25))/(LN(2)/25)*Calculateur!V186*Calculateur!X186*VLOOKUP('Données projet'!$B$9,Paramètres!$A$1:$I$89,3,0)*0.475*44/12</f>
        <v>0.23816209260840143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3.3275463741193039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236.00000000000009</v>
      </c>
      <c r="AJ186" s="13">
        <f>AI186*VLOOKUP('Données projet'!$B$10,Paramètres!$A$1:$I$89,3,0)*VLOOKUP('Données projet'!$B$10,Paramètres!$A$1:$I$89,5,0)</f>
        <v>154.62720000000004</v>
      </c>
      <c r="AK186" s="13">
        <f t="shared" si="164"/>
        <v>39.62826685000794</v>
      </c>
      <c r="AL186" s="20">
        <f t="shared" si="165"/>
        <v>338.32827143043056</v>
      </c>
      <c r="AM186" s="59">
        <f t="shared" si="113"/>
        <v>631.66160476376388</v>
      </c>
      <c r="AN186" s="59">
        <f ca="1">AVERAGE(OFFSET($AM$3,0,0,'Données projet'!$E$10+1,1))-AVERAGE(OFFSET($H$3,0,0,'Données projet'!$E$10+1,1))</f>
        <v>263.30962868541337</v>
      </c>
      <c r="AO186" s="59">
        <f t="shared" si="144"/>
        <v>269.61868559913404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6.9880151189219823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6.9880151189219823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-2.5006556825246661E-14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181.39264602498668</v>
      </c>
      <c r="T187" s="59">
        <f t="shared" si="142"/>
        <v>338.52444384059521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3.0288033400888223</v>
      </c>
      <c r="AA187" s="21">
        <f>EXP(-LN(2)/25)*AA186+(1-EXP(-LN(2)/25))/(LN(2)/25)*Calculateur!V187*Calculateur!X187*VLOOKUP('Données projet'!$B$9,Paramètres!$A$1:$I$89,3,0)*0.475*44/12</f>
        <v>0.23164953766162458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3.2604528777504469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236.00000000000009</v>
      </c>
      <c r="AJ187" s="13">
        <f>AI187*VLOOKUP('Données projet'!$B$10,Paramètres!$A$1:$I$89,3,0)*VLOOKUP('Données projet'!$B$10,Paramètres!$A$1:$I$89,5,0)</f>
        <v>154.62720000000004</v>
      </c>
      <c r="AK187" s="13">
        <f t="shared" si="164"/>
        <v>39.62826685000794</v>
      </c>
      <c r="AL187" s="20">
        <f t="shared" si="165"/>
        <v>338.32827143043056</v>
      </c>
      <c r="AM187" s="59">
        <f t="shared" si="113"/>
        <v>631.66160476376388</v>
      </c>
      <c r="AN187" s="59">
        <f ca="1">AVERAGE(OFFSET($AM$3,0,0,'Données projet'!$E$10+1,1))-AVERAGE(OFFSET($H$3,0,0,'Données projet'!$E$10+1,1))</f>
        <v>263.30962868541337</v>
      </c>
      <c r="AO187" s="59">
        <f t="shared" si="144"/>
        <v>269.61868559913404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6.8509844047082806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6.8509844047082806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-2.5006556825246661E-14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181.39264602498668</v>
      </c>
      <c r="T188" s="59">
        <f t="shared" si="142"/>
        <v>338.52444384059521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2.9694103539773038</v>
      </c>
      <c r="AA188" s="21">
        <f>EXP(-LN(2)/25)*AA187+(1-EXP(-LN(2)/25))/(LN(2)/25)*Calculateur!V188*Calculateur!X188*VLOOKUP('Données projet'!$B$9,Paramètres!$A$1:$I$89,3,0)*0.475*44/12</f>
        <v>0.2253150688723477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3.1947254228496513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236.00000000000009</v>
      </c>
      <c r="AJ188" s="13">
        <f>AI188*VLOOKUP('Données projet'!$B$10,Paramètres!$A$1:$I$89,3,0)*VLOOKUP('Données projet'!$B$10,Paramètres!$A$1:$I$89,5,0)</f>
        <v>154.62720000000004</v>
      </c>
      <c r="AK188" s="13">
        <f t="shared" si="164"/>
        <v>39.62826685000794</v>
      </c>
      <c r="AL188" s="20">
        <f t="shared" si="165"/>
        <v>338.32827143043056</v>
      </c>
      <c r="AM188" s="59">
        <f t="shared" si="113"/>
        <v>631.66160476376388</v>
      </c>
      <c r="AN188" s="59">
        <f ca="1">AVERAGE(OFFSET($AM$3,0,0,'Données projet'!$E$10+1,1))-AVERAGE(OFFSET($H$3,0,0,'Données projet'!$E$10+1,1))</f>
        <v>263.30962868541337</v>
      </c>
      <c r="AO188" s="59">
        <f t="shared" si="144"/>
        <v>269.61868559913404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6.7166407792198273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6.7166407792198273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-2.5006556825246661E-14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181.39264602498668</v>
      </c>
      <c r="T189" s="59">
        <f t="shared" si="142"/>
        <v>338.52444384059521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2.9111820280972873</v>
      </c>
      <c r="AA189" s="21">
        <f>EXP(-LN(2)/25)*AA188+(1-EXP(-LN(2)/25))/(LN(2)/25)*Calculateur!V189*Calculateur!X189*VLOOKUP('Données projet'!$B$9,Paramètres!$A$1:$I$89,3,0)*0.475*44/12</f>
        <v>0.21915381646522886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3.130335844562516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236.00000000000009</v>
      </c>
      <c r="AJ189" s="13">
        <f>AI189*VLOOKUP('Données projet'!$B$10,Paramètres!$A$1:$I$89,3,0)*VLOOKUP('Données projet'!$B$10,Paramètres!$A$1:$I$89,5,0)</f>
        <v>154.62720000000004</v>
      </c>
      <c r="AK189" s="13">
        <f t="shared" si="164"/>
        <v>39.62826685000794</v>
      </c>
      <c r="AL189" s="20">
        <f t="shared" si="165"/>
        <v>338.32827143043056</v>
      </c>
      <c r="AM189" s="59">
        <f t="shared" si="113"/>
        <v>631.66160476376388</v>
      </c>
      <c r="AN189" s="59">
        <f ca="1">AVERAGE(OFFSET($AM$3,0,0,'Données projet'!$E$10+1,1))-AVERAGE(OFFSET($H$3,0,0,'Données projet'!$E$10+1,1))</f>
        <v>263.30962868541337</v>
      </c>
      <c r="AO189" s="59">
        <f t="shared" si="144"/>
        <v>269.61868559913404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6.584931550285682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6.584931550285682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-2.5006556825246661E-14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181.39264602498668</v>
      </c>
      <c r="T190" s="59">
        <f t="shared" si="142"/>
        <v>338.52444384059521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2.8540955241720063</v>
      </c>
      <c r="AA190" s="21">
        <f>EXP(-LN(2)/25)*AA189+(1-EXP(-LN(2)/25))/(LN(2)/25)*Calculateur!V190*Calculateur!X190*VLOOKUP('Données projet'!$B$9,Paramètres!$A$1:$I$89,3,0)*0.475*44/12</f>
        <v>0.21316104382918885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3.0672565680011949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236.00000000000009</v>
      </c>
      <c r="AJ190" s="13">
        <f>AI190*VLOOKUP('Données projet'!$B$10,Paramètres!$A$1:$I$89,3,0)*VLOOKUP('Données projet'!$B$10,Paramètres!$A$1:$I$89,5,0)</f>
        <v>154.62720000000004</v>
      </c>
      <c r="AK190" s="13">
        <f t="shared" si="164"/>
        <v>39.62826685000794</v>
      </c>
      <c r="AL190" s="20">
        <f t="shared" si="165"/>
        <v>338.32827143043056</v>
      </c>
      <c r="AM190" s="59">
        <f t="shared" si="113"/>
        <v>631.66160476376388</v>
      </c>
      <c r="AN190" s="59">
        <f ca="1">AVERAGE(OFFSET($AM$3,0,0,'Données projet'!$E$10+1,1))-AVERAGE(OFFSET($H$3,0,0,'Données projet'!$E$10+1,1))</f>
        <v>263.30962868541337</v>
      </c>
      <c r="AO190" s="59">
        <f t="shared" si="144"/>
        <v>269.61868559913404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6.4558050589962379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6.4558050589962379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-2.5006556825246661E-14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181.39264602498668</v>
      </c>
      <c r="T191" s="59">
        <f t="shared" si="142"/>
        <v>338.52444384059521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2.7981284517693705</v>
      </c>
      <c r="AA191" s="21">
        <f>EXP(-LN(2)/25)*AA190+(1-EXP(-LN(2)/25))/(LN(2)/25)*Calculateur!V191*Calculateur!X191*VLOOKUP('Données projet'!$B$9,Paramètres!$A$1:$I$89,3,0)*0.475*44/12</f>
        <v>0.20733214387602758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3.0054605956453981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236.00000000000009</v>
      </c>
      <c r="AJ191" s="13">
        <f>AI191*VLOOKUP('Données projet'!$B$10,Paramètres!$A$1:$I$89,3,0)*VLOOKUP('Données projet'!$B$10,Paramètres!$A$1:$I$89,5,0)</f>
        <v>154.62720000000004</v>
      </c>
      <c r="AK191" s="13">
        <f t="shared" si="164"/>
        <v>39.62826685000794</v>
      </c>
      <c r="AL191" s="20">
        <f t="shared" si="165"/>
        <v>338.32827143043056</v>
      </c>
      <c r="AM191" s="59">
        <f t="shared" si="113"/>
        <v>631.66160476376388</v>
      </c>
      <c r="AN191" s="59">
        <f ca="1">AVERAGE(OFFSET($AM$3,0,0,'Données projet'!$E$10+1,1))-AVERAGE(OFFSET($H$3,0,0,'Données projet'!$E$10+1,1))</f>
        <v>263.30962868541337</v>
      </c>
      <c r="AO191" s="59">
        <f t="shared" si="144"/>
        <v>269.61868559913404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6.3292106594415971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6.3292106594415971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-2.5006556825246661E-14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181.39264602498668</v>
      </c>
      <c r="T192" s="59">
        <f t="shared" si="142"/>
        <v>338.52444384059521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2.7432588595200071</v>
      </c>
      <c r="AA192" s="21">
        <f>EXP(-LN(2)/25)*AA191+(1-EXP(-LN(2)/25))/(LN(2)/25)*Calculateur!V192*Calculateur!X192*VLOOKUP('Données projet'!$B$9,Paramètres!$A$1:$I$89,3,0)*0.475*44/12</f>
        <v>0.20166263549861402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2.9449214950186211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236.00000000000009</v>
      </c>
      <c r="AJ192" s="13">
        <f>AI192*VLOOKUP('Données projet'!$B$10,Paramètres!$A$1:$I$89,3,0)*VLOOKUP('Données projet'!$B$10,Paramètres!$A$1:$I$89,5,0)</f>
        <v>154.62720000000004</v>
      </c>
      <c r="AK192" s="13">
        <f t="shared" si="164"/>
        <v>39.62826685000794</v>
      </c>
      <c r="AL192" s="20">
        <f t="shared" si="165"/>
        <v>338.32827143043056</v>
      </c>
      <c r="AM192" s="59">
        <f t="shared" si="113"/>
        <v>631.66160476376388</v>
      </c>
      <c r="AN192" s="59">
        <f ca="1">AVERAGE(OFFSET($AM$3,0,0,'Données projet'!$E$10+1,1))-AVERAGE(OFFSET($H$3,0,0,'Données projet'!$E$10+1,1))</f>
        <v>263.30962868541337</v>
      </c>
      <c r="AO192" s="59">
        <f t="shared" si="144"/>
        <v>269.61868559913404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6.2050986988472632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6.2050986988472632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-2.5006556825246661E-14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181.39264602498668</v>
      </c>
      <c r="T193" s="59">
        <f t="shared" si="142"/>
        <v>338.52444384059521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2.6894652265075072</v>
      </c>
      <c r="AA193" s="21">
        <f>EXP(-LN(2)/25)*AA192+(1-EXP(-LN(2)/25))/(LN(2)/25)*Calculateur!V193*Calculateur!X193*VLOOKUP('Données projet'!$B$9,Paramètres!$A$1:$I$89,3,0)*0.475*44/12</f>
        <v>0.19614816012592731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2.8856133866334344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236.00000000000009</v>
      </c>
      <c r="AJ193" s="13">
        <f>AI193*VLOOKUP('Données projet'!$B$10,Paramètres!$A$1:$I$89,3,0)*VLOOKUP('Données projet'!$B$10,Paramètres!$A$1:$I$89,5,0)</f>
        <v>154.62720000000004</v>
      </c>
      <c r="AK193" s="13">
        <f t="shared" si="164"/>
        <v>39.62826685000794</v>
      </c>
      <c r="AL193" s="20">
        <f t="shared" si="165"/>
        <v>338.32827143043056</v>
      </c>
      <c r="AM193" s="59">
        <f t="shared" si="113"/>
        <v>631.66160476376388</v>
      </c>
      <c r="AN193" s="59">
        <f ca="1">AVERAGE(OFFSET($AM$3,0,0,'Données projet'!$E$10+1,1))-AVERAGE(OFFSET($H$3,0,0,'Données projet'!$E$10+1,1))</f>
        <v>263.30962868541337</v>
      </c>
      <c r="AO193" s="59">
        <f t="shared" si="144"/>
        <v>269.61868559913404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6.0834204980993629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6.0834204980993629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-2.5006556825246661E-14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181.39264602498668</v>
      </c>
      <c r="T194" s="59">
        <f t="shared" si="142"/>
        <v>338.52444384059521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2.6367264538275061</v>
      </c>
      <c r="AA194" s="21">
        <f>EXP(-LN(2)/25)*AA193+(1-EXP(-LN(2)/25))/(LN(2)/25)*Calculateur!V194*Calculateur!X194*VLOOKUP('Données projet'!$B$9,Paramètres!$A$1:$I$89,3,0)*0.475*44/12</f>
        <v>0.19078447837230039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2.8275109321998064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236.00000000000009</v>
      </c>
      <c r="AJ194" s="13">
        <f>AI194*VLOOKUP('Données projet'!$B$10,Paramètres!$A$1:$I$89,3,0)*VLOOKUP('Données projet'!$B$10,Paramètres!$A$1:$I$89,5,0)</f>
        <v>154.62720000000004</v>
      </c>
      <c r="AK194" s="13">
        <f t="shared" si="164"/>
        <v>39.62826685000794</v>
      </c>
      <c r="AL194" s="20">
        <f t="shared" si="165"/>
        <v>338.32827143043056</v>
      </c>
      <c r="AM194" s="59">
        <f t="shared" si="113"/>
        <v>631.66160476376388</v>
      </c>
      <c r="AN194" s="59">
        <f ca="1">AVERAGE(OFFSET($AM$3,0,0,'Données projet'!$E$10+1,1))-AVERAGE(OFFSET($H$3,0,0,'Données projet'!$E$10+1,1))</f>
        <v>263.30962868541337</v>
      </c>
      <c r="AO194" s="59">
        <f t="shared" si="144"/>
        <v>269.61868559913404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5.9641283326517547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5.9641283326517547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-2.5006556825246661E-14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181.39264602498668</v>
      </c>
      <c r="T195" s="59">
        <f t="shared" si="142"/>
        <v>338.52444384059521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2.5850218563122844</v>
      </c>
      <c r="AA195" s="21">
        <f>EXP(-LN(2)/25)*AA194+(1-EXP(-LN(2)/25))/(LN(2)/25)*Calculateur!V195*Calculateur!X195*VLOOKUP('Données projet'!$B$9,Paramètres!$A$1:$I$89,3,0)*0.475*44/12</f>
        <v>0.18556746677829017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2.7705893230905745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236.00000000000009</v>
      </c>
      <c r="AJ195" s="13">
        <f>AI195*VLOOKUP('Données projet'!$B$10,Paramètres!$A$1:$I$89,3,0)*VLOOKUP('Données projet'!$B$10,Paramètres!$A$1:$I$89,5,0)</f>
        <v>154.62720000000004</v>
      </c>
      <c r="AK195" s="13">
        <f t="shared" si="164"/>
        <v>39.62826685000794</v>
      </c>
      <c r="AL195" s="20">
        <f t="shared" si="165"/>
        <v>338.32827143043056</v>
      </c>
      <c r="AM195" s="59">
        <f t="shared" si="113"/>
        <v>631.66160476376388</v>
      </c>
      <c r="AN195" s="59">
        <f ca="1">AVERAGE(OFFSET($AM$3,0,0,'Données projet'!$E$10+1,1))-AVERAGE(OFFSET($H$3,0,0,'Données projet'!$E$10+1,1))</f>
        <v>263.30962868541337</v>
      </c>
      <c r="AO195" s="59">
        <f t="shared" si="144"/>
        <v>269.61868559913404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5.8471754138075376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5.8471754138075376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-2.5006556825246661E-14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181.39264602498668</v>
      </c>
      <c r="T196" s="59">
        <f t="shared" si="142"/>
        <v>338.52444384059521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2.5343311544176461</v>
      </c>
      <c r="AA196" s="21">
        <f>EXP(-LN(2)/25)*AA195+(1-EXP(-LN(2)/25))/(LN(2)/25)*Calculateur!V196*Calculateur!X196*VLOOKUP('Données projet'!$B$9,Paramètres!$A$1:$I$89,3,0)*0.475*44/12</f>
        <v>0.18049311464066886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2.7148242690583149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236.00000000000009</v>
      </c>
      <c r="AJ196" s="13">
        <f>AI196*VLOOKUP('Données projet'!$B$10,Paramètres!$A$1:$I$89,3,0)*VLOOKUP('Données projet'!$B$10,Paramètres!$A$1:$I$89,5,0)</f>
        <v>154.62720000000004</v>
      </c>
      <c r="AK196" s="13">
        <f t="shared" si="164"/>
        <v>39.62826685000794</v>
      </c>
      <c r="AL196" s="20">
        <f t="shared" si="165"/>
        <v>338.32827143043056</v>
      </c>
      <c r="AM196" s="59">
        <f t="shared" ref="AM196:AM203" si="193">AL196+(AD196+AE196)*44/12</f>
        <v>631.66160476376388</v>
      </c>
      <c r="AN196" s="59">
        <f ca="1">AVERAGE(OFFSET($AM$3,0,0,'Données projet'!$E$10+1,1))-AVERAGE(OFFSET($H$3,0,0,'Données projet'!$E$10+1,1))</f>
        <v>263.30962868541337</v>
      </c>
      <c r="AO196" s="59">
        <f t="shared" si="144"/>
        <v>269.61868559913404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5.7325158703676191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5.7325158703676191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-2.5006556825246661E-14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181.39264602498668</v>
      </c>
      <c r="T197" s="59">
        <f t="shared" ref="T197:T203" si="204">$T$3</f>
        <v>338.52444384059521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2.4846344662688864</v>
      </c>
      <c r="AA197" s="21">
        <f>EXP(-LN(2)/25)*AA196+(1-EXP(-LN(2)/25))/(LN(2)/25)*Calculateur!V197*Calculateur!X197*VLOOKUP('Données projet'!$B$9,Paramètres!$A$1:$I$89,3,0)*0.475*44/12</f>
        <v>0.1755575209290994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2.6601919871979858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236.00000000000009</v>
      </c>
      <c r="AJ197" s="13">
        <f>AI197*VLOOKUP('Données projet'!$B$10,Paramètres!$A$1:$I$89,3,0)*VLOOKUP('Données projet'!$B$10,Paramètres!$A$1:$I$89,5,0)</f>
        <v>154.62720000000004</v>
      </c>
      <c r="AK197" s="13">
        <f t="shared" si="164"/>
        <v>39.62826685000794</v>
      </c>
      <c r="AL197" s="20">
        <f t="shared" si="165"/>
        <v>338.32827143043056</v>
      </c>
      <c r="AM197" s="59">
        <f t="shared" si="193"/>
        <v>631.66160476376388</v>
      </c>
      <c r="AN197" s="59">
        <f ca="1">AVERAGE(OFFSET($AM$3,0,0,'Données projet'!$E$10+1,1))-AVERAGE(OFFSET($H$3,0,0,'Données projet'!$E$10+1,1))</f>
        <v>263.30962868541337</v>
      </c>
      <c r="AO197" s="59">
        <f t="shared" ref="AO197:AO203" si="205">$AO$3</f>
        <v>269.61868559913404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5.6201047306391416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5.6201047306391416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-2.5006556825246661E-14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181.39264602498668</v>
      </c>
      <c r="T198" s="59">
        <f t="shared" si="204"/>
        <v>338.52444384059521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2.4359122998627369</v>
      </c>
      <c r="AA198" s="21">
        <f>EXP(-LN(2)/25)*AA197+(1-EXP(-LN(2)/25))/(LN(2)/25)*Calculateur!V198*Calculateur!X198*VLOOKUP('Données projet'!$B$9,Paramètres!$A$1:$I$89,3,0)*0.475*44/12</f>
        <v>0.1707568912871244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2.6066691911498614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236.00000000000009</v>
      </c>
      <c r="AJ198" s="13">
        <f>AI198*VLOOKUP('Données projet'!$B$10,Paramètres!$A$1:$I$89,3,0)*VLOOKUP('Données projet'!$B$10,Paramètres!$A$1:$I$89,5,0)</f>
        <v>154.62720000000004</v>
      </c>
      <c r="AK198" s="13">
        <f t="shared" si="164"/>
        <v>39.62826685000794</v>
      </c>
      <c r="AL198" s="20">
        <f t="shared" si="165"/>
        <v>338.32827143043056</v>
      </c>
      <c r="AM198" s="59">
        <f t="shared" si="193"/>
        <v>631.66160476376388</v>
      </c>
      <c r="AN198" s="59">
        <f ca="1">AVERAGE(OFFSET($AM$3,0,0,'Données projet'!$E$10+1,1))-AVERAGE(OFFSET($H$3,0,0,'Données projet'!$E$10+1,1))</f>
        <v>263.30962868541337</v>
      </c>
      <c r="AO198" s="59">
        <f t="shared" si="205"/>
        <v>269.61868559913404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5.5098979047967145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5.5098979047967145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-2.5006556825246661E-14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181.39264602498668</v>
      </c>
      <c r="T199" s="59">
        <f t="shared" si="204"/>
        <v>338.52444384059521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2.3881455454222249</v>
      </c>
      <c r="AA199" s="21">
        <f>EXP(-LN(2)/25)*AA198+(1-EXP(-LN(2)/25))/(LN(2)/25)*Calculateur!V199*Calculateur!X199*VLOOKUP('Données projet'!$B$9,Paramètres!$A$1:$I$89,3,0)*0.475*44/12</f>
        <v>0.16608753511516333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2.5542330805373883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236.00000000000009</v>
      </c>
      <c r="AJ199" s="13">
        <f>AI199*VLOOKUP('Données projet'!$B$10,Paramètres!$A$1:$I$89,3,0)*VLOOKUP('Données projet'!$B$10,Paramètres!$A$1:$I$89,5,0)</f>
        <v>154.62720000000004</v>
      </c>
      <c r="AK199" s="13">
        <f t="shared" si="164"/>
        <v>39.62826685000794</v>
      </c>
      <c r="AL199" s="20">
        <f t="shared" si="165"/>
        <v>338.32827143043056</v>
      </c>
      <c r="AM199" s="59">
        <f t="shared" si="193"/>
        <v>631.66160476376388</v>
      </c>
      <c r="AN199" s="59">
        <f ca="1">AVERAGE(OFFSET($AM$3,0,0,'Données projet'!$E$10+1,1))-AVERAGE(OFFSET($H$3,0,0,'Données projet'!$E$10+1,1))</f>
        <v>263.30962868541337</v>
      </c>
      <c r="AO199" s="59">
        <f t="shared" si="205"/>
        <v>269.61868559913404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5.4018521675895306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5.4018521675895306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-2.5006556825246661E-14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181.39264602498668</v>
      </c>
      <c r="T200" s="59">
        <f t="shared" si="204"/>
        <v>338.52444384059521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2.3413154679014481</v>
      </c>
      <c r="AA200" s="21">
        <f>EXP(-LN(2)/25)*AA199+(1-EXP(-LN(2)/25))/(LN(2)/25)*Calculateur!V200*Calculateur!X200*VLOOKUP('Données projet'!$B$9,Paramètres!$A$1:$I$89,3,0)*0.475*44/12</f>
        <v>0.16154586273327531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2.5028613306347234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236.00000000000009</v>
      </c>
      <c r="AJ200" s="13">
        <f>AI200*VLOOKUP('Données projet'!$B$10,Paramètres!$A$1:$I$89,3,0)*VLOOKUP('Données projet'!$B$10,Paramètres!$A$1:$I$89,5,0)</f>
        <v>154.62720000000004</v>
      </c>
      <c r="AK200" s="13">
        <f t="shared" si="164"/>
        <v>39.62826685000794</v>
      </c>
      <c r="AL200" s="20">
        <f t="shared" si="165"/>
        <v>338.32827143043056</v>
      </c>
      <c r="AM200" s="59">
        <f t="shared" si="193"/>
        <v>631.66160476376388</v>
      </c>
      <c r="AN200" s="59">
        <f ca="1">AVERAGE(OFFSET($AM$3,0,0,'Données projet'!$E$10+1,1))-AVERAGE(OFFSET($H$3,0,0,'Données projet'!$E$10+1,1))</f>
        <v>263.30962868541337</v>
      </c>
      <c r="AO200" s="59">
        <f t="shared" si="205"/>
        <v>269.61868559913404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5.2959251413875874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5.2959251413875874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-2.5006556825246661E-14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181.39264602498668</v>
      </c>
      <c r="T201" s="59">
        <f t="shared" si="204"/>
        <v>338.52444384059521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2.2954036996373266</v>
      </c>
      <c r="AA201" s="21">
        <f>EXP(-LN(2)/25)*AA200+(1-EXP(-LN(2)/25))/(LN(2)/25)*Calculateur!V201*Calculateur!X201*VLOOKUP('Données projet'!$B$9,Paramètres!$A$1:$I$89,3,0)*0.475*44/12</f>
        <v>0.15712838262150619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2.4525320822588328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236.00000000000009</v>
      </c>
      <c r="AJ201" s="13">
        <f>AI201*VLOOKUP('Données projet'!$B$10,Paramètres!$A$1:$I$89,3,0)*VLOOKUP('Données projet'!$B$10,Paramètres!$A$1:$I$89,5,0)</f>
        <v>154.62720000000004</v>
      </c>
      <c r="AK201" s="13">
        <f t="shared" si="164"/>
        <v>39.62826685000794</v>
      </c>
      <c r="AL201" s="20">
        <f t="shared" si="165"/>
        <v>338.32827143043056</v>
      </c>
      <c r="AM201" s="59">
        <f t="shared" si="193"/>
        <v>631.66160476376388</v>
      </c>
      <c r="AN201" s="59">
        <f ca="1">AVERAGE(OFFSET($AM$3,0,0,'Données projet'!$E$10+1,1))-AVERAGE(OFFSET($H$3,0,0,'Données projet'!$E$10+1,1))</f>
        <v>263.30962868541337</v>
      </c>
      <c r="AO201" s="59">
        <f t="shared" si="205"/>
        <v>269.61868559913404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5.192075279560358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5.192075279560358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-2.5006556825246661E-14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181.39264602498668</v>
      </c>
      <c r="T202" s="59">
        <f t="shared" si="204"/>
        <v>338.52444384059521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2.2503922331454511</v>
      </c>
      <c r="AA202" s="21">
        <f>EXP(-LN(2)/25)*AA201+(1-EXP(-LN(2)/25))/(LN(2)/25)*Calculateur!V202*Calculateur!X202*VLOOKUP('Données projet'!$B$9,Paramètres!$A$1:$I$89,3,0)*0.475*44/12</f>
        <v>0.15283169873569857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2.4032239318811497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236.00000000000009</v>
      </c>
      <c r="AJ202" s="13">
        <f>AI202*VLOOKUP('Données projet'!$B$10,Paramètres!$A$1:$I$89,3,0)*VLOOKUP('Données projet'!$B$10,Paramètres!$A$1:$I$89,5,0)</f>
        <v>154.62720000000004</v>
      </c>
      <c r="AK202" s="13">
        <f t="shared" si="164"/>
        <v>39.62826685000794</v>
      </c>
      <c r="AL202" s="20">
        <f t="shared" si="165"/>
        <v>338.32827143043056</v>
      </c>
      <c r="AM202" s="59">
        <f t="shared" si="193"/>
        <v>631.66160476376388</v>
      </c>
      <c r="AN202" s="59">
        <f ca="1">AVERAGE(OFFSET($AM$3,0,0,'Données projet'!$E$10+1,1))-AVERAGE(OFFSET($H$3,0,0,'Données projet'!$E$10+1,1))</f>
        <v>263.30962868541337</v>
      </c>
      <c r="AO202" s="59">
        <f t="shared" si="205"/>
        <v>269.61868559913404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5.090261850181399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5.090261850181399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-2.5006556825246661E-14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181.39264602498668</v>
      </c>
      <c r="T203" s="59">
        <f t="shared" si="204"/>
        <v>338.52444384059521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2.2062634140571977</v>
      </c>
      <c r="AA203" s="21">
        <f>EXP(-LN(2)/25)*AA202+(1-EXP(-LN(2)/25))/(LN(2)/25)*Calculateur!V203*Calculateur!X203*VLOOKUP('Données projet'!$B$9,Paramètres!$A$1:$I$89,3,0)*0.475*44/12</f>
        <v>0.14865250789670117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2.3549159219538991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236.00000000000009</v>
      </c>
      <c r="AJ203" s="13">
        <f>AI203*VLOOKUP('Données projet'!$B$10,Paramètres!$A$1:$I$89,3,0)*VLOOKUP('Données projet'!$B$10,Paramètres!$A$1:$I$89,5,0)</f>
        <v>154.62720000000004</v>
      </c>
      <c r="AK203" s="13">
        <f t="shared" si="164"/>
        <v>39.62826685000794</v>
      </c>
      <c r="AL203" s="20">
        <f t="shared" si="165"/>
        <v>338.32827143043056</v>
      </c>
      <c r="AM203" s="59">
        <f t="shared" si="193"/>
        <v>631.66160476376388</v>
      </c>
      <c r="AN203" s="59">
        <f ca="1">AVERAGE(OFFSET($AM$3,0,0,'Données projet'!$E$10+1,1))-AVERAGE(OFFSET($H$3,0,0,'Données projet'!$E$10+1,1))</f>
        <v>263.30962868541337</v>
      </c>
      <c r="AO203" s="59">
        <f t="shared" si="205"/>
        <v>269.61868559913404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4.9904449200525018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4.9904449200525018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1.660847009958063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1.2709816152101407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I-214</v>
      </c>
      <c r="B6" s="144">
        <f>'Données projet'!D9</f>
        <v>1.2000000000000002</v>
      </c>
      <c r="C6" s="145">
        <f ca="1">IF(OR('Données projet'!B9="",'Données projet'!C9="",'Données projet'!C9=0%),0,Calculateur!S3)</f>
        <v>181.39264602498668</v>
      </c>
      <c r="D6" s="145">
        <f>IF(OR('Données projet'!B9="",'Données projet'!C9="",'Données projet'!C9=0%),0,Calculateur!T3)</f>
        <v>338.52444384059521</v>
      </c>
      <c r="E6" s="145">
        <f ca="1">MIN(C6,D6)</f>
        <v>181.39264602498668</v>
      </c>
      <c r="F6" s="145">
        <f ca="1">E6*B6</f>
        <v>217.67117522998404</v>
      </c>
      <c r="G6" s="145">
        <f ca="1">F6*(100%-'Données projet'!$C$24)*(100%-'Données projet'!$C$25)*(100%-'Données projet'!$C$26)*(100%-'Données projet'!$C$27)</f>
        <v>156.72324616558851</v>
      </c>
      <c r="H6" s="146">
        <f>IF(OR('Données projet'!B9="",'Données projet'!C9="",'Données projet'!C9=0%),0,AVERAGE(Calculateur!$AC$3:$AC$33)*B6)</f>
        <v>23.287177967697083</v>
      </c>
      <c r="I6" s="147">
        <f>H6*(100%-'Données projet'!$C$24)*(100%-'Données projet'!$C$25)*(100%-'Données projet'!$C$26)*(100%-'Données projet'!$C$27)</f>
        <v>16.766768136741902</v>
      </c>
      <c r="J6" s="148">
        <f>IF(OR('Données projet'!B9="",'Données projet'!C9="",'Données projet'!C9=0%),0,SUM(Calculateur!$V$3:$V$33)*VLOOKUP('Données projet'!$B$9,Paramètres!$A$1:$I$89,9,0)*B6)</f>
        <v>396.15384613800001</v>
      </c>
      <c r="K6" s="149">
        <f>J6*(100%-'Données projet'!$C$24)*(100%-'Données projet'!$C$25)*(100%-'Données projet'!$C$26)*(100%-'Données projet'!$C$27)</f>
        <v>285.23076921936001</v>
      </c>
      <c r="L6" s="150">
        <f ca="1">G6+I6+K6</f>
        <v>458.72078352169041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Aulne glutineux</v>
      </c>
      <c r="B7" s="152">
        <f>'Données projet'!D10</f>
        <v>0.4</v>
      </c>
      <c r="C7" s="145">
        <f ca="1">IF(OR('Données projet'!B10="",'Données projet'!C10="",'Données projet'!C10=0%),0,Calculateur!AN3)</f>
        <v>263.30962868541337</v>
      </c>
      <c r="D7" s="145">
        <f>IF(OR('Données projet'!B10="",'Données projet'!C10="",'Données projet'!C10=0%),0,Calculateur!AO3)</f>
        <v>269.61868559913404</v>
      </c>
      <c r="E7" s="145">
        <f t="shared" ref="E7:E15" ca="1" si="0">MIN(C7,D7)</f>
        <v>263.30962868541337</v>
      </c>
      <c r="F7" s="145">
        <f t="shared" ref="F7:F15" ca="1" si="1">E7*B7</f>
        <v>105.32385147416535</v>
      </c>
      <c r="G7" s="145">
        <f ca="1">F7*(100%-'Données projet'!$C$24)*(100%-'Données projet'!$C$25)*(100%-'Données projet'!$C$26)*(100%-'Données projet'!$C$27)</f>
        <v>75.833173061399052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5.9</v>
      </c>
      <c r="K7" s="149">
        <f>J7*(100%-'Données projet'!$C$24)*(100%-'Données projet'!$C$25)*(100%-'Données projet'!$C$26)*(100%-'Données projet'!$C$27)</f>
        <v>4.2480000000000011</v>
      </c>
      <c r="L7" s="150">
        <f t="shared" ref="L7:L15" ca="1" si="2">G7+I7+K7</f>
        <v>80.081173061399056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322.99502670414938</v>
      </c>
      <c r="G16" s="164">
        <f t="shared" ca="1" si="3"/>
        <v>232.55641922698754</v>
      </c>
      <c r="H16" s="165">
        <f t="shared" si="3"/>
        <v>23.287177967697083</v>
      </c>
      <c r="I16" s="165">
        <f t="shared" si="3"/>
        <v>16.766768136741902</v>
      </c>
      <c r="J16" s="166">
        <f t="shared" si="3"/>
        <v>402.05384613799998</v>
      </c>
      <c r="K16" s="166">
        <f t="shared" si="3"/>
        <v>289.47876921936</v>
      </c>
      <c r="L16" s="167">
        <f t="shared" ca="1" si="3"/>
        <v>538.80195658308946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I-214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I-214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1.2000000000000002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Aulne glutineux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0.4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I-214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9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14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19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24</v>
      </c>
      <c r="B26" s="179">
        <f>'Données projet'!D39</f>
        <v>320.51282049999998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0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Aulne glutineux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1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10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21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23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25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25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24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23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22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20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19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16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85</v>
      </c>
      <c r="B69" s="179">
        <f>'Données projet'!D77</f>
        <v>15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90</v>
      </c>
      <c r="B70" s="179">
        <f>'Données projet'!D78</f>
        <v>14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2026-02-04T14:51:52Z</dcterms:modified>
</cp:coreProperties>
</file>