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TC_Wierre-Effroy (62)\Dossier d_instruction\"/>
    </mc:Choice>
  </mc:AlternateContent>
  <xr:revisionPtr revIDLastSave="0" documentId="13_ncr:1_{381F3551-4561-48C9-B0A1-3451900C6027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B162" i="2"/>
  <c r="EC162" i="2"/>
  <c r="ED162" i="2" s="1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D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D201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DN186" i="2" l="1" a="1"/>
  <c r="DN186" i="2" s="1"/>
  <c r="EY202" i="2"/>
  <c r="CS105" i="2" a="1"/>
  <c r="CS105" i="2" s="1"/>
  <c r="CS77" i="2" a="1"/>
  <c r="CS77" i="2" s="1"/>
  <c r="CS52" i="2" a="1"/>
  <c r="CS52" i="2" s="1"/>
  <c r="CS134" i="2" a="1"/>
  <c r="CS134" i="2" s="1"/>
  <c r="CS185" i="2" a="1"/>
  <c r="CS185" i="2" s="1"/>
  <c r="CS161" i="2" a="1"/>
  <c r="CS161" i="2" s="1"/>
  <c r="CS114" i="2" a="1"/>
  <c r="CS114" i="2" s="1"/>
  <c r="CS120" i="2" a="1"/>
  <c r="CS120" i="2" s="1"/>
  <c r="CS116" i="2" a="1"/>
  <c r="CS116" i="2" s="1"/>
  <c r="CS66" i="2" a="1"/>
  <c r="CS66" i="2" s="1"/>
  <c r="AH62" i="2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<sst xmlns="http://schemas.openxmlformats.org/spreadsheetml/2006/main" count="1185" uniqueCount="329">
  <si>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</si>
  <si>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</si>
  <si>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</si>
  <si>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</si>
  <si>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</si>
  <si>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</si>
  <si>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</si>
  <si>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</si>
  <si>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</si>
  <si>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</si>
  <si>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</si>
  <si>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</si>
  <si>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</si>
  <si>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</si>
  <si>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</si>
  <si>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</si>
  <si>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</si>
  <si>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</si>
  <si>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</si>
  <si>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</si>
  <si>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</si>
  <si>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</si>
  <si>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</si>
  <si>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</si>
  <si>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</si>
  <si>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</si>
  <si>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</si>
  <si>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</si>
  <si>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</si>
  <si>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</si>
  <si>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</si>
  <si>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</si>
  <si>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</si>
  <si>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</si>
  <si>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</si>
  <si>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</si>
  <si>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</si>
  <si>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</si>
  <si>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</si>
  <si>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</si>
  <si>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</si>
  <si>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</si>
  <si>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</si>
  <si>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</si>
  <si>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</si>
  <si>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</si>
  <si>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</si>
  <si>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</si>
  <si>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</si>
  <si>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</si>
  <si>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</si>
  <si>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</si>
  <si>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</si>
  <si>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</si>
  <si>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</si>
  <si>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</si>
  <si>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</si>
  <si>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</si>
  <si>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</si>
  <si>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</si>
  <si>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</si>
  <si>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</si>
  <si>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</si>
  <si>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</si>
  <si>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</si>
  <si>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</si>
  <si>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</si>
  <si>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</si>
  <si>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</si>
  <si>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</si>
  <si>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</si>
  <si>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</si>
  <si>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</si>
  <si>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</si>
  <si>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</si>
  <si>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</si>
  <si>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</si>
  <si>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</si>
  <si>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</si>
  <si>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</si>
  <si>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</si>
  <si>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</si>
  <si>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</si>
  <si>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</si>
  <si>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</si>
  <si>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</si>
  <si>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</si>
  <si>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</si>
  <si>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</si>
  <si>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</si>
  <si>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</si>
  <si>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</si>
  <si>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</si>
  <si>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</si>
  <si>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</si>
  <si>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</si>
  <si>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</si>
  <si>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</si>
  <si>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</si>
  <si>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</si>
  <si>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</si>
  <si>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</si>
  <si>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</si>
  <si>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</si>
  <si>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</si>
  <si>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</si>
  <si>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</si>
  <si>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</si>
  <si>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</si>
  <si>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</si>
  <si>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</si>
  <si>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</si>
  <si>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</si>
  <si>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</si>
  <si>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</si>
  <si>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</si>
  <si>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</si>
  <si>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</si>
  <si>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</si>
  <si>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</si>
  <si>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</si>
  <si>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</si>
  <si>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</si>
  <si>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</si>
  <si>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</si>
  <si>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</si>
  <si>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</si>
  <si>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</si>
  <si>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</si>
  <si>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</si>
  <si>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</si>
  <si>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</si>
  <si>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</si>
  <si>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</si>
  <si>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</si>
  <si>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</si>
  <si>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</si>
  <si>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</si>
  <si>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</si>
  <si>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</si>
  <si>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</si>
  <si>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</si>
  <si>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</si>
  <si>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</si>
  <si>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</si>
  <si>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</si>
  <si>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</si>
  <si>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</si>
  <si>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</si>
  <si>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</si>
  <si>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</si>
  <si>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</si>
  <si>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</si>
  <si>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</si>
  <si>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</si>
  <si>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</si>
  <si>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</si>
  <si>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</si>
  <si>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</si>
  <si>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</si>
  <si>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</si>
  <si>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</si>
  <si>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</si>
  <si>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</si>
  <si>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</si>
  <si>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</si>
  <si>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</si>
  <si>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</si>
  <si>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</si>
  <si>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</si>
  <si>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</si>
  <si>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</si>
  <si>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</si>
  <si>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</si>
  <si>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</si>
  <si>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</si>
  <si>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</si>
  <si>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</si>
  <si>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</si>
  <si>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</si>
  <si>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</si>
  <si>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</si>
  <si>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</si>
  <si>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</si>
  <si>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</si>
  <si>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</si>
  <si>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</si>
  <si>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</si>
  <si>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</si>
  <si>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</si>
  <si>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</si>
  <si>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</si>
  <si>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</si>
  <si>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</si>
  <si>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</si>
  <si>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</si>
  <si>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</si>
  <si>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</si>
  <si>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</si>
  <si>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</si>
  <si>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</si>
  <si>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</si>
  <si>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</si>
  <si>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</si>
  <si>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</si>
  <si>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</si>
  <si>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</si>
  <si>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</si>
  <si>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</si>
  <si>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</si>
  <si>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</si>
  <si>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</si>
  <si>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</si>
  <si>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</si>
  <si>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</si>
  <si>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</si>
  <si>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</si>
  <si>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</si>
  <si>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</si>
  <si>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</si>
  <si>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</si>
  <si>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</si>
  <si>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</si>
  <si>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</si>
  <si>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</si>
  <si>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</si>
  <si>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</si>
  <si>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</si>
  <si>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</si>
  <si>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</si>
  <si>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</si>
  <si>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</si>
  <si>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</si>
  <si>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</si>
  <si>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</si>
  <si>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</si>
  <si>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</si>
  <si>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</si>
  <si>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</si>
  <si>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</si>
  <si>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</si>
  <si>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</si>
  <si>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</si>
  <si>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</si>
  <si>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</si>
  <si>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</si>
  <si>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</si>
  <si>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</si>
  <si>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</si>
  <si>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</si>
  <si>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</si>
  <si>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</si>
  <si>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</si>
  <si>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</si>
  <si>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</si>
  <si>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</si>
  <si>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</si>
  <si>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</si>
  <si>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</si>
  <si>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</si>
  <si>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</si>
  <si>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</si>
  <si>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</si>
  <si>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</si>
  <si>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</si>
  <si>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</si>
  <si>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</si>
  <si>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</si>
  <si>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</si>
  <si>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</si>
  <si>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</si>
  <si>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</si>
  <si>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</si>
  <si>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</si>
  <si>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</si>
  <si>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</si>
  <si>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</si>
  <si>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</si>
  <si>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</si>
  <si>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</si>
  <si>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</si>
  <si>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</si>
  <si>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</si>
  <si>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</si>
  <si>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</si>
  <si>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</si>
  <si>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</si>
  <si>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</si>
  <si>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</si>
  <si>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</si>
  <si>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</si>
  <si>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</si>
  <si>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</si>
  <si>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</si>
  <si>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</si>
  <si>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</si>
  <si>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</si>
  <si>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</si>
  <si>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</si>
  <si>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</si>
  <si>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</si>
  <si>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</si>
  <si>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</si>
  <si>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</si>
  <si>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</si>
  <si>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</si>
  <si>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</si>
  <si>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</si>
  <si>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</si>
  <si>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</si>
  <si>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</si>
  <si>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</si>
  <si>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</si>
  <si>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</si>
  <si>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</si>
  <si>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</si>
  <si>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</si>
  <si>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</si>
  <si>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</si>
  <si>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</si>
  <si>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</si>
  <si>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</si>
  <si>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</si>
  <si>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</si>
  <si>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</si>
  <si>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correspondance peuplier tucano</t>
  </si>
  <si>
    <t>CR</t>
  </si>
  <si>
    <t>Classe 3/5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</si>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</sst>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2.6675160418536286</c:v>
                </c:pt>
                <c:pt idx="2">
                  <c:v>3.0797796475450805</c:v>
                </c:pt>
                <c:pt idx="3">
                  <c:v>3.5559878385241297</c:v>
                </c:pt>
                <c:pt idx="4">
                  <c:v>4.1060924310282987</c:v>
                </c:pt>
                <c:pt idx="5">
                  <c:v>4.7415989717169795</c:v>
                </c:pt>
                <c:pt idx="6">
                  <c:v>5.4758100290537763</c:v>
                </c:pt>
                <c:pt idx="7">
                  <c:v>6.3241066842509426</c:v>
                </c:pt>
                <c:pt idx="8">
                  <c:v>7.3042742345512766</c:v>
                </c:pt>
                <c:pt idx="9">
                  <c:v>8.4368790702238972</c:v>
                </c:pt>
                <c:pt idx="10">
                  <c:v>9.7457047852182921</c:v>
                </c:pt>
                <c:pt idx="11">
                  <c:v>11.258256853709192</c:v>
                </c:pt>
                <c:pt idx="12">
                  <c:v>13.006346678295186</c:v>
                </c:pt>
                <c:pt idx="13">
                  <c:v>15.026767522276629</c:v>
                </c:pt>
                <c:pt idx="14">
                  <c:v>17.362076815184228</c:v>
                </c:pt>
                <c:pt idx="15">
                  <c:v>20.061501610376787</c:v>
                </c:pt>
                <c:pt idx="16">
                  <c:v>23.181986625692318</c:v>
                </c:pt>
                <c:pt idx="17">
                  <c:v>26.78940737031709</c:v>
                </c:pt>
                <c:pt idx="18">
                  <c:v>30.95997441986454</c:v>
                </c:pt>
                <c:pt idx="19">
                  <c:v>35.781859024346574</c:v>
                </c:pt>
                <c:pt idx="20">
                  <c:v>41.357075009762639</c:v>
                </c:pt>
                <c:pt idx="21">
                  <c:v>47.803657467139118</c:v>
                </c:pt>
                <c:pt idx="22">
                  <c:v>55.258185133222831</c:v>
                </c:pt>
                <c:pt idx="23">
                  <c:v>63.87870079397883</c:v>
                </c:pt>
                <c:pt idx="24">
                  <c:v>73.848092647032104</c:v>
                </c:pt>
                <c:pt idx="25">
                  <c:v>85.378009529373216</c:v>
                </c:pt>
                <c:pt idx="26">
                  <c:v>98.713394468943918</c:v>
                </c:pt>
                <c:pt idx="27">
                  <c:v>114.13773440456593</c:v>
                </c:pt>
                <c:pt idx="28">
                  <c:v>131.97913942952923</c:v>
                </c:pt>
                <c:pt idx="29">
                  <c:v>152.61738288785739</c:v>
                </c:pt>
                <c:pt idx="30">
                  <c:v>176.49205448043975</c:v>
                </c:pt>
                <c:pt idx="31">
                  <c:v>192.45716419633104</c:v>
                </c:pt>
                <c:pt idx="32">
                  <c:v>208.39146048328556</c:v>
                </c:pt>
                <c:pt idx="33">
                  <c:v>224.29763175513935</c:v>
                </c:pt>
                <c:pt idx="34">
                  <c:v>240.17795365516986</c:v>
                </c:pt>
                <c:pt idx="35">
                  <c:v>256.03437612683177</c:v>
                </c:pt>
                <c:pt idx="36">
                  <c:v>271.86858774771321</c:v>
                </c:pt>
                <c:pt idx="37">
                  <c:v>287.68206426995692</c:v>
                </c:pt>
                <c:pt idx="38">
                  <c:v>303.47610591726431</c:v>
                </c:pt>
                <c:pt idx="39">
                  <c:v>319.25186650438303</c:v>
                </c:pt>
                <c:pt idx="40">
                  <c:v>335.01037649574283</c:v>
                </c:pt>
                <c:pt idx="41">
                  <c:v>350.75256149626176</c:v>
                </c:pt>
                <c:pt idx="42">
                  <c:v>366.47925724772773</c:v>
                </c:pt>
                <c:pt idx="43">
                  <c:v>382.19122191577304</c:v>
                </c:pt>
                <c:pt idx="44">
                  <c:v>397.88914625045004</c:v>
                </c:pt>
                <c:pt idx="45">
                  <c:v>272.77844520578708</c:v>
                </c:pt>
                <c:pt idx="46">
                  <c:v>290.82315267599421</c:v>
                </c:pt>
                <c:pt idx="47">
                  <c:v>308.84285406450209</c:v>
                </c:pt>
                <c:pt idx="48">
                  <c:v>326.8392133189576</c:v>
                </c:pt>
                <c:pt idx="49">
                  <c:v>344.81369619605817</c:v>
                </c:pt>
                <c:pt idx="50">
                  <c:v>362.76760318445668</c:v>
                </c:pt>
                <c:pt idx="51">
                  <c:v>380.70209556651093</c:v>
                </c:pt>
                <c:pt idx="52">
                  <c:v>308.62359963400928</c:v>
                </c:pt>
                <c:pt idx="53">
                  <c:v>325.69937960503381</c:v>
                </c:pt>
                <c:pt idx="54">
                  <c:v>342.7553882386535</c:v>
                </c:pt>
                <c:pt idx="55">
                  <c:v>359.79274762854851</c:v>
                </c:pt>
                <c:pt idx="56">
                  <c:v>376.8124649407186</c:v>
                </c:pt>
                <c:pt idx="57">
                  <c:v>393.81544895197794</c:v>
                </c:pt>
                <c:pt idx="58">
                  <c:v>410.80252358265381</c:v>
                </c:pt>
                <c:pt idx="59">
                  <c:v>427.77443907396031</c:v>
                </c:pt>
                <c:pt idx="60">
                  <c:v>349.02400472703494</c:v>
                </c:pt>
                <c:pt idx="61">
                  <c:v>364.64625680044338</c:v>
                </c:pt>
                <c:pt idx="62">
                  <c:v>380.25389243385894</c:v>
                </c:pt>
                <c:pt idx="63">
                  <c:v>395.84759592897041</c:v>
                </c:pt>
                <c:pt idx="64">
                  <c:v>411.42799328311548</c:v>
                </c:pt>
                <c:pt idx="65">
                  <c:v>426.99565922276582</c:v>
                </c:pt>
                <c:pt idx="66">
                  <c:v>442.55112315780548</c:v>
                </c:pt>
                <c:pt idx="67">
                  <c:v>458.09487425506472</c:v>
                </c:pt>
                <c:pt idx="68">
                  <c:v>394.97120015463889</c:v>
                </c:pt>
                <c:pt idx="69">
                  <c:v>409.99900540187951</c:v>
                </c:pt>
                <c:pt idx="70">
                  <c:v>425.01492080609302</c:v>
                </c:pt>
                <c:pt idx="71">
                  <c:v>440.01942551073108</c:v>
                </c:pt>
                <c:pt idx="72">
                  <c:v>455.01296332341457</c:v>
                </c:pt>
                <c:pt idx="73">
                  <c:v>469.99594642463717</c:v>
                </c:pt>
                <c:pt idx="74">
                  <c:v>484.96875857898323</c:v>
                </c:pt>
                <c:pt idx="75">
                  <c:v>499.9317579291997</c:v>
                </c:pt>
                <c:pt idx="76">
                  <c:v>438.64001803659852</c:v>
                </c:pt>
                <c:pt idx="77">
                  <c:v>453.24511717726642</c:v>
                </c:pt>
                <c:pt idx="78">
                  <c:v>467.84015836832464</c:v>
                </c:pt>
                <c:pt idx="79">
                  <c:v>482.42549950033452</c:v>
                </c:pt>
                <c:pt idx="80">
                  <c:v>497.0014750642901</c:v>
                </c:pt>
                <c:pt idx="81">
                  <c:v>511.56839833720818</c:v>
                </c:pt>
                <c:pt idx="82">
                  <c:v>526.12656330588186</c:v>
                </c:pt>
                <c:pt idx="83">
                  <c:v>540.67624636669279</c:v>
                </c:pt>
                <c:pt idx="84">
                  <c:v>555.21770783299189</c:v>
                </c:pt>
                <c:pt idx="85">
                  <c:v>482.97530225028254</c:v>
                </c:pt>
                <c:pt idx="86">
                  <c:v>496.71396397035846</c:v>
                </c:pt>
                <c:pt idx="87">
                  <c:v>510.44457828758954</c:v>
                </c:pt>
                <c:pt idx="88">
                  <c:v>524.16739211216634</c:v>
                </c:pt>
                <c:pt idx="89">
                  <c:v>537.88263837533532</c:v>
                </c:pt>
                <c:pt idx="90">
                  <c:v>551.59053716453127</c:v>
                </c:pt>
                <c:pt idx="91">
                  <c:v>565.29129673983505</c:v>
                </c:pt>
                <c:pt idx="92">
                  <c:v>578.98511444679809</c:v>
                </c:pt>
                <c:pt idx="93">
                  <c:v>592.67217753845</c:v>
                </c:pt>
                <c:pt idx="94">
                  <c:v>532.87485253040416</c:v>
                </c:pt>
                <c:pt idx="95">
                  <c:v>546.82537004150879</c:v>
                </c:pt>
                <c:pt idx="96">
                  <c:v>560.76842251172638</c:v>
                </c:pt>
                <c:pt idx="97">
                  <c:v>574.7042216330276</c:v>
                </c:pt>
                <c:pt idx="98">
                  <c:v>588.6329679979043</c:v>
                </c:pt>
                <c:pt idx="99">
                  <c:v>602.5548519356812</c:v>
                </c:pt>
                <c:pt idx="100">
                  <c:v>616.47005426755209</c:v>
                </c:pt>
                <c:pt idx="101">
                  <c:v>630.37874698992925</c:v>
                </c:pt>
                <c:pt idx="102">
                  <c:v>644.28109389438293</c:v>
                </c:pt>
                <c:pt idx="103">
                  <c:v>658.17725113131553</c:v>
                </c:pt>
                <c:pt idx="104">
                  <c:v>574.93543737626817</c:v>
                </c:pt>
                <c:pt idx="105">
                  <c:v>588.08863330521115</c:v>
                </c:pt>
                <c:pt idx="106">
                  <c:v>601.23570340333129</c:v>
                </c:pt>
                <c:pt idx="107">
                  <c:v>614.37680044501735</c:v>
                </c:pt>
                <c:pt idx="108">
                  <c:v>627.5120701390166</c:v>
                </c:pt>
                <c:pt idx="109">
                  <c:v>640.64165159935828</c:v>
                </c:pt>
                <c:pt idx="110">
                  <c:v>653.76567777568584</c:v>
                </c:pt>
                <c:pt idx="111">
                  <c:v>666.88427584725321</c:v>
                </c:pt>
                <c:pt idx="112">
                  <c:v>679.99756758432682</c:v>
                </c:pt>
                <c:pt idx="113">
                  <c:v>693.10566968027672</c:v>
                </c:pt>
                <c:pt idx="114">
                  <c:v>630.11555039886127</c:v>
                </c:pt>
                <c:pt idx="115">
                  <c:v>644.2639367041096</c:v>
                </c:pt>
                <c:pt idx="116">
                  <c:v>658.4059121591248</c:v>
                </c:pt>
                <c:pt idx="117">
                  <c:v>672.54163378451642</c:v>
                </c:pt>
                <c:pt idx="118">
                  <c:v>686.67125146609214</c:v>
                </c:pt>
                <c:pt idx="119">
                  <c:v>700.79490842223277</c:v>
                </c:pt>
                <c:pt idx="120">
                  <c:v>714.9127416316602</c:v>
                </c:pt>
                <c:pt idx="121">
                  <c:v>729.02488222568172</c:v>
                </c:pt>
                <c:pt idx="122">
                  <c:v>743.13145584850588</c:v>
                </c:pt>
                <c:pt idx="123">
                  <c:v>757.23258298879875</c:v>
                </c:pt>
                <c:pt idx="124">
                  <c:v>771.32837928528045</c:v>
                </c:pt>
                <c:pt idx="125">
                  <c:v>785.41895580883727</c:v>
                </c:pt>
                <c:pt idx="126">
                  <c:v>681.94300689172019</c:v>
                </c:pt>
                <c:pt idx="127">
                  <c:v>695.41516167981661</c:v>
                </c:pt>
                <c:pt idx="128">
                  <c:v>708.88197241935677</c:v>
                </c:pt>
                <c:pt idx="129">
                  <c:v>722.34355487509731</c:v>
                </c:pt>
                <c:pt idx="130">
                  <c:v>735.80002014800675</c:v>
                </c:pt>
                <c:pt idx="131">
                  <c:v>749.25147494678095</c:v>
                </c:pt>
                <c:pt idx="132">
                  <c:v>762.69802183885724</c:v>
                </c:pt>
                <c:pt idx="133">
                  <c:v>776.1397594828228</c:v>
                </c:pt>
                <c:pt idx="134">
                  <c:v>789.57678284389965</c:v>
                </c:pt>
                <c:pt idx="135">
                  <c:v>803.00918339400721</c:v>
                </c:pt>
                <c:pt idx="136">
                  <c:v>816.43704929775834</c:v>
                </c:pt>
                <c:pt idx="137">
                  <c:v>829.86046558559167</c:v>
                </c:pt>
                <c:pt idx="138">
                  <c:v>718.3905828882215</c:v>
                </c:pt>
                <c:pt idx="139">
                  <c:v>731.39537513401831</c:v>
                </c:pt>
                <c:pt idx="140">
                  <c:v>744.39545655459915</c:v>
                </c:pt>
                <c:pt idx="141">
                  <c:v>757.39092095942249</c:v>
                </c:pt>
                <c:pt idx="142">
                  <c:v>770.38185867844732</c:v>
                </c:pt>
                <c:pt idx="143">
                  <c:v>783.36835674890756</c:v>
                </c:pt>
                <c:pt idx="144">
                  <c:v>796.35049908906774</c:v>
                </c:pt>
                <c:pt idx="145">
                  <c:v>809.32836666006722</c:v>
                </c:pt>
                <c:pt idx="146">
                  <c:v>822.30203761685414</c:v>
                </c:pt>
                <c:pt idx="147">
                  <c:v>835.27158744910628</c:v>
                </c:pt>
                <c:pt idx="148">
                  <c:v>848.23708911295319</c:v>
                </c:pt>
                <c:pt idx="149">
                  <c:v>861.19861315423123</c:v>
                </c:pt>
                <c:pt idx="150">
                  <c:v>566.79393900309731</c:v>
                </c:pt>
                <c:pt idx="151">
                  <c:v>564.54790927322654</c:v>
                </c:pt>
                <c:pt idx="152">
                  <c:v>562.30169262411789</c:v>
                </c:pt>
                <c:pt idx="153">
                  <c:v>560.05528820263737</c:v>
                </c:pt>
                <c:pt idx="154">
                  <c:v>387.52012307257957</c:v>
                </c:pt>
                <c:pt idx="155">
                  <c:v>386.32053329186289</c:v>
                </c:pt>
                <c:pt idx="156">
                  <c:v>385.12086257878133</c:v>
                </c:pt>
                <c:pt idx="157">
                  <c:v>383.92111064505684</c:v>
                </c:pt>
                <c:pt idx="158">
                  <c:v>270.70795761656854</c:v>
                </c:pt>
                <c:pt idx="159">
                  <c:v>269.58620813542433</c:v>
                </c:pt>
                <c:pt idx="160">
                  <c:v>268.46435354322199</c:v>
                </c:pt>
                <c:pt idx="161">
                  <c:v>267.34239333724798</c:v>
                </c:pt>
                <c:pt idx="162">
                  <c:v>39.504150020946049</c:v>
                </c:pt>
                <c:pt idx="163">
                  <c:v>39.504150020946049</c:v>
                </c:pt>
                <c:pt idx="164">
                  <c:v>39.504150020946049</c:v>
                </c:pt>
                <c:pt idx="165">
                  <c:v>39.504150020946049</c:v>
                </c:pt>
                <c:pt idx="166">
                  <c:v>39.504150020946049</c:v>
                </c:pt>
                <c:pt idx="167">
                  <c:v>39.504150020946049</c:v>
                </c:pt>
                <c:pt idx="168">
                  <c:v>39.504150020946049</c:v>
                </c:pt>
                <c:pt idx="169">
                  <c:v>39.504150020946049</c:v>
                </c:pt>
                <c:pt idx="170">
                  <c:v>39.504150020946049</c:v>
                </c:pt>
                <c:pt idx="171">
                  <c:v>39.504150020946049</c:v>
                </c:pt>
                <c:pt idx="172">
                  <c:v>39.504150020946049</c:v>
                </c:pt>
                <c:pt idx="173">
                  <c:v>39.504150020946049</c:v>
                </c:pt>
                <c:pt idx="174">
                  <c:v>39.504150020946049</c:v>
                </c:pt>
                <c:pt idx="175">
                  <c:v>39.504150020946049</c:v>
                </c:pt>
                <c:pt idx="176">
                  <c:v>39.504150020946049</c:v>
                </c:pt>
                <c:pt idx="177">
                  <c:v>39.504150020946049</c:v>
                </c:pt>
                <c:pt idx="178">
                  <c:v>39.504150020946049</c:v>
                </c:pt>
                <c:pt idx="179">
                  <c:v>39.504150020946049</c:v>
                </c:pt>
                <c:pt idx="180">
                  <c:v>39.504150020946049</c:v>
                </c:pt>
                <c:pt idx="181">
                  <c:v>39.504150020946049</c:v>
                </c:pt>
                <c:pt idx="182">
                  <c:v>39.504150020946049</c:v>
                </c:pt>
                <c:pt idx="183">
                  <c:v>39.504150020946049</c:v>
                </c:pt>
                <c:pt idx="184">
                  <c:v>39.504150020946049</c:v>
                </c:pt>
                <c:pt idx="185">
                  <c:v>39.504150020946049</c:v>
                </c:pt>
                <c:pt idx="186">
                  <c:v>39.504150020946049</c:v>
                </c:pt>
                <c:pt idx="187">
                  <c:v>39.504150020946049</c:v>
                </c:pt>
                <c:pt idx="188">
                  <c:v>39.504150020946049</c:v>
                </c:pt>
                <c:pt idx="189">
                  <c:v>39.504150020946049</c:v>
                </c:pt>
                <c:pt idx="190">
                  <c:v>39.504150020946049</c:v>
                </c:pt>
                <c:pt idx="191">
                  <c:v>39.504150020946049</c:v>
                </c:pt>
                <c:pt idx="192">
                  <c:v>39.504150020946049</c:v>
                </c:pt>
                <c:pt idx="193">
                  <c:v>39.504150020946049</c:v>
                </c:pt>
                <c:pt idx="194">
                  <c:v>39.504150020946049</c:v>
                </c:pt>
                <c:pt idx="195">
                  <c:v>39.504150020946049</c:v>
                </c:pt>
                <c:pt idx="196">
                  <c:v>39.504150020946049</c:v>
                </c:pt>
                <c:pt idx="197">
                  <c:v>39.504150020946049</c:v>
                </c:pt>
                <c:pt idx="198">
                  <c:v>39.504150020946049</c:v>
                </c:pt>
                <c:pt idx="199">
                  <c:v>39.504150020946049</c:v>
                </c:pt>
                <c:pt idx="200">
                  <c:v>39.504150020946049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306.39644299197931</c:v>
                </c:pt>
                <c:pt idx="32">
                  <c:v>340.82860269744293</c:v>
                </c:pt>
                <c:pt idx="33">
                  <c:v>375.18425510724865</c:v>
                </c:pt>
                <c:pt idx="34">
                  <c:v>409.47138256925615</c:v>
                </c:pt>
                <c:pt idx="35">
                  <c:v>443.69652188121762</c:v>
                </c:pt>
                <c:pt idx="36">
                  <c:v>321.16259971327435</c:v>
                </c:pt>
                <c:pt idx="37">
                  <c:v>349.02672421811889</c:v>
                </c:pt>
                <c:pt idx="38">
                  <c:v>376.84205222440391</c:v>
                </c:pt>
                <c:pt idx="39">
                  <c:v>404.61268817658896</c:v>
                </c:pt>
                <c:pt idx="40">
                  <c:v>432.34212742340679</c:v>
                </c:pt>
                <c:pt idx="41">
                  <c:v>460.03338067866031</c:v>
                </c:pt>
                <c:pt idx="42">
                  <c:v>385.99092681345513</c:v>
                </c:pt>
                <c:pt idx="43">
                  <c:v>414.17533779557925</c:v>
                </c:pt>
                <c:pt idx="44">
                  <c:v>442.31839157842978</c:v>
                </c:pt>
                <c:pt idx="45">
                  <c:v>470.42308638804479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554.53159285875631</c:v>
                </c:pt>
                <c:pt idx="49">
                  <c:v>449.6202110727931</c:v>
                </c:pt>
                <c:pt idx="50">
                  <c:v>476.02000064610456</c:v>
                </c:pt>
                <c:pt idx="51">
                  <c:v>502.38865580151622</c:v>
                </c:pt>
                <c:pt idx="52">
                  <c:v>528.72803854644383</c:v>
                </c:pt>
                <c:pt idx="53">
                  <c:v>555.03981043514466</c:v>
                </c:pt>
                <c:pt idx="54">
                  <c:v>581.32546281777411</c:v>
                </c:pt>
                <c:pt idx="55">
                  <c:v>607.58634133657927</c:v>
                </c:pt>
                <c:pt idx="56">
                  <c:v>507.73703373631139</c:v>
                </c:pt>
                <c:pt idx="57">
                  <c:v>532.72708498714167</c:v>
                </c:pt>
                <c:pt idx="58">
                  <c:v>557.69248691233463</c:v>
                </c:pt>
                <c:pt idx="59">
                  <c:v>582.63449687448042</c:v>
                </c:pt>
                <c:pt idx="60">
                  <c:v>607.55425592523818</c:v>
                </c:pt>
                <c:pt idx="61">
                  <c:v>632.45280398899365</c:v>
                </c:pt>
                <c:pt idx="62">
                  <c:v>657.33109253297937</c:v>
                </c:pt>
                <c:pt idx="63">
                  <c:v>682.18999522116349</c:v>
                </c:pt>
                <c:pt idx="64">
                  <c:v>590.46639820384189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662.86168393782884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735.0942177440985</c:v>
                </c:pt>
                <c:pt idx="71">
                  <c:v>759.13881832330947</c:v>
                </c:pt>
                <c:pt idx="72">
                  <c:v>671.60406336749145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742.03684898831932</c:v>
                </c:pt>
                <c:pt idx="76">
                  <c:v>765.4835018628529</c:v>
                </c:pt>
                <c:pt idx="77">
                  <c:v>788.91559297509775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754.58190540238036</c:v>
                </c:pt>
                <c:pt idx="82">
                  <c:v>776.74375886328164</c:v>
                </c:pt>
                <c:pt idx="83">
                  <c:v>798.89280994562512</c:v>
                </c:pt>
                <c:pt idx="84">
                  <c:v>821.02946309423305</c:v>
                </c:pt>
                <c:pt idx="85">
                  <c:v>843.15409919591457</c:v>
                </c:pt>
                <c:pt idx="86">
                  <c:v>865.26707754613597</c:v>
                </c:pt>
                <c:pt idx="87">
                  <c:v>887.3687376044586</c:v>
                </c:pt>
                <c:pt idx="88">
                  <c:v>909.45940056623385</c:v>
                </c:pt>
                <c:pt idx="89">
                  <c:v>931.53937077386774</c:v>
                </c:pt>
                <c:pt idx="90">
                  <c:v>815.7079958749506</c:v>
                </c:pt>
                <c:pt idx="91">
                  <c:v>836.85158729914485</c:v>
                </c:pt>
                <c:pt idx="92">
                  <c:v>857.98444348174371</c:v>
                </c:pt>
                <c:pt idx="93">
                  <c:v>879.10686572017437</c:v>
                </c:pt>
                <c:pt idx="94">
                  <c:v>900.21913967265448</c:v>
                </c:pt>
                <c:pt idx="95">
                  <c:v>921.32153652501711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892.80434571395438</c:v>
                </c:pt>
                <c:pt idx="101">
                  <c:v>913.40954370443831</c:v>
                </c:pt>
                <c:pt idx="102">
                  <c:v>934.0054827587029</c:v>
                </c:pt>
                <c:pt idx="103">
                  <c:v>954.59239551414669</c:v>
                </c:pt>
                <c:pt idx="104">
                  <c:v>975.1705037703191</c:v>
                </c:pt>
                <c:pt idx="105">
                  <c:v>995.74001921643048</c:v>
                </c:pt>
                <c:pt idx="106">
                  <c:v>1016.3011440957075</c:v>
                </c:pt>
                <c:pt idx="107">
                  <c:v>1036.8540718132765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358.33646679039742</c:v>
                </c:pt>
                <c:pt idx="71">
                  <c:v>358.33646679039742</c:v>
                </c:pt>
                <c:pt idx="72">
                  <c:v>358.33646679039742</c:v>
                </c:pt>
                <c:pt idx="73">
                  <c:v>358.33646679039742</c:v>
                </c:pt>
                <c:pt idx="74">
                  <c:v>358.33646679039742</c:v>
                </c:pt>
                <c:pt idx="75">
                  <c:v>358.33646679039742</c:v>
                </c:pt>
                <c:pt idx="76">
                  <c:v>358.33646679039742</c:v>
                </c:pt>
                <c:pt idx="77">
                  <c:v>358.33646679039742</c:v>
                </c:pt>
                <c:pt idx="78">
                  <c:v>358.33646679039742</c:v>
                </c:pt>
                <c:pt idx="79">
                  <c:v>358.33646679039742</c:v>
                </c:pt>
                <c:pt idx="80">
                  <c:v>358.33646679039742</c:v>
                </c:pt>
                <c:pt idx="81">
                  <c:v>358.33646679039742</c:v>
                </c:pt>
                <c:pt idx="82">
                  <c:v>358.33646679039742</c:v>
                </c:pt>
                <c:pt idx="83">
                  <c:v>358.33646679039742</c:v>
                </c:pt>
                <c:pt idx="84">
                  <c:v>358.33646679039742</c:v>
                </c:pt>
                <c:pt idx="85">
                  <c:v>358.33646679039742</c:v>
                </c:pt>
                <c:pt idx="86">
                  <c:v>358.33646679039742</c:v>
                </c:pt>
                <c:pt idx="87">
                  <c:v>358.33646679039742</c:v>
                </c:pt>
                <c:pt idx="88">
                  <c:v>358.33646679039742</c:v>
                </c:pt>
                <c:pt idx="89">
                  <c:v>358.33646679039742</c:v>
                </c:pt>
                <c:pt idx="90">
                  <c:v>358.33646679039742</c:v>
                </c:pt>
                <c:pt idx="91">
                  <c:v>358.33646679039742</c:v>
                </c:pt>
                <c:pt idx="92">
                  <c:v>358.33646679039742</c:v>
                </c:pt>
                <c:pt idx="93">
                  <c:v>358.33646679039742</c:v>
                </c:pt>
                <c:pt idx="94">
                  <c:v>358.33646679039742</c:v>
                </c:pt>
                <c:pt idx="95">
                  <c:v>358.33646679039742</c:v>
                </c:pt>
                <c:pt idx="96">
                  <c:v>358.33646679039742</c:v>
                </c:pt>
                <c:pt idx="97">
                  <c:v>358.33646679039742</c:v>
                </c:pt>
                <c:pt idx="98">
                  <c:v>358.33646679039742</c:v>
                </c:pt>
                <c:pt idx="99">
                  <c:v>358.33646679039742</c:v>
                </c:pt>
                <c:pt idx="100">
                  <c:v>358.33646679039742</c:v>
                </c:pt>
                <c:pt idx="101">
                  <c:v>358.33646679039742</c:v>
                </c:pt>
                <c:pt idx="102">
                  <c:v>358.33646679039742</c:v>
                </c:pt>
                <c:pt idx="103">
                  <c:v>358.33646679039742</c:v>
                </c:pt>
                <c:pt idx="104">
                  <c:v>358.33646679039742</c:v>
                </c:pt>
                <c:pt idx="105">
                  <c:v>358.33646679039742</c:v>
                </c:pt>
                <c:pt idx="106">
                  <c:v>358.33646679039742</c:v>
                </c:pt>
                <c:pt idx="107">
                  <c:v>358.33646679039742</c:v>
                </c:pt>
                <c:pt idx="108">
                  <c:v>358.33646679039742</c:v>
                </c:pt>
                <c:pt idx="109">
                  <c:v>358.33646679039742</c:v>
                </c:pt>
                <c:pt idx="110">
                  <c:v>358.33646679039742</c:v>
                </c:pt>
                <c:pt idx="111">
                  <c:v>358.33646679039742</c:v>
                </c:pt>
                <c:pt idx="112">
                  <c:v>358.33646679039742</c:v>
                </c:pt>
                <c:pt idx="113">
                  <c:v>358.33646679039742</c:v>
                </c:pt>
                <c:pt idx="114">
                  <c:v>358.33646679039742</c:v>
                </c:pt>
                <c:pt idx="115">
                  <c:v>358.33646679039742</c:v>
                </c:pt>
                <c:pt idx="116">
                  <c:v>358.33646679039742</c:v>
                </c:pt>
                <c:pt idx="117">
                  <c:v>358.33646679039742</c:v>
                </c:pt>
                <c:pt idx="118">
                  <c:v>358.33646679039742</c:v>
                </c:pt>
                <c:pt idx="119">
                  <c:v>358.33646679039742</c:v>
                </c:pt>
                <c:pt idx="120">
                  <c:v>358.33646679039742</c:v>
                </c:pt>
                <c:pt idx="121">
                  <c:v>358.33646679039742</c:v>
                </c:pt>
                <c:pt idx="122">
                  <c:v>358.33646679039742</c:v>
                </c:pt>
                <c:pt idx="123">
                  <c:v>358.33646679039742</c:v>
                </c:pt>
                <c:pt idx="124">
                  <c:v>358.33646679039742</c:v>
                </c:pt>
                <c:pt idx="125">
                  <c:v>358.33646679039742</c:v>
                </c:pt>
                <c:pt idx="126">
                  <c:v>358.33646679039742</c:v>
                </c:pt>
                <c:pt idx="127">
                  <c:v>358.33646679039742</c:v>
                </c:pt>
                <c:pt idx="128">
                  <c:v>358.33646679039742</c:v>
                </c:pt>
                <c:pt idx="129">
                  <c:v>358.33646679039742</c:v>
                </c:pt>
                <c:pt idx="130">
                  <c:v>358.33646679039742</c:v>
                </c:pt>
                <c:pt idx="131">
                  <c:v>358.33646679039742</c:v>
                </c:pt>
                <c:pt idx="132">
                  <c:v>358.33646679039742</c:v>
                </c:pt>
                <c:pt idx="133">
                  <c:v>358.33646679039742</c:v>
                </c:pt>
                <c:pt idx="134">
                  <c:v>358.33646679039742</c:v>
                </c:pt>
                <c:pt idx="135">
                  <c:v>358.33646679039742</c:v>
                </c:pt>
                <c:pt idx="136">
                  <c:v>358.33646679039742</c:v>
                </c:pt>
                <c:pt idx="137">
                  <c:v>358.33646679039742</c:v>
                </c:pt>
                <c:pt idx="138">
                  <c:v>358.33646679039742</c:v>
                </c:pt>
                <c:pt idx="139">
                  <c:v>358.33646679039742</c:v>
                </c:pt>
                <c:pt idx="140">
                  <c:v>358.33646679039742</c:v>
                </c:pt>
                <c:pt idx="141">
                  <c:v>358.33646679039742</c:v>
                </c:pt>
                <c:pt idx="142">
                  <c:v>358.33646679039742</c:v>
                </c:pt>
                <c:pt idx="143">
                  <c:v>358.33646679039742</c:v>
                </c:pt>
                <c:pt idx="144">
                  <c:v>358.33646679039742</c:v>
                </c:pt>
                <c:pt idx="145">
                  <c:v>358.33646679039742</c:v>
                </c:pt>
                <c:pt idx="146">
                  <c:v>358.33646679039742</c:v>
                </c:pt>
                <c:pt idx="147">
                  <c:v>358.33646679039742</c:v>
                </c:pt>
                <c:pt idx="148">
                  <c:v>358.33646679039742</c:v>
                </c:pt>
                <c:pt idx="149">
                  <c:v>358.33646679039742</c:v>
                </c:pt>
                <c:pt idx="150">
                  <c:v>358.33646679039742</c:v>
                </c:pt>
                <c:pt idx="151">
                  <c:v>358.33646679039742</c:v>
                </c:pt>
                <c:pt idx="152">
                  <c:v>358.33646679039742</c:v>
                </c:pt>
                <c:pt idx="153">
                  <c:v>358.33646679039742</c:v>
                </c:pt>
                <c:pt idx="154">
                  <c:v>358.33646679039742</c:v>
                </c:pt>
                <c:pt idx="155">
                  <c:v>358.33646679039742</c:v>
                </c:pt>
                <c:pt idx="156">
                  <c:v>358.33646679039742</c:v>
                </c:pt>
                <c:pt idx="157">
                  <c:v>358.33646679039742</c:v>
                </c:pt>
                <c:pt idx="158">
                  <c:v>358.33646679039742</c:v>
                </c:pt>
                <c:pt idx="159">
                  <c:v>358.33646679039742</c:v>
                </c:pt>
                <c:pt idx="160">
                  <c:v>358.33646679039742</c:v>
                </c:pt>
                <c:pt idx="161">
                  <c:v>358.33646679039742</c:v>
                </c:pt>
                <c:pt idx="162">
                  <c:v>358.33646679039742</c:v>
                </c:pt>
                <c:pt idx="163">
                  <c:v>358.33646679039742</c:v>
                </c:pt>
                <c:pt idx="164">
                  <c:v>358.33646679039742</c:v>
                </c:pt>
                <c:pt idx="165">
                  <c:v>358.33646679039742</c:v>
                </c:pt>
                <c:pt idx="166">
                  <c:v>358.33646679039742</c:v>
                </c:pt>
                <c:pt idx="167">
                  <c:v>358.33646679039742</c:v>
                </c:pt>
                <c:pt idx="168">
                  <c:v>358.33646679039742</c:v>
                </c:pt>
                <c:pt idx="169">
                  <c:v>358.33646679039742</c:v>
                </c:pt>
                <c:pt idx="170">
                  <c:v>358.33646679039742</c:v>
                </c:pt>
                <c:pt idx="171">
                  <c:v>358.33646679039742</c:v>
                </c:pt>
                <c:pt idx="172">
                  <c:v>358.33646679039742</c:v>
                </c:pt>
                <c:pt idx="173">
                  <c:v>358.33646679039742</c:v>
                </c:pt>
                <c:pt idx="174">
                  <c:v>358.33646679039742</c:v>
                </c:pt>
                <c:pt idx="175">
                  <c:v>358.33646679039742</c:v>
                </c:pt>
                <c:pt idx="176">
                  <c:v>358.33646679039742</c:v>
                </c:pt>
                <c:pt idx="177">
                  <c:v>358.33646679039742</c:v>
                </c:pt>
                <c:pt idx="178">
                  <c:v>358.33646679039742</c:v>
                </c:pt>
                <c:pt idx="179">
                  <c:v>358.33646679039742</c:v>
                </c:pt>
                <c:pt idx="180">
                  <c:v>358.33646679039742</c:v>
                </c:pt>
                <c:pt idx="181">
                  <c:v>358.33646679039742</c:v>
                </c:pt>
                <c:pt idx="182">
                  <c:v>358.33646679039742</c:v>
                </c:pt>
                <c:pt idx="183">
                  <c:v>358.33646679039742</c:v>
                </c:pt>
                <c:pt idx="184">
                  <c:v>358.33646679039742</c:v>
                </c:pt>
                <c:pt idx="185">
                  <c:v>358.33646679039742</c:v>
                </c:pt>
                <c:pt idx="186">
                  <c:v>358.33646679039742</c:v>
                </c:pt>
                <c:pt idx="187">
                  <c:v>358.33646679039742</c:v>
                </c:pt>
                <c:pt idx="188">
                  <c:v>358.33646679039742</c:v>
                </c:pt>
                <c:pt idx="189">
                  <c:v>358.33646679039742</c:v>
                </c:pt>
                <c:pt idx="190">
                  <c:v>358.33646679039742</c:v>
                </c:pt>
                <c:pt idx="191">
                  <c:v>358.33646679039742</c:v>
                </c:pt>
                <c:pt idx="192">
                  <c:v>358.33646679039742</c:v>
                </c:pt>
                <c:pt idx="193">
                  <c:v>358.33646679039742</c:v>
                </c:pt>
                <c:pt idx="194">
                  <c:v>358.33646679039742</c:v>
                </c:pt>
                <c:pt idx="195">
                  <c:v>358.33646679039742</c:v>
                </c:pt>
                <c:pt idx="196">
                  <c:v>358.33646679039742</c:v>
                </c:pt>
                <c:pt idx="197">
                  <c:v>358.33646679039742</c:v>
                </c:pt>
                <c:pt idx="198">
                  <c:v>358.33646679039742</c:v>
                </c:pt>
                <c:pt idx="199">
                  <c:v>358.33646679039742</c:v>
                </c:pt>
                <c:pt idx="200">
                  <c:v>358.33646679039742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2.8003312125399855</c:v>
                </c:pt>
                <c:pt idx="2">
                  <c:v>3.2331920402137686</c:v>
                </c:pt>
                <c:pt idx="3">
                  <c:v>3.7332025678830316</c:v>
                </c:pt>
                <c:pt idx="4">
                  <c:v>4.3108149429496834</c:v>
                </c:pt>
                <c:pt idx="5">
                  <c:v>4.9781133778350988</c:v>
                </c:pt>
                <c:pt idx="6">
                  <c:v>5.7490697393655807</c:v>
                </c:pt>
                <c:pt idx="7">
                  <c:v>6.6398392732714306</c:v>
                </c:pt>
                <c:pt idx="8">
                  <c:v>7.6691027819060977</c:v>
                </c:pt>
                <c:pt idx="9">
                  <c:v>8.8584625701591815</c:v>
                </c:pt>
                <c:pt idx="10">
                  <c:v>10.232900629015736</c:v>
                </c:pt>
                <c:pt idx="11">
                  <c:v>11.821308863270147</c:v>
                </c:pt>
                <c:pt idx="12">
                  <c:v>13.657102718463641</c:v>
                </c:pt>
                <c:pt idx="13">
                  <c:v>15.778931355698667</c:v>
                </c:pt>
                <c:pt idx="14">
                  <c:v>18.231499600430144</c:v>
                </c:pt>
                <c:pt idx="15">
                  <c:v>21.066519297648501</c:v>
                </c:pt>
                <c:pt idx="16">
                  <c:v>24.343810493205584</c:v>
                </c:pt>
                <c:pt idx="17">
                  <c:v>28.1325760898273</c:v>
                </c:pt>
                <c:pt idx="18">
                  <c:v>32.512877366644709</c:v>
                </c:pt>
                <c:pt idx="19">
                  <c:v>37.577342084023471</c:v>
                </c:pt>
                <c:pt idx="20">
                  <c:v>43.433141915145256</c:v>
                </c:pt>
                <c:pt idx="21">
                  <c:v>50.204281761211853</c:v>
                </c:pt>
                <c:pt idx="22">
                  <c:v>58.034250244652092</c:v>
                </c:pt>
                <c:pt idx="23">
                  <c:v>67.089088480753915</c:v>
                </c:pt>
                <c:pt idx="24">
                  <c:v>77.560943272449364</c:v>
                </c:pt>
                <c:pt idx="25">
                  <c:v>89.672181352278031</c:v>
                </c:pt>
                <c:pt idx="26">
                  <c:v>103.68015343787452</c:v>
                </c:pt>
                <c:pt idx="27">
                  <c:v>119.88271093697669</c:v>
                </c:pt>
                <c:pt idx="28">
                  <c:v>138.62459444131827</c:v>
                </c:pt>
                <c:pt idx="29">
                  <c:v>160.30483204099406</c:v>
                </c:pt>
                <c:pt idx="30">
                  <c:v>185.38530738365804</c:v>
                </c:pt>
                <c:pt idx="31">
                  <c:v>202.15695713632087</c:v>
                </c:pt>
                <c:pt idx="32">
                  <c:v>218.896389340062</c:v>
                </c:pt>
                <c:pt idx="33">
                  <c:v>235.60641491555052</c:v>
                </c:pt>
                <c:pt idx="34">
                  <c:v>252.28941320358533</c:v>
                </c:pt>
                <c:pt idx="35">
                  <c:v>268.94742300350816</c:v>
                </c:pt>
                <c:pt idx="36">
                  <c:v>285.58220983875952</c:v>
                </c:pt>
                <c:pt idx="37">
                  <c:v>302.19531670920935</c:v>
                </c:pt>
                <c:pt idx="38">
                  <c:v>318.78810308772921</c:v>
                </c:pt>
                <c:pt idx="39">
                  <c:v>335.3617753666083</c:v>
                </c:pt>
                <c:pt idx="40">
                  <c:v>351.91741096693619</c:v>
                </c:pt>
                <c:pt idx="41">
                  <c:v>368.45597767200616</c:v>
                </c:pt>
                <c:pt idx="42">
                  <c:v>384.97834930705795</c:v>
                </c:pt>
                <c:pt idx="43">
                  <c:v>401.48531858615166</c:v>
                </c:pt>
                <c:pt idx="44">
                  <c:v>417.97760773574419</c:v>
                </c:pt>
                <c:pt idx="45">
                  <c:v>286.53807275731737</c:v>
                </c:pt>
                <c:pt idx="46">
                  <c:v>305.49525036873763</c:v>
                </c:pt>
                <c:pt idx="47">
                  <c:v>324.42628241024585</c:v>
                </c:pt>
                <c:pt idx="48">
                  <c:v>343.33290865299324</c:v>
                </c:pt>
                <c:pt idx="49">
                  <c:v>362.21666164592745</c:v>
                </c:pt>
                <c:pt idx="50">
                  <c:v>381.0789011389449</c:v>
                </c:pt>
                <c:pt idx="51">
                  <c:v>399.92084133223278</c:v>
                </c:pt>
                <c:pt idx="52">
                  <c:v>324.19593866003095</c:v>
                </c:pt>
                <c:pt idx="53">
                  <c:v>342.13541811743772</c:v>
                </c:pt>
                <c:pt idx="54">
                  <c:v>360.05422528837494</c:v>
                </c:pt>
                <c:pt idx="55">
                  <c:v>377.9535333985848</c:v>
                </c:pt>
                <c:pt idx="56">
                  <c:v>395.83439550905376</c:v>
                </c:pt>
                <c:pt idx="57">
                  <c:v>413.6977618081408</c:v>
                </c:pt>
                <c:pt idx="58">
                  <c:v>431.5444937609393</c:v>
                </c:pt>
                <c:pt idx="59">
                  <c:v>449.37537579598796</c:v>
                </c:pt>
                <c:pt idx="60">
                  <c:v>366.63997103610541</c:v>
                </c:pt>
                <c:pt idx="61">
                  <c:v>383.05260621790489</c:v>
                </c:pt>
                <c:pt idx="62">
                  <c:v>399.44995891129639</c:v>
                </c:pt>
                <c:pt idx="63">
                  <c:v>415.83274460053161</c:v>
                </c:pt>
                <c:pt idx="64">
                  <c:v>432.2016178086721</c:v>
                </c:pt>
                <c:pt idx="65">
                  <c:v>448.55717945158</c:v>
                </c:pt>
                <c:pt idx="66">
                  <c:v>464.89998306352408</c:v>
                </c:pt>
                <c:pt idx="67">
                  <c:v>481.23054010190486</c:v>
                </c:pt>
                <c:pt idx="68">
                  <c:v>414.9119991016837</c:v>
                </c:pt>
                <c:pt idx="69">
                  <c:v>430.70031054337193</c:v>
                </c:pt>
                <c:pt idx="70">
                  <c:v>446.47619034039707</c:v>
                </c:pt>
                <c:pt idx="71">
                  <c:v>462.24013947003141</c:v>
                </c:pt>
                <c:pt idx="72">
                  <c:v>477.99262196351879</c:v>
                </c:pt>
                <c:pt idx="73">
                  <c:v>493.73406878377614</c:v>
                </c:pt>
                <c:pt idx="74">
                  <c:v>509.46488118294218</c:v>
                </c:pt>
                <c:pt idx="75">
                  <c:v>525.18543362377125</c:v>
                </c:pt>
                <c:pt idx="76">
                  <c:v>460.79091173203955</c:v>
                </c:pt>
                <c:pt idx="77">
                  <c:v>476.1352879594624</c:v>
                </c:pt>
                <c:pt idx="78">
                  <c:v>491.46914791217046</c:v>
                </c:pt>
                <c:pt idx="79">
                  <c:v>506.79286578924075</c:v>
                </c:pt>
                <c:pt idx="80">
                  <c:v>522.10679132390158</c:v>
                </c:pt>
                <c:pt idx="81">
                  <c:v>537.41125206871482</c:v>
                </c:pt>
                <c:pt idx="82">
                  <c:v>552.70655540699499</c:v>
                </c:pt>
                <c:pt idx="83">
                  <c:v>567.99299033007594</c:v>
                </c:pt>
                <c:pt idx="84">
                  <c:v>583.27082901338281</c:v>
                </c:pt>
                <c:pt idx="85">
                  <c:v>507.3705030083218</c:v>
                </c:pt>
                <c:pt idx="86">
                  <c:v>521.80472372005397</c:v>
                </c:pt>
                <c:pt idx="87">
                  <c:v>536.23053032132236</c:v>
                </c:pt>
                <c:pt idx="88">
                  <c:v>550.64818097363013</c:v>
                </c:pt>
                <c:pt idx="89">
                  <c:v>565.0579192225382</c:v>
                </c:pt>
                <c:pt idx="90">
                  <c:v>579.45997518452327</c:v>
                </c:pt>
                <c:pt idx="91">
                  <c:v>593.85456660975365</c:v>
                </c:pt>
                <c:pt idx="92">
                  <c:v>608.24189983651058</c:v>
                </c:pt>
                <c:pt idx="93">
                  <c:v>622.62217065065283</c:v>
                </c:pt>
                <c:pt idx="94">
                  <c:v>559.79655228570277</c:v>
                </c:pt>
                <c:pt idx="95">
                  <c:v>574.45349960251963</c:v>
                </c:pt>
                <c:pt idx="96">
                  <c:v>589.10264170815833</c:v>
                </c:pt>
                <c:pt idx="97">
                  <c:v>603.74419994106245</c:v>
                </c:pt>
                <c:pt idx="98">
                  <c:v>618.37838403441208</c:v>
                </c:pt>
                <c:pt idx="99">
                  <c:v>633.00539299054276</c:v>
                </c:pt>
                <c:pt idx="100">
                  <c:v>647.62541587038834</c:v>
                </c:pt>
                <c:pt idx="101">
                  <c:v>662.23863250797024</c:v>
                </c:pt>
                <c:pt idx="102">
                  <c:v>676.84521415858501</c:v>
                </c:pt>
                <c:pt idx="103">
                  <c:v>691.44532408816588</c:v>
                </c:pt>
                <c:pt idx="104">
                  <c:v>603.98712558784928</c:v>
                </c:pt>
                <c:pt idx="105">
                  <c:v>617.8064802109642</c:v>
                </c:pt>
                <c:pt idx="106">
                  <c:v>631.61942985868268</c:v>
                </c:pt>
                <c:pt idx="107">
                  <c:v>645.42613426708465</c:v>
                </c:pt>
                <c:pt idx="108">
                  <c:v>659.22674578463784</c:v>
                </c:pt>
                <c:pt idx="109">
                  <c:v>673.02140986458164</c:v>
                </c:pt>
                <c:pt idx="110">
                  <c:v>686.8102655148673</c:v>
                </c:pt>
                <c:pt idx="111">
                  <c:v>700.59344571010945</c:v>
                </c:pt>
                <c:pt idx="112">
                  <c:v>714.37107776945629</c:v>
                </c:pt>
                <c:pt idx="113">
                  <c:v>728.1432837038127</c:v>
                </c:pt>
                <c:pt idx="114">
                  <c:v>661.96210378718581</c:v>
                </c:pt>
                <c:pt idx="115">
                  <c:v>676.8271878372434</c:v>
                </c:pt>
                <c:pt idx="116">
                  <c:v>691.68556890460331</c:v>
                </c:pt>
                <c:pt idx="117">
                  <c:v>706.53741116506023</c:v>
                </c:pt>
                <c:pt idx="118">
                  <c:v>721.38287133448409</c:v>
                </c:pt>
                <c:pt idx="119">
                  <c:v>736.22209915749488</c:v>
                </c:pt>
                <c:pt idx="120">
                  <c:v>751.05523785472121</c:v>
                </c:pt>
                <c:pt idx="121">
                  <c:v>765.88242453292025</c:v>
                </c:pt>
                <c:pt idx="122">
                  <c:v>780.70379056171123</c:v>
                </c:pt>
                <c:pt idx="123">
                  <c:v>795.51946192024172</c:v>
                </c:pt>
                <c:pt idx="124">
                  <c:v>810.32955951670726</c:v>
                </c:pt>
                <c:pt idx="125">
                  <c:v>825.13419948332239</c:v>
                </c:pt>
                <c:pt idx="126">
                  <c:v>716.4150784082957</c:v>
                </c:pt>
                <c:pt idx="127">
                  <c:v>730.56978561423057</c:v>
                </c:pt>
                <c:pt idx="128">
                  <c:v>744.71890525163633</c:v>
                </c:pt>
                <c:pt idx="129">
                  <c:v>758.86255836048906</c:v>
                </c:pt>
                <c:pt idx="130">
                  <c:v>773.00086110445602</c:v>
                </c:pt>
                <c:pt idx="131">
                  <c:v>787.13392505478203</c:v>
                </c:pt>
                <c:pt idx="132">
                  <c:v>801.26185745274233</c:v>
                </c:pt>
                <c:pt idx="133">
                  <c:v>815.38476145264315</c:v>
                </c:pt>
                <c:pt idx="134">
                  <c:v>829.50273634712312</c:v>
                </c:pt>
                <c:pt idx="135">
                  <c:v>843.61587777633497</c:v>
                </c:pt>
                <c:pt idx="136">
                  <c:v>857.72427792241604</c:v>
                </c:pt>
                <c:pt idx="137">
                  <c:v>871.82802569050909</c:v>
                </c:pt>
                <c:pt idx="138">
                  <c:v>754.70929469446401</c:v>
                </c:pt>
                <c:pt idx="139">
                  <c:v>768.37303041901862</c:v>
                </c:pt>
                <c:pt idx="140">
                  <c:v>782.03184065338644</c:v>
                </c:pt>
                <c:pt idx="141">
                  <c:v>795.68582348177642</c:v>
                </c:pt>
                <c:pt idx="142">
                  <c:v>809.33507335034358</c:v>
                </c:pt>
                <c:pt idx="143">
                  <c:v>822.97968126247281</c:v>
                </c:pt>
                <c:pt idx="144">
                  <c:v>836.61973496045312</c:v>
                </c:pt>
                <c:pt idx="145">
                  <c:v>850.25531909469748</c:v>
                </c:pt>
                <c:pt idx="146">
                  <c:v>863.88651538155307</c:v>
                </c:pt>
                <c:pt idx="147">
                  <c:v>877.51340275064501</c:v>
                </c:pt>
                <c:pt idx="148">
                  <c:v>891.13605748259954</c:v>
                </c:pt>
                <c:pt idx="149">
                  <c:v>904.7545533379174</c:v>
                </c:pt>
                <c:pt idx="150">
                  <c:v>595.43330762275843</c:v>
                </c:pt>
                <c:pt idx="151">
                  <c:v>593.07353171184252</c:v>
                </c:pt>
                <c:pt idx="152">
                  <c:v>590.71356036407008</c:v>
                </c:pt>
                <c:pt idx="153">
                  <c:v>588.35339268743132</c:v>
                </c:pt>
                <c:pt idx="154">
                  <c:v>407.08387130248093</c:v>
                </c:pt>
                <c:pt idx="155">
                  <c:v>405.82357951358364</c:v>
                </c:pt>
                <c:pt idx="156">
                  <c:v>404.56320310435973</c:v>
                </c:pt>
                <c:pt idx="157">
                  <c:v>403.30274177339476</c:v>
                </c:pt>
                <c:pt idx="158">
                  <c:v>284.36289483215313</c:v>
                </c:pt>
                <c:pt idx="159">
                  <c:v>283.18442692718742</c:v>
                </c:pt>
                <c:pt idx="160">
                  <c:v>282.00584912141625</c:v>
                </c:pt>
                <c:pt idx="161">
                  <c:v>280.82716088921825</c:v>
                </c:pt>
                <c:pt idx="162">
                  <c:v>41.486953298564259</c:v>
                </c:pt>
                <c:pt idx="163">
                  <c:v>41.486953298564259</c:v>
                </c:pt>
                <c:pt idx="164">
                  <c:v>41.486953298564259</c:v>
                </c:pt>
                <c:pt idx="165">
                  <c:v>41.486953298564259</c:v>
                </c:pt>
                <c:pt idx="166">
                  <c:v>41.486953298564259</c:v>
                </c:pt>
                <c:pt idx="167">
                  <c:v>41.486953298564259</c:v>
                </c:pt>
                <c:pt idx="168">
                  <c:v>41.486953298564259</c:v>
                </c:pt>
                <c:pt idx="169">
                  <c:v>41.486953298564259</c:v>
                </c:pt>
                <c:pt idx="170">
                  <c:v>41.486953298564259</c:v>
                </c:pt>
                <c:pt idx="171">
                  <c:v>41.486953298564259</c:v>
                </c:pt>
                <c:pt idx="172">
                  <c:v>41.486953298564259</c:v>
                </c:pt>
                <c:pt idx="173">
                  <c:v>41.486953298564259</c:v>
                </c:pt>
                <c:pt idx="174">
                  <c:v>41.486953298564259</c:v>
                </c:pt>
                <c:pt idx="175">
                  <c:v>41.486953298564259</c:v>
                </c:pt>
                <c:pt idx="176">
                  <c:v>41.486953298564259</c:v>
                </c:pt>
                <c:pt idx="177">
                  <c:v>41.486953298564259</c:v>
                </c:pt>
                <c:pt idx="178">
                  <c:v>41.486953298564259</c:v>
                </c:pt>
                <c:pt idx="179">
                  <c:v>41.486953298564259</c:v>
                </c:pt>
                <c:pt idx="180">
                  <c:v>41.486953298564259</c:v>
                </c:pt>
                <c:pt idx="181">
                  <c:v>41.486953298564259</c:v>
                </c:pt>
                <c:pt idx="182">
                  <c:v>41.486953298564259</c:v>
                </c:pt>
                <c:pt idx="183">
                  <c:v>41.486953298564259</c:v>
                </c:pt>
                <c:pt idx="184">
                  <c:v>41.486953298564259</c:v>
                </c:pt>
                <c:pt idx="185">
                  <c:v>41.486953298564259</c:v>
                </c:pt>
                <c:pt idx="186">
                  <c:v>41.486953298564259</c:v>
                </c:pt>
                <c:pt idx="187">
                  <c:v>41.486953298564259</c:v>
                </c:pt>
                <c:pt idx="188">
                  <c:v>41.486953298564259</c:v>
                </c:pt>
                <c:pt idx="189">
                  <c:v>41.486953298564259</c:v>
                </c:pt>
                <c:pt idx="190">
                  <c:v>41.486953298564259</c:v>
                </c:pt>
                <c:pt idx="191">
                  <c:v>41.486953298564259</c:v>
                </c:pt>
                <c:pt idx="192">
                  <c:v>41.486953298564259</c:v>
                </c:pt>
                <c:pt idx="193">
                  <c:v>41.486953298564259</c:v>
                </c:pt>
                <c:pt idx="194">
                  <c:v>41.486953298564259</c:v>
                </c:pt>
                <c:pt idx="195">
                  <c:v>41.486953298564259</c:v>
                </c:pt>
                <c:pt idx="196">
                  <c:v>41.486953298564259</c:v>
                </c:pt>
                <c:pt idx="197">
                  <c:v>41.486953298564259</c:v>
                </c:pt>
                <c:pt idx="198">
                  <c:v>41.486953298564259</c:v>
                </c:pt>
                <c:pt idx="199">
                  <c:v>41.486953298564259</c:v>
                </c:pt>
                <c:pt idx="200">
                  <c:v>41.486953298564259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2.423782341225309</c:v>
                </c:pt>
                <c:pt idx="2">
                  <c:v>3.9524185348867706</c:v>
                </c:pt>
                <c:pt idx="3">
                  <c:v>6.4498959610686564</c:v>
                </c:pt>
                <c:pt idx="4">
                  <c:v>10.533080589149646</c:v>
                </c:pt>
                <c:pt idx="5">
                  <c:v>17.213262907454261</c:v>
                </c:pt>
                <c:pt idx="6">
                  <c:v>28.149329458278331</c:v>
                </c:pt>
                <c:pt idx="7">
                  <c:v>46.064009727314108</c:v>
                </c:pt>
                <c:pt idx="8">
                  <c:v>75.428572423004098</c:v>
                </c:pt>
                <c:pt idx="9">
                  <c:v>123.58962732921769</c:v>
                </c:pt>
                <c:pt idx="10">
                  <c:v>167.55353335335985</c:v>
                </c:pt>
                <c:pt idx="11">
                  <c:v>211.24312114491462</c:v>
                </c:pt>
                <c:pt idx="12">
                  <c:v>254.72349142945993</c:v>
                </c:pt>
                <c:pt idx="13">
                  <c:v>298.03547427916374</c:v>
                </c:pt>
                <c:pt idx="14">
                  <c:v>341.20699699372409</c:v>
                </c:pt>
                <c:pt idx="15">
                  <c:v>349.8263283660911</c:v>
                </c:pt>
                <c:pt idx="16">
                  <c:v>358.44100192789716</c:v>
                </c:pt>
                <c:pt idx="17">
                  <c:v>367.05114548584316</c:v>
                </c:pt>
                <c:pt idx="18">
                  <c:v>375.65688035733621</c:v>
                </c:pt>
                <c:pt idx="19">
                  <c:v>384.25832184433693</c:v>
                </c:pt>
                <c:pt idx="20">
                  <c:v>387.3850758705243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96" sqref="F19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9.43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327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0.16435628647091888</v>
      </c>
      <c r="D9" s="33">
        <f t="shared" ref="D9:D18" si="0">C9*$C$5</f>
        <v>1.549879781420765</v>
      </c>
      <c r="E9" s="265">
        <v>161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0.16435628647091888</v>
      </c>
      <c r="D10" s="33">
        <f t="shared" si="0"/>
        <v>1.549879781420765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0.1457179447061755</v>
      </c>
      <c r="D11" s="33">
        <f t="shared" si="0"/>
        <v>1.3741202185792349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22</v>
      </c>
      <c r="C12" s="264">
        <v>0.1457179447061755</v>
      </c>
      <c r="D12" s="33">
        <f t="shared" si="0"/>
        <v>1.3741202185792349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29</v>
      </c>
      <c r="C13" s="32">
        <v>7.2858972353087748E-2</v>
      </c>
      <c r="D13" s="33">
        <f t="shared" si="0"/>
        <v>0.68706010928961747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6</v>
      </c>
      <c r="C14" s="32">
        <v>8.2178143235459439E-2</v>
      </c>
      <c r="D14" s="33">
        <f t="shared" si="0"/>
        <v>0.7749398907103825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328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129</v>
      </c>
      <c r="C15" s="32">
        <v>0.22481442205726407</v>
      </c>
      <c r="D15" s="33">
        <f t="shared" si="0"/>
        <v>2.12</v>
      </c>
      <c r="E15" s="34">
        <v>20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H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9.43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87.705128209999998</v>
      </c>
      <c r="C36" s="259"/>
      <c r="D36" s="259"/>
      <c r="E36" s="260"/>
      <c r="F36" s="260"/>
      <c r="G36" s="260"/>
      <c r="H36" s="260"/>
      <c r="I36" s="49">
        <f>IFERROR(B36/A36,"")</f>
        <v>2.9235042736666665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44</v>
      </c>
      <c r="B37" s="259">
        <v>201.77</v>
      </c>
      <c r="C37" s="259">
        <v>1</v>
      </c>
      <c r="D37" s="259">
        <v>74.010000000000005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8.147490842142858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51</v>
      </c>
      <c r="B38" s="259">
        <v>192.85</v>
      </c>
      <c r="C38" s="259">
        <v>2</v>
      </c>
      <c r="D38" s="259">
        <v>46.13</v>
      </c>
      <c r="E38" s="260">
        <v>1</v>
      </c>
      <c r="F38" s="260"/>
      <c r="G38" s="260"/>
      <c r="H38" s="260"/>
      <c r="I38" s="53">
        <f t="shared" si="1"/>
        <v>9.2985714285714263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59</v>
      </c>
      <c r="B39" s="259">
        <v>217.3</v>
      </c>
      <c r="C39" s="259">
        <v>3</v>
      </c>
      <c r="D39" s="259">
        <v>48.96</v>
      </c>
      <c r="E39" s="260">
        <v>1</v>
      </c>
      <c r="F39" s="260"/>
      <c r="G39" s="260"/>
      <c r="H39" s="260"/>
      <c r="I39" s="49">
        <f t="shared" si="1"/>
        <v>8.8225000000000016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67</v>
      </c>
      <c r="B40" s="259">
        <v>233.08</v>
      </c>
      <c r="C40" s="259">
        <v>4</v>
      </c>
      <c r="D40" s="259">
        <v>40.630000000000003</v>
      </c>
      <c r="E40" s="260">
        <v>1</v>
      </c>
      <c r="F40" s="260"/>
      <c r="G40" s="260"/>
      <c r="H40" s="260"/>
      <c r="I40" s="49">
        <f t="shared" si="1"/>
        <v>8.0925000000000011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75</v>
      </c>
      <c r="B41" s="259">
        <v>254.89</v>
      </c>
      <c r="C41" s="259">
        <v>5</v>
      </c>
      <c r="D41" s="259">
        <v>39.54</v>
      </c>
      <c r="E41" s="260">
        <v>1</v>
      </c>
      <c r="F41" s="260"/>
      <c r="G41" s="260"/>
      <c r="H41" s="260"/>
      <c r="I41" s="53">
        <f t="shared" si="1"/>
        <v>7.8049999999999962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283.77</v>
      </c>
      <c r="C42" s="259">
        <v>6</v>
      </c>
      <c r="D42" s="259">
        <v>44.89</v>
      </c>
      <c r="E42" s="260">
        <v>1</v>
      </c>
      <c r="F42" s="260"/>
      <c r="G42" s="260"/>
      <c r="H42" s="260"/>
      <c r="I42" s="53">
        <f t="shared" si="1"/>
        <v>7.6022222222222204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93</v>
      </c>
      <c r="B43" s="259">
        <v>303.37</v>
      </c>
      <c r="C43" s="259">
        <v>7</v>
      </c>
      <c r="D43" s="259">
        <v>38.57</v>
      </c>
      <c r="E43" s="260">
        <v>1</v>
      </c>
      <c r="F43" s="260"/>
      <c r="G43" s="260"/>
      <c r="H43" s="260"/>
      <c r="I43" s="49">
        <f t="shared" si="1"/>
        <v>7.1655555555555566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103</v>
      </c>
      <c r="B44" s="259">
        <v>337.71</v>
      </c>
      <c r="C44" s="259">
        <v>8</v>
      </c>
      <c r="D44" s="259">
        <v>50.51</v>
      </c>
      <c r="E44" s="260">
        <v>1</v>
      </c>
      <c r="F44" s="260"/>
      <c r="G44" s="260"/>
      <c r="H44" s="260"/>
      <c r="I44" s="49">
        <f t="shared" si="1"/>
        <v>7.2909999999999968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113</v>
      </c>
      <c r="B45" s="261">
        <v>356.05</v>
      </c>
      <c r="C45" s="259">
        <v>9</v>
      </c>
      <c r="D45" s="261">
        <v>40.479999999999997</v>
      </c>
      <c r="E45" s="260">
        <v>1</v>
      </c>
      <c r="F45" s="260"/>
      <c r="G45" s="260"/>
      <c r="H45" s="260"/>
      <c r="I45" s="49">
        <f t="shared" si="1"/>
        <v>6.8850000000000025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125</v>
      </c>
      <c r="B46" s="262">
        <v>404.61</v>
      </c>
      <c r="C46" s="259">
        <v>10</v>
      </c>
      <c r="D46" s="262">
        <v>61.5</v>
      </c>
      <c r="E46" s="260">
        <v>1</v>
      </c>
      <c r="F46" s="260"/>
      <c r="G46" s="260"/>
      <c r="H46" s="260"/>
      <c r="I46" s="49">
        <f t="shared" si="1"/>
        <v>7.4200000000000017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137</v>
      </c>
      <c r="B47" s="261">
        <v>428.03</v>
      </c>
      <c r="C47" s="259">
        <v>11</v>
      </c>
      <c r="D47" s="261">
        <v>65.53</v>
      </c>
      <c r="E47" s="260">
        <v>1</v>
      </c>
      <c r="F47" s="260"/>
      <c r="G47" s="260"/>
      <c r="H47" s="260"/>
      <c r="I47" s="49">
        <f t="shared" si="1"/>
        <v>7.0766666666666636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149</v>
      </c>
      <c r="B48" s="261">
        <v>444.56</v>
      </c>
      <c r="C48" s="259">
        <v>12</v>
      </c>
      <c r="D48" s="261">
        <v>153.56</v>
      </c>
      <c r="E48" s="260">
        <v>1</v>
      </c>
      <c r="F48" s="260"/>
      <c r="G48" s="260"/>
      <c r="H48" s="260"/>
      <c r="I48" s="49">
        <f t="shared" si="1"/>
        <v>6.8383333333333338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153</v>
      </c>
      <c r="B49" s="261">
        <v>286.3</v>
      </c>
      <c r="C49" s="259">
        <v>13</v>
      </c>
      <c r="D49" s="261">
        <v>89.29</v>
      </c>
      <c r="E49" s="260">
        <v>1</v>
      </c>
      <c r="F49" s="260"/>
      <c r="G49" s="260"/>
      <c r="H49" s="260"/>
      <c r="I49" s="49">
        <f t="shared" si="1"/>
        <v>-1.1749999999999972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157</v>
      </c>
      <c r="B50" s="261">
        <v>194.52</v>
      </c>
      <c r="C50" s="261">
        <v>14</v>
      </c>
      <c r="D50" s="261">
        <v>57.95</v>
      </c>
      <c r="E50" s="260">
        <v>1</v>
      </c>
      <c r="F50" s="260"/>
      <c r="G50" s="260"/>
      <c r="H50" s="260"/>
      <c r="I50" s="49">
        <f t="shared" si="1"/>
        <v>-0.62249999999999517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161</v>
      </c>
      <c r="B51" s="261">
        <v>134.26</v>
      </c>
      <c r="C51" s="261">
        <v>15</v>
      </c>
      <c r="D51" s="261">
        <v>115.43</v>
      </c>
      <c r="E51" s="260">
        <v>1</v>
      </c>
      <c r="F51" s="260"/>
      <c r="G51" s="260"/>
      <c r="H51" s="260"/>
      <c r="I51" s="49">
        <f t="shared" si="1"/>
        <v>-0.57750000000000057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f>190.14/1.56</f>
        <v>121.88461538461537</v>
      </c>
      <c r="C62" s="261"/>
      <c r="D62" s="261"/>
      <c r="E62" s="260"/>
      <c r="F62" s="260"/>
      <c r="G62" s="260"/>
      <c r="H62" s="260"/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15.881076923076924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29</v>
      </c>
      <c r="C88" s="261"/>
      <c r="D88" s="261">
        <v>0</v>
      </c>
      <c r="E88" s="260"/>
      <c r="F88" s="260"/>
      <c r="G88" s="260"/>
      <c r="H88" s="260"/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73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129</v>
      </c>
      <c r="C90" s="261">
        <v>1</v>
      </c>
      <c r="D90" s="261">
        <v>54</v>
      </c>
      <c r="E90" s="260"/>
      <c r="F90" s="260"/>
      <c r="G90" s="260"/>
      <c r="H90" s="260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126</v>
      </c>
      <c r="C91" s="261">
        <v>2</v>
      </c>
      <c r="D91" s="261">
        <v>26</v>
      </c>
      <c r="E91" s="260"/>
      <c r="F91" s="260"/>
      <c r="G91" s="260"/>
      <c r="H91" s="260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149</v>
      </c>
      <c r="C92" s="261">
        <v>3</v>
      </c>
      <c r="D92" s="261">
        <v>27</v>
      </c>
      <c r="E92" s="260"/>
      <c r="F92" s="260"/>
      <c r="G92" s="260"/>
      <c r="H92" s="260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168</v>
      </c>
      <c r="C93" s="261">
        <v>4</v>
      </c>
      <c r="D93" s="261">
        <v>27</v>
      </c>
      <c r="E93" s="260">
        <v>1</v>
      </c>
      <c r="F93" s="260"/>
      <c r="G93" s="260"/>
      <c r="H93" s="260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185</v>
      </c>
      <c r="C94" s="261">
        <v>5</v>
      </c>
      <c r="D94" s="261">
        <v>27</v>
      </c>
      <c r="E94" s="260">
        <v>1</v>
      </c>
      <c r="F94" s="260"/>
      <c r="G94" s="260"/>
      <c r="H94" s="260"/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198</v>
      </c>
      <c r="C95" s="261">
        <v>6</v>
      </c>
      <c r="D95" s="261">
        <v>26</v>
      </c>
      <c r="E95" s="260">
        <v>1</v>
      </c>
      <c r="F95" s="260"/>
      <c r="G95" s="260"/>
      <c r="H95" s="260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209</v>
      </c>
      <c r="C96" s="261">
        <v>7</v>
      </c>
      <c r="D96" s="261">
        <v>24</v>
      </c>
      <c r="E96" s="260">
        <v>1</v>
      </c>
      <c r="F96" s="260"/>
      <c r="G96" s="260"/>
      <c r="H96" s="260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218</v>
      </c>
      <c r="C97" s="261">
        <v>8</v>
      </c>
      <c r="D97" s="261">
        <v>23</v>
      </c>
      <c r="E97" s="260">
        <v>1</v>
      </c>
      <c r="F97" s="260"/>
      <c r="G97" s="260"/>
      <c r="H97" s="260"/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225</v>
      </c>
      <c r="C98" s="261">
        <v>9</v>
      </c>
      <c r="D98" s="261">
        <v>21</v>
      </c>
      <c r="E98" s="260">
        <v>1</v>
      </c>
      <c r="F98" s="260"/>
      <c r="G98" s="260"/>
      <c r="H98" s="260"/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232</v>
      </c>
      <c r="C99" s="261">
        <v>10</v>
      </c>
      <c r="D99" s="261">
        <v>20</v>
      </c>
      <c r="E99" s="260">
        <v>1</v>
      </c>
      <c r="F99" s="260"/>
      <c r="G99" s="260"/>
      <c r="H99" s="260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237</v>
      </c>
      <c r="C100" s="261">
        <v>11</v>
      </c>
      <c r="D100" s="261">
        <v>18</v>
      </c>
      <c r="E100" s="260">
        <v>1</v>
      </c>
      <c r="F100" s="260"/>
      <c r="G100" s="260"/>
      <c r="H100" s="260"/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241</v>
      </c>
      <c r="C101" s="261">
        <v>12</v>
      </c>
      <c r="D101" s="261">
        <v>16</v>
      </c>
      <c r="E101" s="260">
        <v>1</v>
      </c>
      <c r="F101" s="260"/>
      <c r="G101" s="260"/>
      <c r="H101" s="260"/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245</v>
      </c>
      <c r="C102" s="261">
        <v>13</v>
      </c>
      <c r="D102" s="261">
        <v>15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248</v>
      </c>
      <c r="C103" s="256">
        <v>14</v>
      </c>
      <c r="D103" s="256">
        <v>14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249</v>
      </c>
      <c r="C104" s="256">
        <v>15</v>
      </c>
      <c r="D104" s="256">
        <v>12</v>
      </c>
      <c r="E104" s="255">
        <v>1</v>
      </c>
      <c r="F104" s="255"/>
      <c r="G104" s="255"/>
      <c r="H104" s="255"/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252</v>
      </c>
      <c r="C105" s="256">
        <v>16</v>
      </c>
      <c r="D105" s="256">
        <v>12</v>
      </c>
      <c r="E105" s="255">
        <v>1</v>
      </c>
      <c r="F105" s="255"/>
      <c r="G105" s="255"/>
      <c r="H105" s="255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255</v>
      </c>
      <c r="C106" s="256">
        <v>17</v>
      </c>
      <c r="D106" s="256">
        <v>12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11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65</v>
      </c>
      <c r="C115" s="261">
        <v>1</v>
      </c>
      <c r="D115" s="261">
        <v>32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102</v>
      </c>
      <c r="C116" s="261">
        <v>2</v>
      </c>
      <c r="D116" s="261">
        <v>35</v>
      </c>
      <c r="E116" s="260"/>
      <c r="F116" s="260"/>
      <c r="G116" s="260"/>
      <c r="H116" s="260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141</v>
      </c>
      <c r="C117" s="261">
        <v>3</v>
      </c>
      <c r="D117" s="261">
        <v>35</v>
      </c>
      <c r="E117" s="260"/>
      <c r="F117" s="260"/>
      <c r="G117" s="260"/>
      <c r="H117" s="260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177</v>
      </c>
      <c r="C118" s="261">
        <v>4</v>
      </c>
      <c r="D118" s="261">
        <v>35</v>
      </c>
      <c r="E118" s="260"/>
      <c r="F118" s="260"/>
      <c r="G118" s="260"/>
      <c r="H118" s="260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206</v>
      </c>
      <c r="C119" s="261">
        <v>5</v>
      </c>
      <c r="D119" s="261">
        <v>35</v>
      </c>
      <c r="E119" s="260">
        <v>1</v>
      </c>
      <c r="F119" s="260"/>
      <c r="G119" s="260"/>
      <c r="H119" s="260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228</v>
      </c>
      <c r="C120" s="261">
        <v>6</v>
      </c>
      <c r="D120" s="261">
        <v>35</v>
      </c>
      <c r="E120" s="260">
        <v>1</v>
      </c>
      <c r="F120" s="260"/>
      <c r="G120" s="260"/>
      <c r="H120" s="260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242</v>
      </c>
      <c r="C121" s="261">
        <v>7</v>
      </c>
      <c r="D121" s="261">
        <v>24</v>
      </c>
      <c r="E121" s="260">
        <v>1</v>
      </c>
      <c r="F121" s="260"/>
      <c r="G121" s="260"/>
      <c r="H121" s="260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261</v>
      </c>
      <c r="C122" s="261">
        <v>8</v>
      </c>
      <c r="D122" s="261">
        <v>19</v>
      </c>
      <c r="E122" s="260">
        <v>1</v>
      </c>
      <c r="F122" s="260"/>
      <c r="G122" s="260"/>
      <c r="H122" s="260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279</v>
      </c>
      <c r="C123" s="261">
        <v>9</v>
      </c>
      <c r="D123" s="261">
        <v>16</v>
      </c>
      <c r="E123" s="260">
        <v>1</v>
      </c>
      <c r="F123" s="260"/>
      <c r="G123" s="260"/>
      <c r="H123" s="260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294</v>
      </c>
      <c r="C124" s="261">
        <v>10</v>
      </c>
      <c r="D124" s="261">
        <v>14</v>
      </c>
      <c r="E124" s="260">
        <v>1</v>
      </c>
      <c r="F124" s="260"/>
      <c r="G124" s="260"/>
      <c r="H124" s="260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306</v>
      </c>
      <c r="C125" s="261">
        <v>11</v>
      </c>
      <c r="D125" s="261">
        <v>13</v>
      </c>
      <c r="E125" s="260">
        <v>1</v>
      </c>
      <c r="F125" s="260"/>
      <c r="G125" s="260"/>
      <c r="H125" s="260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316</v>
      </c>
      <c r="C126" s="261">
        <v>12</v>
      </c>
      <c r="D126" s="261">
        <v>13</v>
      </c>
      <c r="E126" s="260">
        <v>1</v>
      </c>
      <c r="F126" s="260"/>
      <c r="G126" s="260"/>
      <c r="H126" s="260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324</v>
      </c>
      <c r="C127" s="261">
        <v>13</v>
      </c>
      <c r="D127" s="261">
        <v>12</v>
      </c>
      <c r="E127" s="260">
        <v>1</v>
      </c>
      <c r="F127" s="260"/>
      <c r="G127" s="260"/>
      <c r="H127" s="260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330</v>
      </c>
      <c r="C128" s="261">
        <v>14</v>
      </c>
      <c r="D128" s="261">
        <v>11</v>
      </c>
      <c r="E128" s="260">
        <v>1</v>
      </c>
      <c r="F128" s="260"/>
      <c r="G128" s="260"/>
      <c r="H128" s="260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Merisier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25.641025641025639</v>
      </c>
      <c r="C140" s="50">
        <v>1</v>
      </c>
      <c r="D140" s="60">
        <v>1.9230769230769229</v>
      </c>
      <c r="E140" s="51"/>
      <c r="F140" s="51"/>
      <c r="G140" s="51"/>
      <c r="H140" s="51">
        <v>1</v>
      </c>
      <c r="I140" s="57">
        <f>IFERROR(B140/A140,"")</f>
        <v>1.7094017094017093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54.487179487179482</v>
      </c>
      <c r="C141" s="50">
        <v>2</v>
      </c>
      <c r="D141" s="60">
        <v>16.025641025641026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6.1538461538461533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72.435897435897431</v>
      </c>
      <c r="C142" s="50">
        <v>3</v>
      </c>
      <c r="D142" s="60">
        <v>17.307692307692307</v>
      </c>
      <c r="E142" s="51"/>
      <c r="F142" s="51"/>
      <c r="G142" s="51"/>
      <c r="H142" s="51">
        <v>1</v>
      </c>
      <c r="I142" s="57">
        <f t="shared" si="5"/>
        <v>6.7948717948717956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31</v>
      </c>
      <c r="B143" s="60">
        <v>99.358974358974351</v>
      </c>
      <c r="C143" s="50">
        <v>4</v>
      </c>
      <c r="D143" s="60">
        <v>23.076923076923077</v>
      </c>
      <c r="E143" s="51">
        <v>1</v>
      </c>
      <c r="F143" s="51"/>
      <c r="G143" s="51"/>
      <c r="H143" s="51"/>
      <c r="I143" s="57">
        <f t="shared" si="5"/>
        <v>7.3717948717948714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37</v>
      </c>
      <c r="B144" s="60">
        <v>120.51282051282051</v>
      </c>
      <c r="C144" s="50">
        <v>5</v>
      </c>
      <c r="D144" s="60">
        <v>23.076923076923077</v>
      </c>
      <c r="E144" s="51">
        <v>1</v>
      </c>
      <c r="F144" s="51"/>
      <c r="G144" s="51"/>
      <c r="H144" s="51"/>
      <c r="I144" s="57">
        <f t="shared" si="5"/>
        <v>7.3717948717948731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44</v>
      </c>
      <c r="B145" s="60">
        <v>147.43589743589743</v>
      </c>
      <c r="C145" s="50">
        <v>6</v>
      </c>
      <c r="D145" s="60">
        <v>27.564102564102562</v>
      </c>
      <c r="E145" s="51">
        <v>1</v>
      </c>
      <c r="F145" s="51"/>
      <c r="G145" s="51"/>
      <c r="H145" s="51"/>
      <c r="I145" s="57">
        <f t="shared" si="5"/>
        <v>7.1428571428571432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52</v>
      </c>
      <c r="B146" s="60">
        <v>173.07692307692307</v>
      </c>
      <c r="C146" s="50">
        <v>7</v>
      </c>
      <c r="D146" s="60">
        <v>30.769230769230766</v>
      </c>
      <c r="E146" s="51">
        <v>1</v>
      </c>
      <c r="F146" s="51"/>
      <c r="G146" s="51"/>
      <c r="H146" s="51"/>
      <c r="I146" s="57">
        <f t="shared" si="5"/>
        <v>6.6506410256410255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60</v>
      </c>
      <c r="B147" s="60">
        <v>190.38461538461539</v>
      </c>
      <c r="C147" s="50">
        <v>8</v>
      </c>
      <c r="D147" s="60">
        <v>30.128205128205128</v>
      </c>
      <c r="E147" s="51">
        <v>1</v>
      </c>
      <c r="F147" s="51"/>
      <c r="G147" s="51"/>
      <c r="H147" s="51"/>
      <c r="I147" s="57">
        <f>IF(A147&lt;&gt;0,(B147-(B146-D146))/(A147-A146),"")</f>
        <v>6.0096153846153868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69</v>
      </c>
      <c r="B148" s="60">
        <v>210.25641025641025</v>
      </c>
      <c r="C148" s="50"/>
      <c r="D148" s="60"/>
      <c r="E148" s="51"/>
      <c r="F148" s="51"/>
      <c r="G148" s="51"/>
      <c r="H148" s="51"/>
      <c r="I148" s="57">
        <f t="shared" si="5"/>
        <v>5.5555555555555554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Charme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v>87.705128209999998</v>
      </c>
      <c r="C166" s="60"/>
      <c r="D166" s="60"/>
      <c r="E166" s="51"/>
      <c r="F166" s="51"/>
      <c r="G166" s="51"/>
      <c r="H166" s="51"/>
      <c r="I166" s="49">
        <f>IFERROR(B166/A166,"")</f>
        <v>2.9235042736666665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44</v>
      </c>
      <c r="B167" s="60">
        <v>201.77</v>
      </c>
      <c r="C167" s="60">
        <v>1</v>
      </c>
      <c r="D167" s="60">
        <v>74.010000000000005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8.147490842142858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51</v>
      </c>
      <c r="B168" s="60">
        <v>192.85</v>
      </c>
      <c r="C168" s="60">
        <v>2</v>
      </c>
      <c r="D168" s="60">
        <v>46.13</v>
      </c>
      <c r="E168" s="51">
        <v>1</v>
      </c>
      <c r="F168" s="51"/>
      <c r="G168" s="51"/>
      <c r="H168" s="51"/>
      <c r="I168" s="49">
        <f t="shared" si="6"/>
        <v>9.2985714285714263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59</v>
      </c>
      <c r="B169" s="60">
        <v>217.3</v>
      </c>
      <c r="C169" s="60">
        <v>3</v>
      </c>
      <c r="D169" s="60">
        <v>48.96</v>
      </c>
      <c r="E169" s="51">
        <v>1</v>
      </c>
      <c r="F169" s="51"/>
      <c r="G169" s="51"/>
      <c r="H169" s="51"/>
      <c r="I169" s="49">
        <f t="shared" si="6"/>
        <v>8.8225000000000016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67</v>
      </c>
      <c r="B170" s="60">
        <v>233.08</v>
      </c>
      <c r="C170" s="60">
        <v>4</v>
      </c>
      <c r="D170" s="60">
        <v>40.630000000000003</v>
      </c>
      <c r="E170" s="51">
        <v>1</v>
      </c>
      <c r="F170" s="51"/>
      <c r="G170" s="51"/>
      <c r="H170" s="51"/>
      <c r="I170" s="49">
        <f t="shared" si="6"/>
        <v>8.0925000000000011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75</v>
      </c>
      <c r="B171" s="60">
        <v>254.89</v>
      </c>
      <c r="C171" s="60">
        <v>5</v>
      </c>
      <c r="D171" s="60">
        <v>39.54</v>
      </c>
      <c r="E171" s="51">
        <v>1</v>
      </c>
      <c r="F171" s="51"/>
      <c r="G171" s="51"/>
      <c r="H171" s="51"/>
      <c r="I171" s="49">
        <f t="shared" si="6"/>
        <v>7.8049999999999962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84</v>
      </c>
      <c r="B172" s="60">
        <v>283.77</v>
      </c>
      <c r="C172" s="60">
        <v>6</v>
      </c>
      <c r="D172" s="60">
        <v>44.89</v>
      </c>
      <c r="E172" s="51">
        <v>1</v>
      </c>
      <c r="F172" s="51"/>
      <c r="G172" s="51"/>
      <c r="H172" s="51"/>
      <c r="I172" s="49">
        <f t="shared" si="6"/>
        <v>7.6022222222222204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93</v>
      </c>
      <c r="B173" s="50">
        <v>303.37</v>
      </c>
      <c r="C173" s="50">
        <v>7</v>
      </c>
      <c r="D173" s="50">
        <v>38.57</v>
      </c>
      <c r="E173" s="51">
        <v>1</v>
      </c>
      <c r="F173" s="51"/>
      <c r="G173" s="51"/>
      <c r="H173" s="51"/>
      <c r="I173" s="49">
        <f t="shared" si="6"/>
        <v>7.1655555555555566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103</v>
      </c>
      <c r="B174" s="50">
        <v>337.71</v>
      </c>
      <c r="C174" s="50">
        <v>8</v>
      </c>
      <c r="D174" s="50">
        <v>50.51</v>
      </c>
      <c r="E174" s="51">
        <v>1</v>
      </c>
      <c r="F174" s="51"/>
      <c r="G174" s="51"/>
      <c r="H174" s="51"/>
      <c r="I174" s="49">
        <f t="shared" si="6"/>
        <v>7.2909999999999968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113</v>
      </c>
      <c r="B175" s="50">
        <v>356.05</v>
      </c>
      <c r="C175" s="50">
        <v>9</v>
      </c>
      <c r="D175" s="50">
        <v>40.479999999999997</v>
      </c>
      <c r="E175" s="51">
        <v>1</v>
      </c>
      <c r="F175" s="51"/>
      <c r="G175" s="51"/>
      <c r="H175" s="51"/>
      <c r="I175" s="49">
        <f t="shared" si="6"/>
        <v>6.8850000000000025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125</v>
      </c>
      <c r="B176" s="50">
        <v>404.61</v>
      </c>
      <c r="C176" s="50">
        <v>10</v>
      </c>
      <c r="D176" s="50">
        <v>61.5</v>
      </c>
      <c r="E176" s="51">
        <v>1</v>
      </c>
      <c r="F176" s="51"/>
      <c r="G176" s="51"/>
      <c r="H176" s="51"/>
      <c r="I176" s="49">
        <f t="shared" si="6"/>
        <v>7.4200000000000017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137</v>
      </c>
      <c r="B177" s="50">
        <v>428.03</v>
      </c>
      <c r="C177" s="50">
        <v>11</v>
      </c>
      <c r="D177" s="50">
        <v>65.53</v>
      </c>
      <c r="E177" s="51">
        <v>1</v>
      </c>
      <c r="F177" s="51"/>
      <c r="G177" s="51"/>
      <c r="H177" s="51"/>
      <c r="I177" s="49">
        <f t="shared" si="6"/>
        <v>7.0766666666666636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149</v>
      </c>
      <c r="B178" s="50">
        <v>444.56</v>
      </c>
      <c r="C178" s="50">
        <v>12</v>
      </c>
      <c r="D178" s="50">
        <v>153.56</v>
      </c>
      <c r="E178" s="51">
        <v>1</v>
      </c>
      <c r="F178" s="51"/>
      <c r="G178" s="51"/>
      <c r="H178" s="51"/>
      <c r="I178" s="49">
        <f t="shared" si="6"/>
        <v>6.8383333333333338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153</v>
      </c>
      <c r="B179" s="50">
        <v>286.3</v>
      </c>
      <c r="C179" s="50">
        <v>13</v>
      </c>
      <c r="D179" s="50">
        <v>89.29</v>
      </c>
      <c r="E179" s="51">
        <v>1</v>
      </c>
      <c r="F179" s="51"/>
      <c r="G179" s="51"/>
      <c r="H179" s="51"/>
      <c r="I179" s="49">
        <f t="shared" si="6"/>
        <v>-1.1749999999999972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157</v>
      </c>
      <c r="B180" s="50">
        <v>194.52</v>
      </c>
      <c r="C180" s="50">
        <v>14</v>
      </c>
      <c r="D180" s="50">
        <v>57.95</v>
      </c>
      <c r="E180" s="51">
        <v>1</v>
      </c>
      <c r="F180" s="51"/>
      <c r="G180" s="51"/>
      <c r="H180" s="51"/>
      <c r="I180" s="49">
        <f t="shared" si="6"/>
        <v>-0.62249999999999517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161</v>
      </c>
      <c r="B181" s="50">
        <v>134.26</v>
      </c>
      <c r="C181" s="50">
        <v>15</v>
      </c>
      <c r="D181" s="50">
        <v>115.43</v>
      </c>
      <c r="E181" s="51">
        <v>1</v>
      </c>
      <c r="F181" s="51"/>
      <c r="G181" s="51"/>
      <c r="H181" s="51"/>
      <c r="I181" s="49">
        <f t="shared" si="6"/>
        <v>-0.57750000000000057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Peuplier Robusta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9</v>
      </c>
      <c r="B192" s="60">
        <v>96.153846153846146</v>
      </c>
      <c r="C192" s="60"/>
      <c r="D192" s="60"/>
      <c r="E192" s="51"/>
      <c r="F192" s="51"/>
      <c r="G192" s="51"/>
      <c r="H192" s="51"/>
      <c r="I192" s="49">
        <f>IFERROR(B192/A192,"")</f>
        <v>10.683760683760683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14</v>
      </c>
      <c r="B193" s="60">
        <v>272.4358974358974</v>
      </c>
      <c r="C193" s="60"/>
      <c r="D193" s="60"/>
      <c r="E193" s="51"/>
      <c r="F193" s="51"/>
      <c r="G193" s="51"/>
      <c r="H193" s="51"/>
      <c r="I193" s="49">
        <f t="shared" ref="I193:I211" si="7">IF(A193&lt;&gt;0,(B193-(B192-D192))/(A193-A192),"")</f>
        <v>35.256410256410255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19</v>
      </c>
      <c r="B194" s="60">
        <v>307.69230769230768</v>
      </c>
      <c r="C194" s="60"/>
      <c r="D194" s="60"/>
      <c r="E194" s="51"/>
      <c r="F194" s="51"/>
      <c r="G194" s="51"/>
      <c r="H194" s="51"/>
      <c r="I194" s="49">
        <f t="shared" si="7"/>
        <v>7.0512820512820555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20</v>
      </c>
      <c r="B195" s="60">
        <v>310.25641025641022</v>
      </c>
      <c r="C195" s="60" t="s">
        <v>326</v>
      </c>
      <c r="D195" s="60">
        <v>310.25641025641022</v>
      </c>
      <c r="E195" s="51">
        <v>0.77</v>
      </c>
      <c r="F195" s="51">
        <v>0.21</v>
      </c>
      <c r="G195" s="51">
        <v>0</v>
      </c>
      <c r="H195" s="51">
        <v>0</v>
      </c>
      <c r="I195" s="49">
        <f t="shared" si="7"/>
        <v>2.5641025641025408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9" sqref="B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0.21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0.79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plane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Merisier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Charme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Peuplier Robusta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1.05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3.85</v>
      </c>
      <c r="H3" s="66">
        <f>(B3+E3+F3)*44/12+(C3+D3)*0.475*44/12</f>
        <v>241.26666666666665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237.41666666666666</v>
      </c>
      <c r="S3" s="59">
        <f ca="1">AVERAGE(OFFSET($R$3,0,0,'Données projet'!$E$9+1,1))-AVERAGE(OFFSET($H$3,0,0,'Données projet'!$E$9+1,1))</f>
        <v>480.34707165277229</v>
      </c>
      <c r="T3" s="59">
        <f>IF('Données projet'!E9&gt;30,$R$33-$H$33,LOOKUP('Données projet'!$E$9,$A$3:$A$203,R3:R203)-LOOKUP('Données projet'!$E$9,$A$3:$A$203,$H$3:$H$203))</f>
        <v>217.17128038304531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237.41666666666666</v>
      </c>
      <c r="AN3" s="59">
        <f ca="1">AVERAGE(OFFSET($AM$3,0,0,'Données projet'!$E$10+1,1))-AVERAGE(OFFSET($H$3,0,0,'Données projet'!$E$10+1,1))</f>
        <v>596.64394969449609</v>
      </c>
      <c r="AO3" s="59">
        <f>IF('Données projet'!E10&gt;30,$AM$33-$H$33,LOOKUP('Données projet'!$E$10,$A$3:$A$203,AM3:AM203)-LOOKUP('Données projet'!$E$10,$A$3:$A$203,$H$3:$H$203))</f>
        <v>312.55704723516362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237.41666666666666</v>
      </c>
      <c r="BI3" s="59">
        <f ca="1">AVERAGE(OFFSET($BH$3,0,0,'Données projet'!$E$11+1,1))-AVERAGE(OFFSET($H$3,0,0,'Données projet'!$E$11+1,1))</f>
        <v>360.53625471540249</v>
      </c>
      <c r="BJ3" s="59">
        <f>IF('Données projet'!E11&gt;30,$BH$33-$H$33,LOOKUP('Données projet'!$E$11,$A$3:$A$203,BH3:BH203)-LOOKUP('Données projet'!$E$11,$A$3:$A$203,$H$3:$H$203))</f>
        <v>326.66299410556076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237.41666666666666</v>
      </c>
      <c r="CD3" s="59">
        <f ca="1">AVERAGE(OFFSET($CC$3,0,0,'Données projet'!$E$12+1,1))-AVERAGE(OFFSET($H$3,0,0,'Données projet'!$E$12+1,1))</f>
        <v>358.39045200457502</v>
      </c>
      <c r="CE3" s="59">
        <f>IF('Données projet'!E12&gt;30,$CC$33-$H$33,LOOKUP('Données projet'!$E$12,$A$3:$A$203,CC3:CC203)-LOOKUP('Données projet'!$E$12,$A$3:$A$203,$H$3:$H$203))</f>
        <v>349.48764057925109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237.41666666666666</v>
      </c>
      <c r="CY3" s="59">
        <f ca="1">AVERAGE(OFFSET($CX$3,0,0,'Données projet'!$E$13+1,1))-AVERAGE(OFFSET($H$3,0,0,'Données projet'!$E$13+1,1))</f>
        <v>201.71903756761543</v>
      </c>
      <c r="CZ3" s="59">
        <f>IF('Données projet'!E13&gt;30,$CX$33-$H$33,LOOKUP('Données projet'!$E$13,$A$3:$A$203,CX3:CX203)-LOOKUP('Données projet'!$E$13,$A$3:$A$203,$H$3:$H$203))</f>
        <v>200.66422845182711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237.41666666666666</v>
      </c>
      <c r="DT3" s="59">
        <f ca="1">AVERAGE(OFFSET($DS$3,0,0,'Données projet'!$E$14+1,1))-AVERAGE(OFFSET($H$3,0,0,'Données projet'!$E$14+1,1))</f>
        <v>502.4879901989737</v>
      </c>
      <c r="DU3" s="59">
        <f>IF('Données projet'!E14&gt;30,$DS$33-$H$33,LOOKUP('Données projet'!$E$14,$A$3:$A$203,DS3:DS203)-LOOKUP('Données projet'!$E$14,$A$3:$A$203,$H$3:$H$203))</f>
        <v>226.06453328626355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237.41666666666666</v>
      </c>
      <c r="EO3" s="59">
        <f ca="1">AVERAGE(OFFSET($EN$3,0,0,'Données projet'!$E$15+1,1))-AVERAGE(OFFSET($H$3,0,0,'Données projet'!$E$15+1,1))</f>
        <v>192.76157155207764</v>
      </c>
      <c r="EP3" s="59">
        <f>IF('Données projet'!E15&gt;30,$EN$33-$H$33,LOOKUP('Données projet'!$E$15,$A$3:$A$203,EN3:EN203)-LOOKUP('Données projet'!$E$15,$A$3:$A$203,$H$3:$H$203))</f>
        <v>413.66427458788348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1.05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3.85</v>
      </c>
      <c r="H4" s="66">
        <f t="shared" ref="H4:H67" si="1">(B4+E4+F4)*44/12+(C4+D4)*0.475*44/12</f>
        <v>241.26666666666665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2.9235042736666665</v>
      </c>
      <c r="N4" s="13">
        <f>IF('Données projet'!$A$36&gt;35,N3+M4-V3,IF(A4&lt;'Données projet'!$A$36,$K$205^A4,IF(A4='Données projet'!$A$36,'Données projet'!$B$36,N3+M4-V3)))</f>
        <v>1.1608269964394529</v>
      </c>
      <c r="O4" s="13">
        <f>N4*VLOOKUP('Données projet'!$B$9,Paramètres!$A$1:$I$89,3,0)*VLOOKUP('Données projet'!$B$9,Paramètres!$A$1:$I$89,5,0)</f>
        <v>1.0503162663784169</v>
      </c>
      <c r="P4" s="13">
        <f>EXP(-1.0587+0.8836*LN(O4)+0.284)</f>
        <v>0.48127189162366646</v>
      </c>
      <c r="Q4" s="20">
        <f t="shared" ref="Q4:Q34" si="2">(O4+P4)*0.475*44/12</f>
        <v>2.6675160418536286</v>
      </c>
      <c r="R4" s="59">
        <f t="shared" si="0"/>
        <v>241.64034939418983</v>
      </c>
      <c r="S4" s="59">
        <f ca="1">AVERAGE(OFFSET($R$3,0,0,'Données projet'!$E$9+1,1))-AVERAGE(OFFSET($H$3,0,0,'Données projet'!$E$9+1,1))</f>
        <v>480.34707165277229</v>
      </c>
      <c r="T4" s="59">
        <f>$T$3</f>
        <v>217.17128038304531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1.1900619912150421</v>
      </c>
      <c r="AK4" s="13">
        <f>EXP(-1.0587+0.8836*LN(AJ4)+0.284)</f>
        <v>0.53743426225295832</v>
      </c>
      <c r="AL4" s="20">
        <f t="shared" ref="AL4:AL67" si="4">(AJ4+AK4)*0.475*44/12</f>
        <v>3.0087226414567669</v>
      </c>
      <c r="AM4" s="59">
        <f t="shared" ref="AM4:AM67" si="5">AL4+(AD4+AE4)*44/12</f>
        <v>241.98155599379297</v>
      </c>
      <c r="AN4" s="59">
        <f ca="1">AVERAGE(OFFSET($AM$3,0,0,'Données projet'!$E$10+1,1))-AVERAGE(OFFSET($H$3,0,0,'Données projet'!$E$10+1,1))</f>
        <v>596.64394969449609</v>
      </c>
      <c r="AO4" s="59">
        <f>$AO$3</f>
        <v>312.55704723516362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242.06264170735551</v>
      </c>
      <c r="BI4" s="59">
        <f ca="1">AVERAGE(OFFSET($BH$3,0,0,'Données projet'!$E$11+1,1))-AVERAGE(OFFSET($H$3,0,0,'Données projet'!$E$11+1,1))</f>
        <v>360.53625471540249</v>
      </c>
      <c r="BJ4" s="59">
        <f>$BJ$3</f>
        <v>326.66299410556076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241.54456060092699</v>
      </c>
      <c r="CD4" s="59">
        <f ca="1">AVERAGE(OFFSET($CC$3,0,0,'Données projet'!$E$12+1,1))-AVERAGE(OFFSET($H$3,0,0,'Données projet'!$E$12+1,1))</f>
        <v>358.39045200457502</v>
      </c>
      <c r="CE4" s="59">
        <f>$CE$3</f>
        <v>349.48764057925109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1.7094017094017093</v>
      </c>
      <c r="CT4" s="12">
        <f>IF('Données projet'!$A$140&gt;35,CT3+CS4-DB3,IF(A4&lt;'Données projet'!$A$140,$CQ$205^A4,IF(A4='Données projet'!$A$140,'Données projet'!$B$140,CT3+CS4-DB3)))</f>
        <v>1.2414494093563335</v>
      </c>
      <c r="CU4" s="17">
        <f>CT4*VLOOKUP('Données projet'!$B$13,Paramètres!$A$1:$I$89,3,0)*VLOOKUP('Données projet'!$B$13,Paramètres!$A$1:$I$89,5,0)</f>
        <v>0.96833053929794022</v>
      </c>
      <c r="CV4" s="13">
        <f>EXP(-1.0587+0.8836*LN(CU4)+0.284)</f>
        <v>0.44792215440986066</v>
      </c>
      <c r="CW4" s="20">
        <f t="shared" ref="CW4:CW67" si="13">(CU4+CV4)*0.475*44/12</f>
        <v>2.4666401082077529</v>
      </c>
      <c r="CX4" s="59">
        <f t="shared" ref="CX4:CX67" si="14">CW4+(CO4+CP4)*44/12</f>
        <v>241.43947346054395</v>
      </c>
      <c r="CY4" s="59">
        <f ca="1">AVERAGE(OFFSET($CX$3,0,0,'Données projet'!$E$13+1,1))-AVERAGE(OFFSET($H$3,0,0,'Données projet'!$E$13+1,1))</f>
        <v>201.71903756761543</v>
      </c>
      <c r="CZ4" s="59">
        <f>$CZ$3</f>
        <v>200.66422845182711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2.9235042736666665</v>
      </c>
      <c r="DO4" s="12">
        <f>IF('Données projet'!$A$166&gt;35,DO3+DN4-DW3,IF(A4&lt;'Données projet'!$A$166,$DL$205^A4,IF(A4='Données projet'!$A$166,'Données projet'!$B$166,DO3+DN4-DW3)))</f>
        <v>1.1608269964394529</v>
      </c>
      <c r="DP4" s="17">
        <f>DO4*VLOOKUP('Données projet'!$B$14,Paramètres!$A$1:$I$89,3,0)*VLOOKUP('Données projet'!$B$14,Paramètres!$A$1:$I$89,5,0)</f>
        <v>1.1046429698117834</v>
      </c>
      <c r="DQ4" s="13">
        <f>EXP(-1.0587+0.8836*LN(DP4)+0.284)</f>
        <v>0.50320270245997856</v>
      </c>
      <c r="DR4" s="20">
        <f t="shared" ref="DR4:DR67" si="16">(DP4+DQ4)*0.475*44/12</f>
        <v>2.8003312125399855</v>
      </c>
      <c r="DS4" s="59">
        <f t="shared" ref="DS4:DS67" si="17">DR4+(DJ4+DK4)*44/12</f>
        <v>241.7731645648762</v>
      </c>
      <c r="DT4" s="59">
        <f ca="1">AVERAGE(OFFSET($DS$3,0,0,'Données projet'!$E$14+1,1))-AVERAGE(OFFSET($H$3,0,0,'Données projet'!$E$14+1,1))</f>
        <v>502.4879901989737</v>
      </c>
      <c r="DU4" s="59">
        <f>$DU$3</f>
        <v>226.06453328626355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10.683760683760683</v>
      </c>
      <c r="EJ4" s="12">
        <f>IF('Données projet'!$A$192&gt;35,EJ3+EI4-ER3,IF(A4&lt;'Données projet'!$A$192,$EG$205^A4,IF(A4='Données projet'!$A$192,'Données projet'!$B$192,EJ3+EI4-ER3)))</f>
        <v>1.6608470099654447</v>
      </c>
      <c r="EK4" s="17">
        <f>EJ4*VLOOKUP('Données projet'!$B$15,Paramètres!$A$1:$I$89,3,0)*VLOOKUP('Données projet'!$B$15,Paramètres!$A$1:$I$89,5,0)</f>
        <v>0.95086813014541649</v>
      </c>
      <c r="EL4" s="13">
        <f>EXP(-1.0587+0.8836*LN(EK4)+0.284)</f>
        <v>0.44077723323753593</v>
      </c>
      <c r="EM4" s="20">
        <f t="shared" ref="EM4:EM67" si="19">(EK4+EL4)*0.475*44/12</f>
        <v>2.423782341225309</v>
      </c>
      <c r="EN4" s="59">
        <f t="shared" ref="EN4:EN67" si="20">EM4+(EE4+EF4)*44/12</f>
        <v>241.39661569356153</v>
      </c>
      <c r="EO4" s="59">
        <f ca="1">AVERAGE(OFFSET($EN$3,0,0,'Données projet'!$E$15+1,1))-AVERAGE(OFFSET($H$3,0,0,'Données projet'!$E$15+1,1))</f>
        <v>192.76157155207764</v>
      </c>
      <c r="EP4" s="59">
        <f>$EP$3</f>
        <v>413.66427458788348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64.841075762758365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1.05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3.85</v>
      </c>
      <c r="H5" s="66">
        <f t="shared" si="1"/>
        <v>241.26666666666665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2.9235042736666665</v>
      </c>
      <c r="N5" s="13">
        <f>IF('Données projet'!$A$36&gt;35,N4+M5-V4,IF(A5&lt;'Données projet'!$A$36,$K$205^A5,IF(A5='Données projet'!$A$36,'Données projet'!$B$36,N4+M5-V4)))</f>
        <v>1.3475193156626415</v>
      </c>
      <c r="O5" s="13">
        <f>N5*VLOOKUP('Données projet'!$B$9,Paramètres!$A$1:$I$89,3,0)*VLOOKUP('Données projet'!$B$9,Paramètres!$A$1:$I$89,5,0)</f>
        <v>1.2192354768115579</v>
      </c>
      <c r="P5" s="13">
        <f t="shared" ref="P5:P68" si="33">EXP(-1.0587+0.8836*LN(O5)+0.284)</f>
        <v>0.54905905766408625</v>
      </c>
      <c r="Q5" s="20">
        <f t="shared" si="2"/>
        <v>3.0797796475450805</v>
      </c>
      <c r="R5" s="59">
        <f t="shared" si="0"/>
        <v>243.60298649569808</v>
      </c>
      <c r="S5" s="59">
        <f ca="1">AVERAGE(OFFSET($R$3,0,0,'Données projet'!$E$9+1,1))-AVERAGE(OFFSET($H$3,0,0,'Données projet'!$E$9+1,1))</f>
        <v>480.34707165277229</v>
      </c>
      <c r="T5" s="59">
        <f t="shared" ref="T5:T68" si="34">$T$3</f>
        <v>217.17128038304531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1.3966938293241722</v>
      </c>
      <c r="AK5" s="13">
        <f t="shared" ref="AK5:AK68" si="35">EXP(-1.0587+0.8836*LN(AJ5)+0.284)</f>
        <v>0.61910384026408283</v>
      </c>
      <c r="AL5" s="20">
        <f t="shared" si="4"/>
        <v>3.5108476078662108</v>
      </c>
      <c r="AM5" s="59">
        <f t="shared" si="5"/>
        <v>244.03405445601919</v>
      </c>
      <c r="AN5" s="59">
        <f ca="1">AVERAGE(OFFSET($AM$3,0,0,'Données projet'!$E$10+1,1))-AVERAGE(OFFSET($H$3,0,0,'Données projet'!$E$10+1,1))</f>
        <v>596.64394969449609</v>
      </c>
      <c r="AO5" s="59">
        <f t="shared" ref="AO5:AO68" si="36">$AO$3</f>
        <v>312.55704723516362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244.79842582297022</v>
      </c>
      <c r="BI5" s="59">
        <f ca="1">AVERAGE(OFFSET($BH$3,0,0,'Données projet'!$E$11+1,1))-AVERAGE(OFFSET($H$3,0,0,'Données projet'!$E$11+1,1))</f>
        <v>360.53625471540249</v>
      </c>
      <c r="BJ5" s="59">
        <f t="shared" ref="BJ5:BJ68" si="38">$BJ$3</f>
        <v>326.66299410556076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243.76346765008412</v>
      </c>
      <c r="CD5" s="59">
        <f ca="1">AVERAGE(OFFSET($CC$3,0,0,'Données projet'!$E$12+1,1))-AVERAGE(OFFSET($H$3,0,0,'Données projet'!$E$12+1,1))</f>
        <v>358.39045200457502</v>
      </c>
      <c r="CE5" s="59">
        <f t="shared" ref="CE5:CE68" si="40">$CE$3</f>
        <v>349.48764057925109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1.7094017094017093</v>
      </c>
      <c r="CT5" s="12">
        <f>IF('Données projet'!$A$140&gt;35,CT4+CS5-DB4,IF(A5&lt;'Données projet'!$A$140,$CQ$205^A5,IF(A5='Données projet'!$A$140,'Données projet'!$B$140,CT4+CS5-DB4)))</f>
        <v>1.5411966359911893</v>
      </c>
      <c r="CU5" s="17">
        <f>CT5*VLOOKUP('Données projet'!$B$13,Paramètres!$A$1:$I$89,3,0)*VLOOKUP('Données projet'!$B$13,Paramètres!$A$1:$I$89,5,0)</f>
        <v>1.2021333760731276</v>
      </c>
      <c r="CV5" s="13">
        <f t="shared" ref="CV5:CV68" si="41">EXP(-1.0587+0.8836*LN(CU5)+0.284)</f>
        <v>0.54224833966781483</v>
      </c>
      <c r="CW5" s="20">
        <f t="shared" si="13"/>
        <v>3.038131488248808</v>
      </c>
      <c r="CX5" s="59">
        <f t="shared" si="14"/>
        <v>243.5613383364018</v>
      </c>
      <c r="CY5" s="59">
        <f ca="1">AVERAGE(OFFSET($CX$3,0,0,'Données projet'!$E$13+1,1))-AVERAGE(OFFSET($H$3,0,0,'Données projet'!$E$13+1,1))</f>
        <v>201.71903756761543</v>
      </c>
      <c r="CZ5" s="59">
        <f t="shared" ref="CZ5:CZ68" si="42">$CZ$3</f>
        <v>200.66422845182711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2.9235042736666665</v>
      </c>
      <c r="DO5" s="12">
        <f>IF('Données projet'!$A$166&gt;35,DO4+DN5-DW4,IF(A5&lt;'Données projet'!$A$166,$DL$205^A5,IF(A5='Données projet'!$A$166,'Données projet'!$B$166,DO4+DN5-DW4)))</f>
        <v>1.3475193156626415</v>
      </c>
      <c r="DP5" s="17">
        <f>DO5*VLOOKUP('Données projet'!$B$14,Paramètres!$A$1:$I$89,3,0)*VLOOKUP('Données projet'!$B$14,Paramètres!$A$1:$I$89,5,0)</f>
        <v>1.2822993807845697</v>
      </c>
      <c r="DQ5" s="13">
        <f t="shared" ref="DQ5:DQ68" si="43">EXP(-1.0587+0.8836*LN(DP5)+0.284)</f>
        <v>0.57407882412285705</v>
      </c>
      <c r="DR5" s="20">
        <f t="shared" si="16"/>
        <v>3.2331920402137686</v>
      </c>
      <c r="DS5" s="59">
        <f t="shared" si="17"/>
        <v>243.75639888836676</v>
      </c>
      <c r="DT5" s="59">
        <f ca="1">AVERAGE(OFFSET($DS$3,0,0,'Données projet'!$E$14+1,1))-AVERAGE(OFFSET($H$3,0,0,'Données projet'!$E$14+1,1))</f>
        <v>502.4879901989737</v>
      </c>
      <c r="DU5" s="59">
        <f t="shared" ref="DU5:DU68" si="44">$DU$3</f>
        <v>226.06453328626355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10.683760683760683</v>
      </c>
      <c r="EJ5" s="12">
        <f>IF('Données projet'!$A$192&gt;35,EJ4+EI5-ER4,IF(A5&lt;'Données projet'!$A$192,$EG$205^A5,IF(A5='Données projet'!$A$192,'Données projet'!$B$192,EJ4+EI5-ER4)))</f>
        <v>2.7584127905111577</v>
      </c>
      <c r="EK5" s="17">
        <f>EJ5*VLOOKUP('Données projet'!$B$15,Paramètres!$A$1:$I$89,3,0)*VLOOKUP('Données projet'!$B$15,Paramètres!$A$1:$I$89,5,0)</f>
        <v>1.579246490823448</v>
      </c>
      <c r="EL5" s="13">
        <f t="shared" ref="EL5:EL68" si="45">EXP(-1.0587+0.8836*LN(EK5)+0.284)</f>
        <v>0.69008472537948262</v>
      </c>
      <c r="EM5" s="20">
        <f t="shared" si="19"/>
        <v>3.9524185348867706</v>
      </c>
      <c r="EN5" s="59">
        <f t="shared" si="20"/>
        <v>244.47562538303976</v>
      </c>
      <c r="EO5" s="59">
        <f ca="1">AVERAGE(OFFSET($EN$3,0,0,'Données projet'!$E$15+1,1))-AVERAGE(OFFSET($H$3,0,0,'Données projet'!$E$15+1,1))</f>
        <v>192.76157155207764</v>
      </c>
      <c r="EP5" s="59">
        <f t="shared" ref="EP5:EP68" si="46">$EP$3</f>
        <v>413.66427458788348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64.930571564647778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1.05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3.85</v>
      </c>
      <c r="H6" s="66">
        <f t="shared" si="1"/>
        <v>241.26666666666665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2.9235042736666665</v>
      </c>
      <c r="N6" s="13">
        <f>IF('Données projet'!$A$36&gt;35,N5+M6-V5,IF(A6&lt;'Données projet'!$A$36,$K$205^A6,IF(A6='Données projet'!$A$36,'Données projet'!$B$36,N5+M6-V5)))</f>
        <v>1.564236799844811</v>
      </c>
      <c r="O6" s="13">
        <f>N6*VLOOKUP('Données projet'!$B$9,Paramètres!$A$1:$I$89,3,0)*VLOOKUP('Données projet'!$B$9,Paramètres!$A$1:$I$89,5,0)</f>
        <v>1.4153214564995851</v>
      </c>
      <c r="P6" s="13">
        <f t="shared" si="33"/>
        <v>0.62639404887312145</v>
      </c>
      <c r="Q6" s="20">
        <f t="shared" si="2"/>
        <v>3.5559878385241297</v>
      </c>
      <c r="R6" s="59">
        <f t="shared" si="0"/>
        <v>245.62387549153328</v>
      </c>
      <c r="S6" s="59">
        <f ca="1">AVERAGE(OFFSET($R$3,0,0,'Données projet'!$E$9+1,1))-AVERAGE(OFFSET($H$3,0,0,'Données projet'!$E$9+1,1))</f>
        <v>480.34707165277229</v>
      </c>
      <c r="T6" s="59">
        <f t="shared" si="34"/>
        <v>217.17128038304531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1.6392033921531424</v>
      </c>
      <c r="AK6" s="13">
        <f t="shared" si="35"/>
        <v>0.71318408957211055</v>
      </c>
      <c r="AL6" s="20">
        <f t="shared" si="4"/>
        <v>4.0970748640048145</v>
      </c>
      <c r="AM6" s="59">
        <f t="shared" si="5"/>
        <v>246.16496251701398</v>
      </c>
      <c r="AN6" s="59">
        <f ca="1">AVERAGE(OFFSET($AM$3,0,0,'Données projet'!$E$10+1,1))-AVERAGE(OFFSET($H$3,0,0,'Données projet'!$E$10+1,1))</f>
        <v>596.64394969449609</v>
      </c>
      <c r="AO6" s="59">
        <f t="shared" si="36"/>
        <v>312.55704723516362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247.98521841903596</v>
      </c>
      <c r="BI6" s="59">
        <f ca="1">AVERAGE(OFFSET($BH$3,0,0,'Données projet'!$E$11+1,1))-AVERAGE(OFFSET($H$3,0,0,'Données projet'!$E$11+1,1))</f>
        <v>360.53625471540249</v>
      </c>
      <c r="BJ6" s="59">
        <f t="shared" si="38"/>
        <v>326.66299410556076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246.15115008106247</v>
      </c>
      <c r="CD6" s="59">
        <f ca="1">AVERAGE(OFFSET($CC$3,0,0,'Données projet'!$E$12+1,1))-AVERAGE(OFFSET($H$3,0,0,'Données projet'!$E$12+1,1))</f>
        <v>358.39045200457502</v>
      </c>
      <c r="CE6" s="59">
        <f t="shared" si="40"/>
        <v>349.48764057925109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1.7094017094017093</v>
      </c>
      <c r="CT6" s="12">
        <f>IF('Données projet'!$A$140&gt;35,CT5+CS6-DB5,IF(A6&lt;'Données projet'!$A$140,$CQ$205^A6,IF(A6='Données projet'!$A$140,'Données projet'!$B$140,CT5+CS6-DB5)))</f>
        <v>1.9133176534532301</v>
      </c>
      <c r="CU6" s="17">
        <f>CT6*VLOOKUP('Données projet'!$B$13,Paramètres!$A$1:$I$89,3,0)*VLOOKUP('Données projet'!$B$13,Paramètres!$A$1:$I$89,5,0)</f>
        <v>1.4923877696935195</v>
      </c>
      <c r="CV6" s="13">
        <f t="shared" si="41"/>
        <v>0.65643830959844374</v>
      </c>
      <c r="CW6" s="20">
        <f t="shared" si="13"/>
        <v>3.7425387547668367</v>
      </c>
      <c r="CX6" s="59">
        <f t="shared" si="14"/>
        <v>245.81042640777599</v>
      </c>
      <c r="CY6" s="59">
        <f ca="1">AVERAGE(OFFSET($CX$3,0,0,'Données projet'!$E$13+1,1))-AVERAGE(OFFSET($H$3,0,0,'Données projet'!$E$13+1,1))</f>
        <v>201.71903756761543</v>
      </c>
      <c r="CZ6" s="59">
        <f t="shared" si="42"/>
        <v>200.66422845182711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2.9235042736666665</v>
      </c>
      <c r="DO6" s="12">
        <f>IF('Données projet'!$A$166&gt;35,DO5+DN6-DW5,IF(A6&lt;'Données projet'!$A$166,$DL$205^A6,IF(A6='Données projet'!$A$166,'Données projet'!$B$166,DO5+DN6-DW5)))</f>
        <v>1.564236799844811</v>
      </c>
      <c r="DP6" s="17">
        <f>DO6*VLOOKUP('Données projet'!$B$14,Paramètres!$A$1:$I$89,3,0)*VLOOKUP('Données projet'!$B$14,Paramètres!$A$1:$I$89,5,0)</f>
        <v>1.4885277387323224</v>
      </c>
      <c r="DQ6" s="13">
        <f t="shared" si="43"/>
        <v>0.65493785048281561</v>
      </c>
      <c r="DR6" s="20">
        <f t="shared" si="16"/>
        <v>3.7332025678830316</v>
      </c>
      <c r="DS6" s="59">
        <f t="shared" si="17"/>
        <v>245.80109022089221</v>
      </c>
      <c r="DT6" s="59">
        <f ca="1">AVERAGE(OFFSET($DS$3,0,0,'Données projet'!$E$14+1,1))-AVERAGE(OFFSET($H$3,0,0,'Données projet'!$E$14+1,1))</f>
        <v>502.4879901989737</v>
      </c>
      <c r="DU6" s="59">
        <f t="shared" si="44"/>
        <v>226.06453328626355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10.683760683760683</v>
      </c>
      <c r="EJ6" s="12">
        <f>IF('Données projet'!$A$192&gt;35,EJ5+EI6-ER5,IF(A6&lt;'Données projet'!$A$192,$EG$205^A6,IF(A6='Données projet'!$A$192,'Données projet'!$B$192,EJ5+EI6-ER5)))</f>
        <v>4.5813016353708944</v>
      </c>
      <c r="EK6" s="17">
        <f>EJ6*VLOOKUP('Données projet'!$B$15,Paramètres!$A$1:$I$89,3,0)*VLOOKUP('Données projet'!$B$15,Paramètres!$A$1:$I$89,5,0)</f>
        <v>2.6228868122825446</v>
      </c>
      <c r="EL6" s="13">
        <f t="shared" si="45"/>
        <v>1.0804027347425216</v>
      </c>
      <c r="EM6" s="20">
        <f t="shared" si="19"/>
        <v>6.4498959610686564</v>
      </c>
      <c r="EN6" s="59">
        <f t="shared" si="20"/>
        <v>248.51778361407781</v>
      </c>
      <c r="EO6" s="59">
        <f ca="1">AVERAGE(OFFSET($EN$3,0,0,'Données projet'!$E$15+1,1))-AVERAGE(OFFSET($H$3,0,0,'Données projet'!$E$15+1,1))</f>
        <v>192.76157155207764</v>
      </c>
      <c r="EP6" s="59">
        <f t="shared" si="46"/>
        <v>413.66427458788348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65.018514814457049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1.05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3.85</v>
      </c>
      <c r="H7" s="66">
        <f t="shared" si="1"/>
        <v>241.26666666666665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2.9235042736666665</v>
      </c>
      <c r="N7" s="13">
        <f>IF('Données projet'!$A$36&gt;35,N6+M7-V6,IF(A7&lt;'Données projet'!$A$36,$K$205^A7,IF(A7='Données projet'!$A$36,'Données projet'!$B$36,N6+M7-V6)))</f>
        <v>1.8158083060839136</v>
      </c>
      <c r="O7" s="13">
        <f>N7*VLOOKUP('Données projet'!$B$9,Paramètres!$A$1:$I$89,3,0)*VLOOKUP('Données projet'!$B$9,Paramètres!$A$1:$I$89,5,0)</f>
        <v>1.6429433553447248</v>
      </c>
      <c r="P7" s="13">
        <f t="shared" si="33"/>
        <v>0.7146216768246334</v>
      </c>
      <c r="Q7" s="20">
        <f t="shared" si="2"/>
        <v>4.1060924310282987</v>
      </c>
      <c r="R7" s="59">
        <f t="shared" si="0"/>
        <v>247.71306695339433</v>
      </c>
      <c r="S7" s="59">
        <f ca="1">AVERAGE(OFFSET($R$3,0,0,'Données projet'!$E$9+1,1))-AVERAGE(OFFSET($H$3,0,0,'Données projet'!$E$9+1,1))</f>
        <v>480.34707165277229</v>
      </c>
      <c r="T7" s="59">
        <f t="shared" si="34"/>
        <v>217.17128038304531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1.9238201704854236</v>
      </c>
      <c r="AK7" s="13">
        <f t="shared" si="35"/>
        <v>0.82156096043894689</v>
      </c>
      <c r="AL7" s="20">
        <f t="shared" si="4"/>
        <v>4.7815388030266117</v>
      </c>
      <c r="AM7" s="59">
        <f t="shared" si="5"/>
        <v>248.38851332539267</v>
      </c>
      <c r="AN7" s="59">
        <f ca="1">AVERAGE(OFFSET($AM$3,0,0,'Données projet'!$E$10+1,1))-AVERAGE(OFFSET($H$3,0,0,'Données projet'!$E$10+1,1))</f>
        <v>596.64394969449609</v>
      </c>
      <c r="AO7" s="59">
        <f t="shared" si="36"/>
        <v>312.55704723516362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251.7997637057712</v>
      </c>
      <c r="BI7" s="59">
        <f ca="1">AVERAGE(OFFSET($BH$3,0,0,'Données projet'!$E$11+1,1))-AVERAGE(OFFSET($H$3,0,0,'Données projet'!$E$11+1,1))</f>
        <v>360.53625471540249</v>
      </c>
      <c r="BJ7" s="59">
        <f t="shared" si="38"/>
        <v>326.66299410556076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248.75340494266317</v>
      </c>
      <c r="CD7" s="59">
        <f ca="1">AVERAGE(OFFSET($CC$3,0,0,'Données projet'!$E$12+1,1))-AVERAGE(OFFSET($H$3,0,0,'Données projet'!$E$12+1,1))</f>
        <v>358.39045200457502</v>
      </c>
      <c r="CE7" s="59">
        <f t="shared" si="40"/>
        <v>349.48764057925109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1.7094017094017093</v>
      </c>
      <c r="CT7" s="12">
        <f>IF('Données projet'!$A$140&gt;35,CT6+CS7-DB6,IF(A7&lt;'Données projet'!$A$140,$CQ$205^A7,IF(A7='Données projet'!$A$140,'Données projet'!$B$140,CT6+CS7-DB6)))</f>
        <v>2.3752870707905585</v>
      </c>
      <c r="CU7" s="17">
        <f>CT7*VLOOKUP('Données projet'!$B$13,Paramètres!$A$1:$I$89,3,0)*VLOOKUP('Données projet'!$B$13,Paramètres!$A$1:$I$89,5,0)</f>
        <v>1.8527239152166357</v>
      </c>
      <c r="CV7" s="13">
        <f t="shared" si="41"/>
        <v>0.79467510139808173</v>
      </c>
      <c r="CW7" s="20">
        <f t="shared" si="13"/>
        <v>4.6108866206039663</v>
      </c>
      <c r="CX7" s="59">
        <f t="shared" si="14"/>
        <v>248.21786114297001</v>
      </c>
      <c r="CY7" s="59">
        <f ca="1">AVERAGE(OFFSET($CX$3,0,0,'Données projet'!$E$13+1,1))-AVERAGE(OFFSET($H$3,0,0,'Données projet'!$E$13+1,1))</f>
        <v>201.71903756761543</v>
      </c>
      <c r="CZ7" s="59">
        <f t="shared" si="42"/>
        <v>200.66422845182711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2.9235042736666665</v>
      </c>
      <c r="DO7" s="12">
        <f>IF('Données projet'!$A$166&gt;35,DO6+DN7-DW6,IF(A7&lt;'Données projet'!$A$166,$DL$205^A7,IF(A7='Données projet'!$A$166,'Données projet'!$B$166,DO6+DN7-DW6)))</f>
        <v>1.8158083060839136</v>
      </c>
      <c r="DP7" s="17">
        <f>DO7*VLOOKUP('Données projet'!$B$14,Paramètres!$A$1:$I$89,3,0)*VLOOKUP('Données projet'!$B$14,Paramètres!$A$1:$I$89,5,0)</f>
        <v>1.7279231840694524</v>
      </c>
      <c r="DQ7" s="13">
        <f t="shared" si="43"/>
        <v>0.74718587408347581</v>
      </c>
      <c r="DR7" s="20">
        <f t="shared" si="16"/>
        <v>4.3108149429496834</v>
      </c>
      <c r="DS7" s="59">
        <f t="shared" si="17"/>
        <v>247.91778946531574</v>
      </c>
      <c r="DT7" s="59">
        <f ca="1">AVERAGE(OFFSET($DS$3,0,0,'Données projet'!$E$14+1,1))-AVERAGE(OFFSET($H$3,0,0,'Données projet'!$E$14+1,1))</f>
        <v>502.4879901989737</v>
      </c>
      <c r="DU7" s="59">
        <f t="shared" si="44"/>
        <v>226.06453328626355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10.683760683760683</v>
      </c>
      <c r="EJ7" s="12">
        <f>IF('Données projet'!$A$192&gt;35,EJ6+EI7-ER6,IF(A7&lt;'Données projet'!$A$192,$EG$205^A7,IF(A7='Données projet'!$A$192,'Données projet'!$B$192,EJ6+EI7-ER6)))</f>
        <v>7.6088411228555524</v>
      </c>
      <c r="EK7" s="17">
        <f>EJ7*VLOOKUP('Données projet'!$B$15,Paramètres!$A$1:$I$89,3,0)*VLOOKUP('Données projet'!$B$15,Paramètres!$A$1:$I$89,5,0)</f>
        <v>4.3562137196572603</v>
      </c>
      <c r="EL7" s="13">
        <f t="shared" si="45"/>
        <v>1.6914880540171775</v>
      </c>
      <c r="EM7" s="20">
        <f t="shared" si="19"/>
        <v>10.533080589149646</v>
      </c>
      <c r="EN7" s="59">
        <f t="shared" si="20"/>
        <v>254.14005511151569</v>
      </c>
      <c r="EO7" s="59">
        <f ca="1">AVERAGE(OFFSET($EN$3,0,0,'Données projet'!$E$15+1,1))-AVERAGE(OFFSET($H$3,0,0,'Données projet'!$E$15+1,1))</f>
        <v>192.76157155207764</v>
      </c>
      <c r="EP7" s="59">
        <f t="shared" si="46"/>
        <v>413.66427458788348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65.104932445493773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1.05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3.85</v>
      </c>
      <c r="H8" s="66">
        <f t="shared" si="1"/>
        <v>241.26666666666665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2.9235042736666665</v>
      </c>
      <c r="N8" s="13">
        <f>IF('Données projet'!$A$36&gt;35,N7+M8-V7,IF(A8&lt;'Données projet'!$A$36,$K$205^A8,IF(A8='Données projet'!$A$36,'Données projet'!$B$36,N7+M8-V7)))</f>
        <v>2.1078393020612003</v>
      </c>
      <c r="O8" s="13">
        <f>N8*VLOOKUP('Données projet'!$B$9,Paramètres!$A$1:$I$89,3,0)*VLOOKUP('Données projet'!$B$9,Paramètres!$A$1:$I$89,5,0)</f>
        <v>1.9071730005049738</v>
      </c>
      <c r="P8" s="13">
        <f t="shared" si="33"/>
        <v>0.8152761698588421</v>
      </c>
      <c r="Q8" s="20">
        <f t="shared" si="2"/>
        <v>4.7415989717169795</v>
      </c>
      <c r="R8" s="59">
        <f t="shared" si="0"/>
        <v>249.88216347021537</v>
      </c>
      <c r="S8" s="59">
        <f ca="1">AVERAGE(OFFSET($R$3,0,0,'Données projet'!$E$9+1,1))-AVERAGE(OFFSET($H$3,0,0,'Données projet'!$E$9+1,1))</f>
        <v>480.34707165277229</v>
      </c>
      <c r="T8" s="59">
        <f t="shared" si="34"/>
        <v>217.17128038304531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2.2578552887845609</v>
      </c>
      <c r="AK8" s="13">
        <f t="shared" si="35"/>
        <v>0.94640699587440658</v>
      </c>
      <c r="AL8" s="20">
        <f t="shared" si="4"/>
        <v>5.5807568124477021</v>
      </c>
      <c r="AM8" s="59">
        <f t="shared" si="5"/>
        <v>250.72132131094611</v>
      </c>
      <c r="AN8" s="59">
        <f ca="1">AVERAGE(OFFSET($AM$3,0,0,'Données projet'!$E$10+1,1))-AVERAGE(OFFSET($H$3,0,0,'Données projet'!$E$10+1,1))</f>
        <v>596.64394969449609</v>
      </c>
      <c r="AO8" s="59">
        <f t="shared" si="36"/>
        <v>312.55704723516362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256.48737764545729</v>
      </c>
      <c r="BI8" s="59">
        <f ca="1">AVERAGE(OFFSET($BH$3,0,0,'Données projet'!$E$11+1,1))-AVERAGE(OFFSET($H$3,0,0,'Données projet'!$E$11+1,1))</f>
        <v>360.53625471540249</v>
      </c>
      <c r="BJ8" s="59">
        <f t="shared" si="38"/>
        <v>326.66299410556076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251.62803824654534</v>
      </c>
      <c r="CD8" s="59">
        <f ca="1">AVERAGE(OFFSET($CC$3,0,0,'Données projet'!$E$12+1,1))-AVERAGE(OFFSET($H$3,0,0,'Données projet'!$E$12+1,1))</f>
        <v>358.39045200457502</v>
      </c>
      <c r="CE8" s="59">
        <f t="shared" si="40"/>
        <v>349.48764057925109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1.7094017094017093</v>
      </c>
      <c r="CT8" s="12">
        <f>IF('Données projet'!$A$140&gt;35,CT7+CS8-DB7,IF(A8&lt;'Données projet'!$A$140,$CQ$205^A8,IF(A8='Données projet'!$A$140,'Données projet'!$B$140,CT7+CS8-DB7)))</f>
        <v>2.9487987310846742</v>
      </c>
      <c r="CU8" s="17">
        <f>CT8*VLOOKUP('Données projet'!$B$13,Paramètres!$A$1:$I$89,3,0)*VLOOKUP('Données projet'!$B$13,Paramètres!$A$1:$I$89,5,0)</f>
        <v>2.300063010246046</v>
      </c>
      <c r="CV8" s="13">
        <f t="shared" si="41"/>
        <v>0.96202264180522579</v>
      </c>
      <c r="CW8" s="20">
        <f t="shared" si="13"/>
        <v>5.6814658439892973</v>
      </c>
      <c r="CX8" s="59">
        <f t="shared" si="14"/>
        <v>250.82203034248769</v>
      </c>
      <c r="CY8" s="59">
        <f ca="1">AVERAGE(OFFSET($CX$3,0,0,'Données projet'!$E$13+1,1))-AVERAGE(OFFSET($H$3,0,0,'Données projet'!$E$13+1,1))</f>
        <v>201.71903756761543</v>
      </c>
      <c r="CZ8" s="59">
        <f t="shared" si="42"/>
        <v>200.66422845182711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2.9235042736666665</v>
      </c>
      <c r="DO8" s="12">
        <f>IF('Données projet'!$A$166&gt;35,DO7+DN8-DW7,IF(A8&lt;'Données projet'!$A$166,$DL$205^A8,IF(A8='Données projet'!$A$166,'Données projet'!$B$166,DO7+DN8-DW7)))</f>
        <v>2.1078393020612003</v>
      </c>
      <c r="DP8" s="17">
        <f>DO8*VLOOKUP('Données projet'!$B$14,Paramètres!$A$1:$I$89,3,0)*VLOOKUP('Données projet'!$B$14,Paramètres!$A$1:$I$89,5,0)</f>
        <v>2.0058198798414382</v>
      </c>
      <c r="DQ8" s="13">
        <f t="shared" si="43"/>
        <v>0.85242703566196809</v>
      </c>
      <c r="DR8" s="20">
        <f t="shared" si="16"/>
        <v>4.9781133778350988</v>
      </c>
      <c r="DS8" s="59">
        <f t="shared" si="17"/>
        <v>250.11867787633349</v>
      </c>
      <c r="DT8" s="59">
        <f ca="1">AVERAGE(OFFSET($DS$3,0,0,'Données projet'!$E$14+1,1))-AVERAGE(OFFSET($H$3,0,0,'Données projet'!$E$14+1,1))</f>
        <v>502.4879901989737</v>
      </c>
      <c r="DU8" s="59">
        <f t="shared" si="44"/>
        <v>226.06453328626355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10.683760683760683</v>
      </c>
      <c r="EJ8" s="12">
        <f>IF('Données projet'!$A$192&gt;35,EJ7+EI8-ER7,IF(A8&lt;'Données projet'!$A$192,$EG$205^A8,IF(A8='Données projet'!$A$192,'Données projet'!$B$192,EJ7+EI8-ER7)))</f>
        <v>12.637121028196761</v>
      </c>
      <c r="EK8" s="17">
        <f>EJ8*VLOOKUP('Données projet'!$B$15,Paramètres!$A$1:$I$89,3,0)*VLOOKUP('Données projet'!$B$15,Paramètres!$A$1:$I$89,5,0)</f>
        <v>7.2350045310632094</v>
      </c>
      <c r="EL8" s="13">
        <f t="shared" si="45"/>
        <v>2.6482086215421092</v>
      </c>
      <c r="EM8" s="20">
        <f t="shared" si="19"/>
        <v>17.213262907454261</v>
      </c>
      <c r="EN8" s="59">
        <f t="shared" si="20"/>
        <v>262.35382740595264</v>
      </c>
      <c r="EO8" s="59">
        <f ca="1">AVERAGE(OFFSET($EN$3,0,0,'Données projet'!$E$15+1,1))-AVERAGE(OFFSET($H$3,0,0,'Données projet'!$E$15+1,1))</f>
        <v>192.76157155207764</v>
      </c>
      <c r="EP8" s="59">
        <f t="shared" si="46"/>
        <v>413.66427458788348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65.189850923832893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1.05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3.85</v>
      </c>
      <c r="H9" s="66">
        <f t="shared" si="1"/>
        <v>241.26666666666665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2.9235042736666665</v>
      </c>
      <c r="N9" s="13">
        <f>IF('Données projet'!$A$36&gt;35,N8+M9-V8,IF(A9&lt;'Données projet'!$A$36,$K$205^A9,IF(A9='Données projet'!$A$36,'Données projet'!$B$36,N8+M9-V8)))</f>
        <v>2.4468367659887358</v>
      </c>
      <c r="O9" s="13">
        <f>N9*VLOOKUP('Données projet'!$B$9,Paramètres!$A$1:$I$89,3,0)*VLOOKUP('Données projet'!$B$9,Paramètres!$A$1:$I$89,5,0)</f>
        <v>2.2138979058666082</v>
      </c>
      <c r="P9" s="13">
        <f t="shared" si="33"/>
        <v>0.93010785244178018</v>
      </c>
      <c r="Q9" s="20">
        <f t="shared" si="2"/>
        <v>5.4758100290537763</v>
      </c>
      <c r="R9" s="59">
        <f t="shared" si="0"/>
        <v>252.14456296926818</v>
      </c>
      <c r="S9" s="59">
        <f ca="1">AVERAGE(OFFSET($R$3,0,0,'Données projet'!$E$9+1,1))-AVERAGE(OFFSET($H$3,0,0,'Données projet'!$E$9+1,1))</f>
        <v>480.34707165277229</v>
      </c>
      <c r="T9" s="59">
        <f t="shared" si="34"/>
        <v>217.17128038304531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2.6498893104993768</v>
      </c>
      <c r="AK9" s="13">
        <f t="shared" si="35"/>
        <v>1.0902248828394525</v>
      </c>
      <c r="AL9" s="20">
        <f t="shared" si="4"/>
        <v>6.5140322200651282</v>
      </c>
      <c r="AM9" s="59">
        <f t="shared" si="5"/>
        <v>253.18278516027954</v>
      </c>
      <c r="AN9" s="59">
        <f ca="1">AVERAGE(OFFSET($AM$3,0,0,'Données projet'!$E$10+1,1))-AVERAGE(OFFSET($H$3,0,0,'Données projet'!$E$10+1,1))</f>
        <v>596.64394969449609</v>
      </c>
      <c r="AO9" s="59">
        <f t="shared" si="36"/>
        <v>312.55704723516362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262.38865759393951</v>
      </c>
      <c r="BI9" s="59">
        <f ca="1">AVERAGE(OFFSET($BH$3,0,0,'Données projet'!$E$11+1,1))-AVERAGE(OFFSET($H$3,0,0,'Données projet'!$E$11+1,1))</f>
        <v>360.53625471540249</v>
      </c>
      <c r="BJ9" s="59">
        <f t="shared" si="38"/>
        <v>326.66299410556076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254.84803170818876</v>
      </c>
      <c r="CD9" s="59">
        <f ca="1">AVERAGE(OFFSET($CC$3,0,0,'Données projet'!$E$12+1,1))-AVERAGE(OFFSET($H$3,0,0,'Données projet'!$E$12+1,1))</f>
        <v>358.39045200457502</v>
      </c>
      <c r="CE9" s="59">
        <f t="shared" si="40"/>
        <v>349.48764057925109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1.7094017094017093</v>
      </c>
      <c r="CT9" s="12">
        <f>IF('Données projet'!$A$140&gt;35,CT8+CS9-DB8,IF(A9&lt;'Données projet'!$A$140,$CQ$205^A9,IF(A9='Données projet'!$A$140,'Données projet'!$B$140,CT8+CS9-DB8)))</f>
        <v>3.6607844430157748</v>
      </c>
      <c r="CU9" s="17">
        <f>CT9*VLOOKUP('Données projet'!$B$13,Paramètres!$A$1:$I$89,3,0)*VLOOKUP('Données projet'!$B$13,Paramètres!$A$1:$I$89,5,0)</f>
        <v>2.8554118655523042</v>
      </c>
      <c r="CV9" s="13">
        <f t="shared" si="41"/>
        <v>1.1646112502048747</v>
      </c>
      <c r="CW9" s="20">
        <f t="shared" si="13"/>
        <v>7.0015402599437531</v>
      </c>
      <c r="CX9" s="59">
        <f t="shared" si="14"/>
        <v>253.67029320015817</v>
      </c>
      <c r="CY9" s="59">
        <f ca="1">AVERAGE(OFFSET($CX$3,0,0,'Données projet'!$E$13+1,1))-AVERAGE(OFFSET($H$3,0,0,'Données projet'!$E$13+1,1))</f>
        <v>201.71903756761543</v>
      </c>
      <c r="CZ9" s="59">
        <f t="shared" si="42"/>
        <v>200.66422845182711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2.9235042736666665</v>
      </c>
      <c r="DO9" s="12">
        <f>IF('Données projet'!$A$166&gt;35,DO8+DN9-DW8,IF(A9&lt;'Données projet'!$A$166,$DL$205^A9,IF(A9='Données projet'!$A$166,'Données projet'!$B$166,DO8+DN9-DW8)))</f>
        <v>2.4468367659887358</v>
      </c>
      <c r="DP9" s="17">
        <f>DO9*VLOOKUP('Données projet'!$B$14,Paramètres!$A$1:$I$89,3,0)*VLOOKUP('Données projet'!$B$14,Paramètres!$A$1:$I$89,5,0)</f>
        <v>2.3284098665148809</v>
      </c>
      <c r="DQ9" s="13">
        <f t="shared" si="43"/>
        <v>0.97249141924526095</v>
      </c>
      <c r="DR9" s="20">
        <f t="shared" si="16"/>
        <v>5.7490697393655807</v>
      </c>
      <c r="DS9" s="59">
        <f t="shared" si="17"/>
        <v>252.41782267957998</v>
      </c>
      <c r="DT9" s="59">
        <f ca="1">AVERAGE(OFFSET($DS$3,0,0,'Données projet'!$E$14+1,1))-AVERAGE(OFFSET($H$3,0,0,'Données projet'!$E$14+1,1))</f>
        <v>502.4879901989737</v>
      </c>
      <c r="DU9" s="59">
        <f t="shared" si="44"/>
        <v>226.06453328626355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10.683760683760683</v>
      </c>
      <c r="EJ9" s="12">
        <f>IF('Données projet'!$A$192&gt;35,EJ8+EI9-ER8,IF(A9&lt;'Données projet'!$A$192,$EG$205^A9,IF(A9='Données projet'!$A$192,'Données projet'!$B$192,EJ8+EI9-ER8)))</f>
        <v>20.988324674252034</v>
      </c>
      <c r="EK9" s="17">
        <f>EJ9*VLOOKUP('Données projet'!$B$15,Paramètres!$A$1:$I$89,3,0)*VLOOKUP('Données projet'!$B$15,Paramètres!$A$1:$I$89,5,0)</f>
        <v>12.016235642502775</v>
      </c>
      <c r="EL9" s="13">
        <f t="shared" si="45"/>
        <v>4.1460587833029638</v>
      </c>
      <c r="EM9" s="20">
        <f t="shared" si="19"/>
        <v>28.149329458278331</v>
      </c>
      <c r="EN9" s="59">
        <f t="shared" si="20"/>
        <v>274.81808239849272</v>
      </c>
      <c r="EO9" s="59">
        <f ca="1">AVERAGE(OFFSET($EN$3,0,0,'Données projet'!$E$15+1,1))-AVERAGE(OFFSET($H$3,0,0,'Données projet'!$E$15+1,1))</f>
        <v>192.76157155207764</v>
      </c>
      <c r="EP9" s="59">
        <f t="shared" si="46"/>
        <v>413.66427458788348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65.273296256422114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1.05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3.85</v>
      </c>
      <c r="H10" s="66">
        <f t="shared" si="1"/>
        <v>241.26666666666665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2.9235042736666665</v>
      </c>
      <c r="N10" s="13">
        <f>IF('Données projet'!$A$36&gt;35,N9+M10-V9,IF(A10&lt;'Données projet'!$A$36,$K$205^A10,IF(A10='Données projet'!$A$36,'Données projet'!$B$36,N9+M10-V9)))</f>
        <v>2.840354173840328</v>
      </c>
      <c r="O10" s="13">
        <f>N10*VLOOKUP('Données projet'!$B$9,Paramètres!$A$1:$I$89,3,0)*VLOOKUP('Données projet'!$B$9,Paramètres!$A$1:$I$89,5,0)</f>
        <v>2.5699524564907286</v>
      </c>
      <c r="P10" s="13">
        <f t="shared" si="33"/>
        <v>1.0611135823136404</v>
      </c>
      <c r="Q10" s="20">
        <f t="shared" si="2"/>
        <v>6.3241066842509426</v>
      </c>
      <c r="R10" s="59">
        <f t="shared" si="0"/>
        <v>254.51574023631116</v>
      </c>
      <c r="S10" s="59">
        <f ca="1">AVERAGE(OFFSET($R$3,0,0,'Données projet'!$E$9+1,1))-AVERAGE(OFFSET($H$3,0,0,'Données projet'!$E$9+1,1))</f>
        <v>480.34707165277229</v>
      </c>
      <c r="T10" s="59">
        <f t="shared" si="34"/>
        <v>217.17128038304531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3.1099926522212455</v>
      </c>
      <c r="AK10" s="13">
        <f t="shared" si="35"/>
        <v>1.2558976215767859</v>
      </c>
      <c r="AL10" s="20">
        <f t="shared" si="4"/>
        <v>7.6039255601982383</v>
      </c>
      <c r="AM10" s="59">
        <f t="shared" si="5"/>
        <v>255.79555911225845</v>
      </c>
      <c r="AN10" s="59">
        <f ca="1">AVERAGE(OFFSET($AM$3,0,0,'Données projet'!$E$10+1,1))-AVERAGE(OFFSET($H$3,0,0,'Données projet'!$E$10+1,1))</f>
        <v>596.64394969449609</v>
      </c>
      <c r="AO10" s="59">
        <f t="shared" si="36"/>
        <v>312.55704723516362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269.9766274214175</v>
      </c>
      <c r="BI10" s="59">
        <f ca="1">AVERAGE(OFFSET($BH$3,0,0,'Données projet'!$E$11+1,1))-AVERAGE(OFFSET($H$3,0,0,'Données projet'!$E$11+1,1))</f>
        <v>360.53625471540249</v>
      </c>
      <c r="BJ10" s="59">
        <f t="shared" si="38"/>
        <v>326.66299410556076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258.50554684929074</v>
      </c>
      <c r="CD10" s="59">
        <f ca="1">AVERAGE(OFFSET($CC$3,0,0,'Données projet'!$E$12+1,1))-AVERAGE(OFFSET($H$3,0,0,'Données projet'!$E$12+1,1))</f>
        <v>358.39045200457502</v>
      </c>
      <c r="CE10" s="59">
        <f t="shared" si="40"/>
        <v>349.48764057925109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1.7094017094017093</v>
      </c>
      <c r="CT10" s="12">
        <f>IF('Données projet'!$A$140&gt;35,CT9+CS10-DB9,IF(A10&lt;'Données projet'!$A$140,$CQ$205^A10,IF(A10='Données projet'!$A$140,'Données projet'!$B$140,CT9+CS10-DB9)))</f>
        <v>4.544678684562788</v>
      </c>
      <c r="CU10" s="17">
        <f>CT10*VLOOKUP('Données projet'!$B$13,Paramètres!$A$1:$I$89,3,0)*VLOOKUP('Données projet'!$B$13,Paramètres!$A$1:$I$89,5,0)</f>
        <v>3.5448493739589746</v>
      </c>
      <c r="CV10" s="13">
        <f t="shared" si="41"/>
        <v>1.4098622061104944</v>
      </c>
      <c r="CW10" s="20">
        <f t="shared" si="13"/>
        <v>8.6294560019543258</v>
      </c>
      <c r="CX10" s="59">
        <f t="shared" si="14"/>
        <v>256.82108955401452</v>
      </c>
      <c r="CY10" s="59">
        <f ca="1">AVERAGE(OFFSET($CX$3,0,0,'Données projet'!$E$13+1,1))-AVERAGE(OFFSET($H$3,0,0,'Données projet'!$E$13+1,1))</f>
        <v>201.71903756761543</v>
      </c>
      <c r="CZ10" s="59">
        <f t="shared" si="42"/>
        <v>200.66422845182711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2.9235042736666665</v>
      </c>
      <c r="DO10" s="12">
        <f>IF('Données projet'!$A$166&gt;35,DO9+DN10-DW9,IF(A10&lt;'Données projet'!$A$166,$DL$205^A10,IF(A10='Données projet'!$A$166,'Données projet'!$B$166,DO9+DN10-DW9)))</f>
        <v>2.840354173840328</v>
      </c>
      <c r="DP10" s="17">
        <f>DO10*VLOOKUP('Données projet'!$B$14,Paramètres!$A$1:$I$89,3,0)*VLOOKUP('Données projet'!$B$14,Paramètres!$A$1:$I$89,5,0)</f>
        <v>2.7028810318264562</v>
      </c>
      <c r="DQ10" s="13">
        <f t="shared" si="43"/>
        <v>1.1094668762719733</v>
      </c>
      <c r="DR10" s="20">
        <f t="shared" si="16"/>
        <v>6.6398392732714306</v>
      </c>
      <c r="DS10" s="59">
        <f t="shared" si="17"/>
        <v>254.83147282533164</v>
      </c>
      <c r="DT10" s="59">
        <f ca="1">AVERAGE(OFFSET($DS$3,0,0,'Données projet'!$E$14+1,1))-AVERAGE(OFFSET($H$3,0,0,'Données projet'!$E$14+1,1))</f>
        <v>502.4879901989737</v>
      </c>
      <c r="DU10" s="59">
        <f t="shared" si="44"/>
        <v>226.06453328626355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10.683760683760683</v>
      </c>
      <c r="EJ10" s="12">
        <f>IF('Données projet'!$A$192&gt;35,EJ9+EI10-ER9,IF(A10&lt;'Données projet'!$A$192,$EG$205^A10,IF(A10='Données projet'!$A$192,'Données projet'!$B$192,EJ9+EI10-ER9)))</f>
        <v>34.858396279415452</v>
      </c>
      <c r="EK10" s="17">
        <f>EJ10*VLOOKUP('Données projet'!$B$15,Paramètres!$A$1:$I$89,3,0)*VLOOKUP('Données projet'!$B$15,Paramètres!$A$1:$I$89,5,0)</f>
        <v>19.957129037890937</v>
      </c>
      <c r="EL10" s="13">
        <f t="shared" si="45"/>
        <v>6.4911062122415641</v>
      </c>
      <c r="EM10" s="20">
        <f t="shared" si="19"/>
        <v>46.064009727314108</v>
      </c>
      <c r="EN10" s="59">
        <f t="shared" si="20"/>
        <v>294.25564327937434</v>
      </c>
      <c r="EO10" s="59">
        <f ca="1">AVERAGE(OFFSET($EN$3,0,0,'Données projet'!$E$15+1,1))-AVERAGE(OFFSET($H$3,0,0,'Données projet'!$E$15+1,1))</f>
        <v>192.76157155207764</v>
      </c>
      <c r="EP10" s="59">
        <f t="shared" si="46"/>
        <v>413.66427458788348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65.355293999046722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1.05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3.85</v>
      </c>
      <c r="H11" s="66">
        <f t="shared" si="1"/>
        <v>241.26666666666665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2.9235042736666665</v>
      </c>
      <c r="N11" s="13">
        <f>IF('Données projet'!$A$36&gt;35,N10+M11-V10,IF(A11&lt;'Données projet'!$A$36,$K$205^A11,IF(A11='Données projet'!$A$36,'Données projet'!$B$36,N10+M11-V10)))</f>
        <v>3.2971598044433317</v>
      </c>
      <c r="O11" s="13">
        <f>N11*VLOOKUP('Données projet'!$B$9,Paramètres!$A$1:$I$89,3,0)*VLOOKUP('Données projet'!$B$9,Paramètres!$A$1:$I$89,5,0)</f>
        <v>2.9832701910603263</v>
      </c>
      <c r="P11" s="13">
        <f t="shared" si="33"/>
        <v>1.2105714747107423</v>
      </c>
      <c r="Q11" s="20">
        <f t="shared" si="2"/>
        <v>7.3042742345512766</v>
      </c>
      <c r="R11" s="59">
        <f t="shared" si="0"/>
        <v>257.01357264756876</v>
      </c>
      <c r="S11" s="59">
        <f ca="1">AVERAGE(OFFSET($R$3,0,0,'Données projet'!$E$9+1,1))-AVERAGE(OFFSET($H$3,0,0,'Données projet'!$E$9+1,1))</f>
        <v>480.34707165277229</v>
      </c>
      <c r="T11" s="59">
        <f t="shared" si="34"/>
        <v>217.17128038304531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3.6499842686060791</v>
      </c>
      <c r="AK11" s="13">
        <f t="shared" si="35"/>
        <v>1.4467463187725633</v>
      </c>
      <c r="AL11" s="20">
        <f t="shared" si="4"/>
        <v>8.8768057730178018</v>
      </c>
      <c r="AM11" s="59">
        <f t="shared" si="5"/>
        <v>258.5861041860353</v>
      </c>
      <c r="AN11" s="59">
        <f ca="1">AVERAGE(OFFSET($AM$3,0,0,'Données projet'!$E$10+1,1))-AVERAGE(OFFSET($H$3,0,0,'Données projet'!$E$10+1,1))</f>
        <v>596.64394969449609</v>
      </c>
      <c r="AO11" s="59">
        <f t="shared" si="36"/>
        <v>312.55704723516362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279.90840666251955</v>
      </c>
      <c r="BI11" s="59">
        <f ca="1">AVERAGE(OFFSET($BH$3,0,0,'Données projet'!$E$11+1,1))-AVERAGE(OFFSET($H$3,0,0,'Données projet'!$E$11+1,1))</f>
        <v>360.53625471540249</v>
      </c>
      <c r="BJ11" s="59">
        <f t="shared" si="38"/>
        <v>326.66299410556076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262.71698847233404</v>
      </c>
      <c r="CD11" s="59">
        <f ca="1">AVERAGE(OFFSET($CC$3,0,0,'Données projet'!$E$12+1,1))-AVERAGE(OFFSET($H$3,0,0,'Données projet'!$E$12+1,1))</f>
        <v>358.39045200457502</v>
      </c>
      <c r="CE11" s="59">
        <f t="shared" si="40"/>
        <v>349.48764057925109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1.7094017094017093</v>
      </c>
      <c r="CT11" s="12">
        <f>IF('Données projet'!$A$140&gt;35,CT10+CS11-DB10,IF(A11&lt;'Données projet'!$A$140,$CQ$205^A11,IF(A11='Données projet'!$A$140,'Données projet'!$B$140,CT10+CS11-DB10)))</f>
        <v>5.6419886686647915</v>
      </c>
      <c r="CU11" s="17">
        <f>CT11*VLOOKUP('Données projet'!$B$13,Paramètres!$A$1:$I$89,3,0)*VLOOKUP('Données projet'!$B$13,Paramètres!$A$1:$I$89,5,0)</f>
        <v>4.4007511615585377</v>
      </c>
      <c r="CV11" s="13">
        <f t="shared" si="41"/>
        <v>1.7067596074390303</v>
      </c>
      <c r="CW11" s="20">
        <f t="shared" si="13"/>
        <v>10.637247922670763</v>
      </c>
      <c r="CX11" s="59">
        <f t="shared" si="14"/>
        <v>260.34654633568823</v>
      </c>
      <c r="CY11" s="59">
        <f ca="1">AVERAGE(OFFSET($CX$3,0,0,'Données projet'!$E$13+1,1))-AVERAGE(OFFSET($H$3,0,0,'Données projet'!$E$13+1,1))</f>
        <v>201.71903756761543</v>
      </c>
      <c r="CZ11" s="59">
        <f t="shared" si="42"/>
        <v>200.66422845182711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2.9235042736666665</v>
      </c>
      <c r="DO11" s="12">
        <f>IF('Données projet'!$A$166&gt;35,DO10+DN11-DW10,IF(A11&lt;'Données projet'!$A$166,$DL$205^A11,IF(A11='Données projet'!$A$166,'Données projet'!$B$166,DO10+DN11-DW10)))</f>
        <v>3.2971598044433317</v>
      </c>
      <c r="DP11" s="17">
        <f>DO11*VLOOKUP('Données projet'!$B$14,Paramètres!$A$1:$I$89,3,0)*VLOOKUP('Données projet'!$B$14,Paramètres!$A$1:$I$89,5,0)</f>
        <v>3.1375772699082747</v>
      </c>
      <c r="DQ11" s="13">
        <f t="shared" si="43"/>
        <v>1.2657353321430747</v>
      </c>
      <c r="DR11" s="20">
        <f t="shared" si="16"/>
        <v>7.6691027819060977</v>
      </c>
      <c r="DS11" s="59">
        <f t="shared" si="17"/>
        <v>257.37840119492358</v>
      </c>
      <c r="DT11" s="59">
        <f ca="1">AVERAGE(OFFSET($DS$3,0,0,'Données projet'!$E$14+1,1))-AVERAGE(OFFSET($H$3,0,0,'Données projet'!$E$14+1,1))</f>
        <v>502.4879901989737</v>
      </c>
      <c r="DU11" s="59">
        <f t="shared" si="44"/>
        <v>226.06453328626355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10.683760683760683</v>
      </c>
      <c r="EJ11" s="12">
        <f>IF('Données projet'!$A$192&gt;35,EJ10+EI11-ER10,IF(A11&lt;'Données projet'!$A$192,$EG$205^A11,IF(A11='Données projet'!$A$192,'Données projet'!$B$192,EJ10+EI11-ER10)))</f>
        <v>57.894463232857746</v>
      </c>
      <c r="EK11" s="17">
        <f>EJ11*VLOOKUP('Données projet'!$B$15,Paramètres!$A$1:$I$89,3,0)*VLOOKUP('Données projet'!$B$15,Paramètres!$A$1:$I$89,5,0)</f>
        <v>33.145738090075717</v>
      </c>
      <c r="EL11" s="13">
        <f t="shared" si="45"/>
        <v>10.162533157582137</v>
      </c>
      <c r="EM11" s="20">
        <f t="shared" si="19"/>
        <v>75.428572423004098</v>
      </c>
      <c r="EN11" s="59">
        <f t="shared" si="20"/>
        <v>325.13787083602159</v>
      </c>
      <c r="EO11" s="59">
        <f ca="1">AVERAGE(OFFSET($EN$3,0,0,'Données projet'!$E$15+1,1))-AVERAGE(OFFSET($H$3,0,0,'Données projet'!$E$15+1,1))</f>
        <v>192.76157155207764</v>
      </c>
      <c r="EP11" s="59">
        <f t="shared" si="46"/>
        <v>413.66427458788348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65.435869264156281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1.05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3.85</v>
      </c>
      <c r="H12" s="66">
        <f t="shared" si="1"/>
        <v>241.26666666666665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2.9235042736666665</v>
      </c>
      <c r="N12" s="13">
        <f>IF('Données projet'!$A$36&gt;35,N11+M12-V11,IF(A12&lt;'Données projet'!$A$36,$K$205^A12,IF(A12='Données projet'!$A$36,'Données projet'!$B$36,N11+M12-V11)))</f>
        <v>3.8274321125728465</v>
      </c>
      <c r="O12" s="13">
        <f>N12*VLOOKUP('Données projet'!$B$9,Paramètres!$A$1:$I$89,3,0)*VLOOKUP('Données projet'!$B$9,Paramètres!$A$1:$I$89,5,0)</f>
        <v>3.4630605754559114</v>
      </c>
      <c r="P12" s="13">
        <f t="shared" si="33"/>
        <v>1.3810805174956087</v>
      </c>
      <c r="Q12" s="20">
        <f t="shared" si="2"/>
        <v>8.4368790702238972</v>
      </c>
      <c r="R12" s="59">
        <f t="shared" si="0"/>
        <v>259.65871707492738</v>
      </c>
      <c r="S12" s="59">
        <f ca="1">AVERAGE(OFFSET($R$3,0,0,'Données projet'!$E$9+1,1))-AVERAGE(OFFSET($H$3,0,0,'Données projet'!$E$9+1,1))</f>
        <v>480.34707165277229</v>
      </c>
      <c r="T12" s="59">
        <f t="shared" si="34"/>
        <v>217.17128038304531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4.283735253058115</v>
      </c>
      <c r="AK12" s="13">
        <f t="shared" si="35"/>
        <v>1.6665967630817691</v>
      </c>
      <c r="AL12" s="20">
        <f t="shared" si="4"/>
        <v>10.363494928110297</v>
      </c>
      <c r="AM12" s="59">
        <f t="shared" si="5"/>
        <v>261.58533293281374</v>
      </c>
      <c r="AN12" s="59">
        <f ca="1">AVERAGE(OFFSET($AM$3,0,0,'Données projet'!$E$10+1,1))-AVERAGE(OFFSET($H$3,0,0,'Données projet'!$E$10+1,1))</f>
        <v>596.64394969449609</v>
      </c>
      <c r="AO12" s="59">
        <f t="shared" si="36"/>
        <v>312.55704723516362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293.09709815794798</v>
      </c>
      <c r="BI12" s="59">
        <f ca="1">AVERAGE(OFFSET($BH$3,0,0,'Données projet'!$E$11+1,1))-AVERAGE(OFFSET($H$3,0,0,'Données projet'!$E$11+1,1))</f>
        <v>360.53625471540249</v>
      </c>
      <c r="BJ12" s="59">
        <f t="shared" si="38"/>
        <v>326.66299410556076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267.62940852274932</v>
      </c>
      <c r="CD12" s="59">
        <f ca="1">AVERAGE(OFFSET($CC$3,0,0,'Données projet'!$E$12+1,1))-AVERAGE(OFFSET($H$3,0,0,'Données projet'!$E$12+1,1))</f>
        <v>358.39045200457502</v>
      </c>
      <c r="CE12" s="59">
        <f t="shared" si="40"/>
        <v>349.48764057925109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1.7094017094017093</v>
      </c>
      <c r="CT12" s="12">
        <f>IF('Données projet'!$A$140&gt;35,CT11+CS12-DB11,IF(A12&lt;'Données projet'!$A$140,$CQ$205^A12,IF(A12='Données projet'!$A$140,'Données projet'!$B$140,CT11+CS12-DB11)))</f>
        <v>7.0042435003090322</v>
      </c>
      <c r="CU12" s="17">
        <f>CT12*VLOOKUP('Données projet'!$B$13,Paramètres!$A$1:$I$89,3,0)*VLOOKUP('Données projet'!$B$13,Paramètres!$A$1:$I$89,5,0)</f>
        <v>5.4633099302410457</v>
      </c>
      <c r="CV12" s="13">
        <f t="shared" si="41"/>
        <v>2.0661794783632437</v>
      </c>
      <c r="CW12" s="20">
        <f t="shared" si="13"/>
        <v>13.113860719985803</v>
      </c>
      <c r="CX12" s="59">
        <f t="shared" si="14"/>
        <v>264.33569872468928</v>
      </c>
      <c r="CY12" s="59">
        <f ca="1">AVERAGE(OFFSET($CX$3,0,0,'Données projet'!$E$13+1,1))-AVERAGE(OFFSET($H$3,0,0,'Données projet'!$E$13+1,1))</f>
        <v>201.71903756761543</v>
      </c>
      <c r="CZ12" s="59">
        <f t="shared" si="42"/>
        <v>200.66422845182711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2.9235042736666665</v>
      </c>
      <c r="DO12" s="12">
        <f>IF('Données projet'!$A$166&gt;35,DO11+DN12-DW11,IF(A12&lt;'Données projet'!$A$166,$DL$205^A12,IF(A12='Données projet'!$A$166,'Données projet'!$B$166,DO11+DN12-DW11)))</f>
        <v>3.8274321125728465</v>
      </c>
      <c r="DP12" s="17">
        <f>DO12*VLOOKUP('Données projet'!$B$14,Paramètres!$A$1:$I$89,3,0)*VLOOKUP('Données projet'!$B$14,Paramètres!$A$1:$I$89,5,0)</f>
        <v>3.6421843983243205</v>
      </c>
      <c r="DQ12" s="13">
        <f t="shared" si="43"/>
        <v>1.4440142065517652</v>
      </c>
      <c r="DR12" s="20">
        <f t="shared" si="16"/>
        <v>8.8584625701591815</v>
      </c>
      <c r="DS12" s="59">
        <f t="shared" si="17"/>
        <v>260.08030057486263</v>
      </c>
      <c r="DT12" s="59">
        <f ca="1">AVERAGE(OFFSET($DS$3,0,0,'Données projet'!$E$14+1,1))-AVERAGE(OFFSET($H$3,0,0,'Données projet'!$E$14+1,1))</f>
        <v>502.4879901989737</v>
      </c>
      <c r="DU12" s="59">
        <f t="shared" si="44"/>
        <v>226.06453328626355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>
        <f>VLOOKUP(A12,'Données projet'!$A$191:$I$211,2,0)</f>
        <v>96.153846153846146</v>
      </c>
      <c r="EH12" s="12">
        <f>VLOOKUP(A12,'Données projet'!$A$191:$I$211,9,0)</f>
        <v>10.683760683760683</v>
      </c>
      <c r="EI12" s="12">
        <f t="array" ref="EI12">INDEX(EH:EH,MIN(IF(ISNUMBER(EH12:EH208),ROW(EH12:EH208),"")))</f>
        <v>10.683760683760683</v>
      </c>
      <c r="EJ12" s="12">
        <f>IF('Données projet'!$A$192&gt;35,EJ11+EI12-ER11,IF(A12&lt;'Données projet'!$A$192,$EG$205^A12,IF(A12='Données projet'!$A$192,'Données projet'!$B$192,EJ11+EI12-ER11)))</f>
        <v>96.153846153846146</v>
      </c>
      <c r="EK12" s="17">
        <f>EJ12*VLOOKUP('Données projet'!$B$15,Paramètres!$A$1:$I$89,3,0)*VLOOKUP('Données projet'!$B$15,Paramètres!$A$1:$I$89,5,0)</f>
        <v>55.04999999999999</v>
      </c>
      <c r="EL12" s="13">
        <f t="shared" si="45"/>
        <v>15.910551576584327</v>
      </c>
      <c r="EM12" s="20">
        <f t="shared" si="19"/>
        <v>123.58962732921769</v>
      </c>
      <c r="EN12" s="59">
        <f t="shared" si="20"/>
        <v>374.81146533392115</v>
      </c>
      <c r="EO12" s="59">
        <f ca="1">AVERAGE(OFFSET($EN$3,0,0,'Données projet'!$E$15+1,1))-AVERAGE(OFFSET($H$3,0,0,'Données projet'!$E$15+1,1))</f>
        <v>192.76157155207764</v>
      </c>
      <c r="EP12" s="59">
        <f t="shared" si="46"/>
        <v>413.66427458788348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65.51504672855549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1.05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3.85</v>
      </c>
      <c r="H13" s="66">
        <f t="shared" si="1"/>
        <v>241.26666666666665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2.9235042736666665</v>
      </c>
      <c r="N13" s="13">
        <f>IF('Données projet'!$A$36&gt;35,N12+M13-V12,IF(A13&lt;'Données projet'!$A$36,$K$205^A13,IF(A13='Données projet'!$A$36,'Données projet'!$B$36,N12+M13-V12)))</f>
        <v>4.4429865233138468</v>
      </c>
      <c r="O13" s="13">
        <f>N13*VLOOKUP('Données projet'!$B$9,Paramètres!$A$1:$I$89,3,0)*VLOOKUP('Données projet'!$B$9,Paramètres!$A$1:$I$89,5,0)</f>
        <v>4.0200142062943689</v>
      </c>
      <c r="P13" s="13">
        <f t="shared" si="33"/>
        <v>1.5756057660797711</v>
      </c>
      <c r="Q13" s="20">
        <f t="shared" si="2"/>
        <v>9.7457047852182921</v>
      </c>
      <c r="R13" s="59">
        <f t="shared" si="0"/>
        <v>262.47504602429996</v>
      </c>
      <c r="S13" s="59">
        <f ca="1">AVERAGE(OFFSET($R$3,0,0,'Données projet'!$E$9+1,1))-AVERAGE(OFFSET($H$3,0,0,'Données projet'!$E$9+1,1))</f>
        <v>480.34707165277229</v>
      </c>
      <c r="T13" s="59">
        <f t="shared" si="34"/>
        <v>217.17128038304531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5.0275251529510969</v>
      </c>
      <c r="AK13" s="13">
        <f t="shared" si="35"/>
        <v>1.9198561176026576</v>
      </c>
      <c r="AL13" s="20">
        <f t="shared" si="4"/>
        <v>12.10002237954779</v>
      </c>
      <c r="AM13" s="59">
        <f t="shared" si="5"/>
        <v>264.82936361862943</v>
      </c>
      <c r="AN13" s="59">
        <f ca="1">AVERAGE(OFFSET($AM$3,0,0,'Données projet'!$E$10+1,1))-AVERAGE(OFFSET($H$3,0,0,'Données projet'!$E$10+1,1))</f>
        <v>596.64394969449609</v>
      </c>
      <c r="AO13" s="59">
        <f t="shared" si="36"/>
        <v>312.55704723516362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310.81182676988669</v>
      </c>
      <c r="BI13" s="59">
        <f ca="1">AVERAGE(OFFSET($BH$3,0,0,'Données projet'!$E$11+1,1))-AVERAGE(OFFSET($H$3,0,0,'Données projet'!$E$11+1,1))</f>
        <v>360.53625471540249</v>
      </c>
      <c r="BJ13" s="59">
        <f t="shared" si="38"/>
        <v>326.66299410556076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273.42860607511602</v>
      </c>
      <c r="CD13" s="59">
        <f ca="1">AVERAGE(OFFSET($CC$3,0,0,'Données projet'!$E$12+1,1))-AVERAGE(OFFSET($H$3,0,0,'Données projet'!$E$12+1,1))</f>
        <v>358.39045200457502</v>
      </c>
      <c r="CE13" s="59">
        <f t="shared" si="40"/>
        <v>349.48764057925109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1.7094017094017093</v>
      </c>
      <c r="CT13" s="12">
        <f>IF('Données projet'!$A$140&gt;35,CT12+CS13-DB12,IF(A13&lt;'Données projet'!$A$140,$CQ$205^A13,IF(A13='Données projet'!$A$140,'Données projet'!$B$140,CT12+CS13-DB12)))</f>
        <v>8.6954139564465862</v>
      </c>
      <c r="CU13" s="17">
        <f>CT13*VLOOKUP('Données projet'!$B$13,Paramètres!$A$1:$I$89,3,0)*VLOOKUP('Données projet'!$B$13,Paramètres!$A$1:$I$89,5,0)</f>
        <v>6.7824228860283373</v>
      </c>
      <c r="CV13" s="13">
        <f t="shared" si="41"/>
        <v>2.5012881827073041</v>
      </c>
      <c r="CW13" s="20">
        <f t="shared" si="13"/>
        <v>16.169130111381239</v>
      </c>
      <c r="CX13" s="59">
        <f t="shared" si="14"/>
        <v>268.8984713504629</v>
      </c>
      <c r="CY13" s="59">
        <f ca="1">AVERAGE(OFFSET($CX$3,0,0,'Données projet'!$E$13+1,1))-AVERAGE(OFFSET($H$3,0,0,'Données projet'!$E$13+1,1))</f>
        <v>201.71903756761543</v>
      </c>
      <c r="CZ13" s="59">
        <f t="shared" si="42"/>
        <v>200.66422845182711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2.9235042736666665</v>
      </c>
      <c r="DO13" s="12">
        <f>IF('Données projet'!$A$166&gt;35,DO12+DN13-DW12,IF(A13&lt;'Données projet'!$A$166,$DL$205^A13,IF(A13='Données projet'!$A$166,'Données projet'!$B$166,DO12+DN13-DW12)))</f>
        <v>4.4429865233138468</v>
      </c>
      <c r="DP13" s="17">
        <f>DO13*VLOOKUP('Données projet'!$B$14,Paramètres!$A$1:$I$89,3,0)*VLOOKUP('Données projet'!$B$14,Paramètres!$A$1:$I$89,5,0)</f>
        <v>4.2279459755854569</v>
      </c>
      <c r="DQ13" s="13">
        <f t="shared" si="43"/>
        <v>1.6474036678685551</v>
      </c>
      <c r="DR13" s="20">
        <f t="shared" si="16"/>
        <v>10.232900629015736</v>
      </c>
      <c r="DS13" s="59">
        <f t="shared" si="17"/>
        <v>262.96224186809741</v>
      </c>
      <c r="DT13" s="59">
        <f ca="1">AVERAGE(OFFSET($DS$3,0,0,'Données projet'!$E$14+1,1))-AVERAGE(OFFSET($H$3,0,0,'Données projet'!$E$14+1,1))</f>
        <v>502.4879901989737</v>
      </c>
      <c r="DU13" s="59">
        <f t="shared" si="44"/>
        <v>226.06453328626355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35.256410256410255</v>
      </c>
      <c r="EJ13" s="12">
        <f>IF('Données projet'!$A$192&gt;35,EJ12+EI13-ER12,IF(A13&lt;'Données projet'!$A$192,$EG$205^A13,IF(A13='Données projet'!$A$192,'Données projet'!$B$192,EJ12+EI13-ER12)))</f>
        <v>131.41025641025641</v>
      </c>
      <c r="EK13" s="17">
        <f>EJ13*VLOOKUP('Données projet'!$B$15,Paramètres!$A$1:$I$89,3,0)*VLOOKUP('Données projet'!$B$15,Paramètres!$A$1:$I$89,5,0)</f>
        <v>75.234999999999999</v>
      </c>
      <c r="EL13" s="13">
        <f t="shared" si="45"/>
        <v>20.967985657431495</v>
      </c>
      <c r="EM13" s="20">
        <f t="shared" si="19"/>
        <v>167.55353335335985</v>
      </c>
      <c r="EN13" s="59">
        <f t="shared" si="20"/>
        <v>420.28287459244154</v>
      </c>
      <c r="EO13" s="59">
        <f ca="1">AVERAGE(OFFSET($EN$3,0,0,'Données projet'!$E$15+1,1))-AVERAGE(OFFSET($H$3,0,0,'Données projet'!$E$15+1,1))</f>
        <v>192.76157155207764</v>
      </c>
      <c r="EP13" s="59">
        <f t="shared" si="46"/>
        <v>413.66427458788348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65.592850640961672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1.05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3.85</v>
      </c>
      <c r="H14" s="66">
        <f t="shared" si="1"/>
        <v>241.26666666666665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2.9235042736666665</v>
      </c>
      <c r="N14" s="13">
        <f>IF('Données projet'!$A$36&gt;35,N13+M14-V13,IF(A14&lt;'Données projet'!$A$36,$K$205^A14,IF(A14='Données projet'!$A$36,'Données projet'!$B$36,N13+M14-V13)))</f>
        <v>5.1575387010793801</v>
      </c>
      <c r="O14" s="13">
        <f>N14*VLOOKUP('Données projet'!$B$9,Paramètres!$A$1:$I$89,3,0)*VLOOKUP('Données projet'!$B$9,Paramètres!$A$1:$I$89,5,0)</f>
        <v>4.6665410167366232</v>
      </c>
      <c r="P14" s="13">
        <f t="shared" si="33"/>
        <v>1.7975299040533435</v>
      </c>
      <c r="Q14" s="20">
        <f t="shared" si="2"/>
        <v>11.258256853709192</v>
      </c>
      <c r="R14" s="59">
        <f t="shared" si="0"/>
        <v>265.49015233940099</v>
      </c>
      <c r="S14" s="59">
        <f ca="1">AVERAGE(OFFSET($R$3,0,0,'Données projet'!$E$9+1,1))-AVERAGE(OFFSET($H$3,0,0,'Données projet'!$E$9+1,1))</f>
        <v>480.34707165277229</v>
      </c>
      <c r="T14" s="59">
        <f t="shared" si="34"/>
        <v>217.17128038304531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5.9004601522728706</v>
      </c>
      <c r="AK14" s="13">
        <f t="shared" si="35"/>
        <v>2.2116012666919538</v>
      </c>
      <c r="AL14" s="20">
        <f t="shared" si="4"/>
        <v>14.128506971363736</v>
      </c>
      <c r="AM14" s="59">
        <f t="shared" si="5"/>
        <v>268.3604024570555</v>
      </c>
      <c r="AN14" s="59">
        <f ca="1">AVERAGE(OFFSET($AM$3,0,0,'Données projet'!$E$10+1,1))-AVERAGE(OFFSET($H$3,0,0,'Données projet'!$E$10+1,1))</f>
        <v>596.64394969449609</v>
      </c>
      <c r="AO14" s="59">
        <f t="shared" si="36"/>
        <v>312.55704723516362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329.38673717878748</v>
      </c>
      <c r="BI14" s="59">
        <f ca="1">AVERAGE(OFFSET($BH$3,0,0,'Données projet'!$E$11+1,1))-AVERAGE(OFFSET($H$3,0,0,'Données projet'!$E$11+1,1))</f>
        <v>360.53625471540249</v>
      </c>
      <c r="BJ14" s="59">
        <f t="shared" si="38"/>
        <v>326.66299410556076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17.344080000000002</v>
      </c>
      <c r="CA14" s="13">
        <f t="shared" si="39"/>
        <v>5.7341113912136308</v>
      </c>
      <c r="CB14" s="20">
        <f t="shared" si="10"/>
        <v>40.194516673030414</v>
      </c>
      <c r="CC14" s="59">
        <f t="shared" si="11"/>
        <v>294.4264121587222</v>
      </c>
      <c r="CD14" s="59">
        <f ca="1">AVERAGE(OFFSET($CC$3,0,0,'Données projet'!$E$12+1,1))-AVERAGE(OFFSET($H$3,0,0,'Données projet'!$E$12+1,1))</f>
        <v>358.39045200457502</v>
      </c>
      <c r="CE14" s="59">
        <f t="shared" si="40"/>
        <v>349.48764057925109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1.7094017094017093</v>
      </c>
      <c r="CT14" s="12">
        <f>IF('Données projet'!$A$140&gt;35,CT13+CS14-DB13,IF(A14&lt;'Données projet'!$A$140,$CQ$205^A14,IF(A14='Données projet'!$A$140,'Données projet'!$B$140,CT13+CS14-DB13)))</f>
        <v>10.794916520339433</v>
      </c>
      <c r="CU14" s="17">
        <f>CT14*VLOOKUP('Données projet'!$B$13,Paramètres!$A$1:$I$89,3,0)*VLOOKUP('Données projet'!$B$13,Paramètres!$A$1:$I$89,5,0)</f>
        <v>8.4200348858647569</v>
      </c>
      <c r="CV14" s="13">
        <f t="shared" si="41"/>
        <v>3.0280247376705862</v>
      </c>
      <c r="CW14" s="20">
        <f t="shared" si="13"/>
        <v>19.938703844324056</v>
      </c>
      <c r="CX14" s="59">
        <f t="shared" si="14"/>
        <v>274.17059933001582</v>
      </c>
      <c r="CY14" s="59">
        <f ca="1">AVERAGE(OFFSET($CX$3,0,0,'Données projet'!$E$13+1,1))-AVERAGE(OFFSET($H$3,0,0,'Données projet'!$E$13+1,1))</f>
        <v>201.71903756761543</v>
      </c>
      <c r="CZ14" s="59">
        <f t="shared" si="42"/>
        <v>200.66422845182711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2.9235042736666665</v>
      </c>
      <c r="DO14" s="12">
        <f>IF('Données projet'!$A$166&gt;35,DO13+DN14-DW13,IF(A14&lt;'Données projet'!$A$166,$DL$205^A14,IF(A14='Données projet'!$A$166,'Données projet'!$B$166,DO13+DN14-DW13)))</f>
        <v>5.1575387010793801</v>
      </c>
      <c r="DP14" s="17">
        <f>DO14*VLOOKUP('Données projet'!$B$14,Paramètres!$A$1:$I$89,3,0)*VLOOKUP('Données projet'!$B$14,Paramètres!$A$1:$I$89,5,0)</f>
        <v>4.9079138279471382</v>
      </c>
      <c r="DQ14" s="13">
        <f t="shared" si="43"/>
        <v>1.8794405433084482</v>
      </c>
      <c r="DR14" s="20">
        <f t="shared" si="16"/>
        <v>11.821308863270147</v>
      </c>
      <c r="DS14" s="59">
        <f t="shared" si="17"/>
        <v>266.05320434896191</v>
      </c>
      <c r="DT14" s="59">
        <f ca="1">AVERAGE(OFFSET($DS$3,0,0,'Données projet'!$E$14+1,1))-AVERAGE(OFFSET($H$3,0,0,'Données projet'!$E$14+1,1))</f>
        <v>502.4879901989737</v>
      </c>
      <c r="DU14" s="59">
        <f t="shared" si="44"/>
        <v>226.06453328626355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35.256410256410255</v>
      </c>
      <c r="EJ14" s="12">
        <f>IF('Données projet'!$A$192&gt;35,EJ13+EI14-ER13,IF(A14&lt;'Données projet'!$A$192,$EG$205^A14,IF(A14='Données projet'!$A$192,'Données projet'!$B$192,EJ13+EI14-ER13)))</f>
        <v>166.66666666666666</v>
      </c>
      <c r="EK14" s="17">
        <f>EJ14*VLOOKUP('Données projet'!$B$15,Paramètres!$A$1:$I$89,3,0)*VLOOKUP('Données projet'!$B$15,Paramètres!$A$1:$I$89,5,0)</f>
        <v>95.42</v>
      </c>
      <c r="EL14" s="13">
        <f t="shared" si="45"/>
        <v>25.86791644684093</v>
      </c>
      <c r="EM14" s="20">
        <f t="shared" si="19"/>
        <v>211.24312114491462</v>
      </c>
      <c r="EN14" s="59">
        <f t="shared" si="20"/>
        <v>465.47501663060643</v>
      </c>
      <c r="EO14" s="59">
        <f ca="1">AVERAGE(OFFSET($EN$3,0,0,'Données projet'!$E$15+1,1))-AVERAGE(OFFSET($H$3,0,0,'Données projet'!$E$15+1,1))</f>
        <v>192.76157155207764</v>
      </c>
      <c r="EP14" s="59">
        <f t="shared" si="46"/>
        <v>413.66427458788348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65.669304829431084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1.05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3.85</v>
      </c>
      <c r="H15" s="66">
        <f t="shared" si="1"/>
        <v>241.26666666666665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2.9235042736666665</v>
      </c>
      <c r="N15" s="13">
        <f>IF('Données projet'!$A$36&gt;35,N14+M15-V14,IF(A15&lt;'Données projet'!$A$36,$K$205^A15,IF(A15='Données projet'!$A$36,'Données projet'!$B$36,N14+M15-V14)))</f>
        <v>5.987010159394214</v>
      </c>
      <c r="O15" s="13">
        <f>N15*VLOOKUP('Données projet'!$B$9,Paramètres!$A$1:$I$89,3,0)*VLOOKUP('Données projet'!$B$9,Paramètres!$A$1:$I$89,5,0)</f>
        <v>5.4170467922198853</v>
      </c>
      <c r="P15" s="13">
        <f t="shared" si="33"/>
        <v>2.0507120661314171</v>
      </c>
      <c r="Q15" s="20">
        <f t="shared" si="2"/>
        <v>13.006346678295186</v>
      </c>
      <c r="R15" s="59">
        <f t="shared" si="0"/>
        <v>268.73593327670238</v>
      </c>
      <c r="S15" s="59">
        <f ca="1">AVERAGE(OFFSET($R$3,0,0,'Données projet'!$E$9+1,1))-AVERAGE(OFFSET($H$3,0,0,'Données projet'!$E$9+1,1))</f>
        <v>480.34707165277229</v>
      </c>
      <c r="T15" s="59">
        <f t="shared" si="34"/>
        <v>217.17128038304531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6.9249638638055826</v>
      </c>
      <c r="AK15" s="13">
        <f t="shared" si="35"/>
        <v>2.5476805881375704</v>
      </c>
      <c r="AL15" s="20">
        <f t="shared" si="4"/>
        <v>16.498189087134325</v>
      </c>
      <c r="AM15" s="59">
        <f t="shared" si="5"/>
        <v>272.22777568554153</v>
      </c>
      <c r="AN15" s="59">
        <f ca="1">AVERAGE(OFFSET($AM$3,0,0,'Données projet'!$E$10+1,1))-AVERAGE(OFFSET($H$3,0,0,'Données projet'!$E$10+1,1))</f>
        <v>596.64394969449609</v>
      </c>
      <c r="AO15" s="59">
        <f t="shared" si="36"/>
        <v>312.55704723516362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347.85737157214453</v>
      </c>
      <c r="BI15" s="59">
        <f ca="1">AVERAGE(OFFSET($BH$3,0,0,'Données projet'!$E$11+1,1))-AVERAGE(OFFSET($H$3,0,0,'Données projet'!$E$11+1,1))</f>
        <v>360.53625471540249</v>
      </c>
      <c r="BJ15" s="59">
        <f t="shared" si="38"/>
        <v>326.66299410556076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25.936560000000004</v>
      </c>
      <c r="CA15" s="13">
        <f t="shared" si="39"/>
        <v>8.1824816304360635</v>
      </c>
      <c r="CB15" s="20">
        <f t="shared" si="10"/>
        <v>59.423997506342801</v>
      </c>
      <c r="CC15" s="59">
        <f t="shared" si="11"/>
        <v>315.15358410475005</v>
      </c>
      <c r="CD15" s="59">
        <f ca="1">AVERAGE(OFFSET($CC$3,0,0,'Données projet'!$E$12+1,1))-AVERAGE(OFFSET($H$3,0,0,'Données projet'!$E$12+1,1))</f>
        <v>358.39045200457502</v>
      </c>
      <c r="CE15" s="59">
        <f t="shared" si="40"/>
        <v>349.48764057925109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1.7094017094017093</v>
      </c>
      <c r="CT15" s="12">
        <f>IF('Données projet'!$A$140&gt;35,CT14+CS15-DB14,IF(A15&lt;'Données projet'!$A$140,$CQ$205^A15,IF(A15='Données projet'!$A$140,'Données projet'!$B$140,CT14+CS15-DB14)))</f>
        <v>13.401342738226315</v>
      </c>
      <c r="CU15" s="17">
        <f>CT15*VLOOKUP('Données projet'!$B$13,Paramètres!$A$1:$I$89,3,0)*VLOOKUP('Données projet'!$B$13,Paramètres!$A$1:$I$89,5,0)</f>
        <v>10.453047335816526</v>
      </c>
      <c r="CV15" s="13">
        <f t="shared" si="41"/>
        <v>3.6656846961236176</v>
      </c>
      <c r="CW15" s="20">
        <f t="shared" si="13"/>
        <v>24.590124955629083</v>
      </c>
      <c r="CX15" s="59">
        <f t="shared" si="14"/>
        <v>280.3197115540363</v>
      </c>
      <c r="CY15" s="59">
        <f ca="1">AVERAGE(OFFSET($CX$3,0,0,'Données projet'!$E$13+1,1))-AVERAGE(OFFSET($H$3,0,0,'Données projet'!$E$13+1,1))</f>
        <v>201.71903756761543</v>
      </c>
      <c r="CZ15" s="59">
        <f t="shared" si="42"/>
        <v>200.66422845182711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2.9235042736666665</v>
      </c>
      <c r="DO15" s="12">
        <f>IF('Données projet'!$A$166&gt;35,DO14+DN15-DW14,IF(A15&lt;'Données projet'!$A$166,$DL$205^A15,IF(A15='Données projet'!$A$166,'Données projet'!$B$166,DO14+DN15-DW14)))</f>
        <v>5.987010159394214</v>
      </c>
      <c r="DP15" s="17">
        <f>DO15*VLOOKUP('Données projet'!$B$14,Paramètres!$A$1:$I$89,3,0)*VLOOKUP('Données projet'!$B$14,Paramètres!$A$1:$I$89,5,0)</f>
        <v>5.697238867679534</v>
      </c>
      <c r="DQ15" s="13">
        <f t="shared" si="43"/>
        <v>2.1441598223474365</v>
      </c>
      <c r="DR15" s="20">
        <f t="shared" si="16"/>
        <v>13.657102718463641</v>
      </c>
      <c r="DS15" s="59">
        <f t="shared" si="17"/>
        <v>269.38668931687084</v>
      </c>
      <c r="DT15" s="59">
        <f ca="1">AVERAGE(OFFSET($DS$3,0,0,'Données projet'!$E$14+1,1))-AVERAGE(OFFSET($H$3,0,0,'Données projet'!$E$14+1,1))</f>
        <v>502.4879901989737</v>
      </c>
      <c r="DU15" s="59">
        <f t="shared" si="44"/>
        <v>226.06453328626355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35.256410256410255</v>
      </c>
      <c r="EJ15" s="12">
        <f>IF('Données projet'!$A$192&gt;35,EJ14+EI15-ER14,IF(A15&lt;'Données projet'!$A$192,$EG$205^A15,IF(A15='Données projet'!$A$192,'Données projet'!$B$192,EJ14+EI15-ER14)))</f>
        <v>201.92307692307691</v>
      </c>
      <c r="EK15" s="17">
        <f>EJ15*VLOOKUP('Données projet'!$B$15,Paramètres!$A$1:$I$89,3,0)*VLOOKUP('Données projet'!$B$15,Paramètres!$A$1:$I$89,5,0)</f>
        <v>115.605</v>
      </c>
      <c r="EL15" s="13">
        <f t="shared" si="45"/>
        <v>30.647722351843012</v>
      </c>
      <c r="EM15" s="20">
        <f t="shared" si="19"/>
        <v>254.72349142945993</v>
      </c>
      <c r="EN15" s="59">
        <f t="shared" si="20"/>
        <v>510.45307802786715</v>
      </c>
      <c r="EO15" s="59">
        <f ca="1">AVERAGE(OFFSET($EN$3,0,0,'Données projet'!$E$15+1,1))-AVERAGE(OFFSET($H$3,0,0,'Données projet'!$E$15+1,1))</f>
        <v>192.76157155207764</v>
      </c>
      <c r="EP15" s="59">
        <f t="shared" si="46"/>
        <v>413.66427458788348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65.744432708656518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1.05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3.85</v>
      </c>
      <c r="H16" s="66">
        <f t="shared" si="1"/>
        <v>241.26666666666665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2.9235042736666665</v>
      </c>
      <c r="N16" s="13">
        <f>IF('Données projet'!$A$36&gt;35,N15+M16-V15,IF(A16&lt;'Données projet'!$A$36,$K$205^A16,IF(A16='Données projet'!$A$36,'Données projet'!$B$36,N15+M16-V15)))</f>
        <v>6.9498830209820754</v>
      </c>
      <c r="O16" s="13">
        <f>N16*VLOOKUP('Données projet'!$B$9,Paramètres!$A$1:$I$89,3,0)*VLOOKUP('Données projet'!$B$9,Paramètres!$A$1:$I$89,5,0)</f>
        <v>6.2882541573845812</v>
      </c>
      <c r="P16" s="13">
        <f t="shared" si="33"/>
        <v>2.3395549463149212</v>
      </c>
      <c r="Q16" s="20">
        <f t="shared" si="2"/>
        <v>15.026767522276629</v>
      </c>
      <c r="R16" s="59">
        <f t="shared" si="0"/>
        <v>272.24926646400547</v>
      </c>
      <c r="S16" s="59">
        <f ca="1">AVERAGE(OFFSET($R$3,0,0,'Données projet'!$E$9+1,1))-AVERAGE(OFFSET($H$3,0,0,'Données projet'!$E$9+1,1))</f>
        <v>480.34707165277229</v>
      </c>
      <c r="T16" s="59">
        <f t="shared" si="34"/>
        <v>217.17128038304531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8.1273533381190166</v>
      </c>
      <c r="AK16" s="13">
        <f t="shared" si="35"/>
        <v>2.9348311908328566</v>
      </c>
      <c r="AL16" s="20">
        <f t="shared" si="4"/>
        <v>19.26663805459118</v>
      </c>
      <c r="AM16" s="59">
        <f t="shared" si="5"/>
        <v>276.48913699631998</v>
      </c>
      <c r="AN16" s="59">
        <f ca="1">AVERAGE(OFFSET($AM$3,0,0,'Données projet'!$E$10+1,1))-AVERAGE(OFFSET($H$3,0,0,'Données projet'!$E$10+1,1))</f>
        <v>596.64394969449609</v>
      </c>
      <c r="AO16" s="59">
        <f t="shared" si="36"/>
        <v>312.55704723516362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366.24482381477111</v>
      </c>
      <c r="BI16" s="59">
        <f ca="1">AVERAGE(OFFSET($BH$3,0,0,'Données projet'!$E$11+1,1))-AVERAGE(OFFSET($H$3,0,0,'Données projet'!$E$11+1,1))</f>
        <v>360.53625471540249</v>
      </c>
      <c r="BJ16" s="59">
        <f t="shared" si="38"/>
        <v>326.66299410556076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34.529040000000009</v>
      </c>
      <c r="CA16" s="13">
        <f t="shared" si="39"/>
        <v>10.536391336679102</v>
      </c>
      <c r="CB16" s="20">
        <f t="shared" si="10"/>
        <v>78.488959578049446</v>
      </c>
      <c r="CC16" s="59">
        <f t="shared" si="11"/>
        <v>335.71145851977826</v>
      </c>
      <c r="CD16" s="59">
        <f ca="1">AVERAGE(OFFSET($CC$3,0,0,'Données projet'!$E$12+1,1))-AVERAGE(OFFSET($H$3,0,0,'Données projet'!$E$12+1,1))</f>
        <v>358.39045200457502</v>
      </c>
      <c r="CE16" s="59">
        <f t="shared" si="40"/>
        <v>349.48764057925109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1.7094017094017093</v>
      </c>
      <c r="CT16" s="12">
        <f>IF('Données projet'!$A$140&gt;35,CT15+CS16-DB15,IF(A16&lt;'Données projet'!$A$140,$CQ$205^A16,IF(A16='Données projet'!$A$140,'Données projet'!$B$140,CT15+CS16-DB15)))</f>
        <v>16.637089026952847</v>
      </c>
      <c r="CU16" s="17">
        <f>CT16*VLOOKUP('Données projet'!$B$13,Paramètres!$A$1:$I$89,3,0)*VLOOKUP('Données projet'!$B$13,Paramètres!$A$1:$I$89,5,0)</f>
        <v>12.976929441023222</v>
      </c>
      <c r="CV16" s="13">
        <f t="shared" si="41"/>
        <v>4.4376269864069782</v>
      </c>
      <c r="CW16" s="20">
        <f t="shared" si="13"/>
        <v>30.33035244444093</v>
      </c>
      <c r="CX16" s="59">
        <f t="shared" si="14"/>
        <v>287.55285138616972</v>
      </c>
      <c r="CY16" s="59">
        <f ca="1">AVERAGE(OFFSET($CX$3,0,0,'Données projet'!$E$13+1,1))-AVERAGE(OFFSET($H$3,0,0,'Données projet'!$E$13+1,1))</f>
        <v>201.71903756761543</v>
      </c>
      <c r="CZ16" s="59">
        <f t="shared" si="42"/>
        <v>200.66422845182711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2.9235042736666665</v>
      </c>
      <c r="DO16" s="12">
        <f>IF('Données projet'!$A$166&gt;35,DO15+DN16-DW15,IF(A16&lt;'Données projet'!$A$166,$DL$205^A16,IF(A16='Données projet'!$A$166,'Données projet'!$B$166,DO15+DN16-DW15)))</f>
        <v>6.9498830209820754</v>
      </c>
      <c r="DP16" s="17">
        <f>DO16*VLOOKUP('Données projet'!$B$14,Paramètres!$A$1:$I$89,3,0)*VLOOKUP('Données projet'!$B$14,Paramètres!$A$1:$I$89,5,0)</f>
        <v>6.6135086827665424</v>
      </c>
      <c r="DQ16" s="13">
        <f t="shared" si="43"/>
        <v>2.4461648228977642</v>
      </c>
      <c r="DR16" s="20">
        <f t="shared" si="16"/>
        <v>15.778931355698667</v>
      </c>
      <c r="DS16" s="59">
        <f t="shared" si="17"/>
        <v>273.00143029742748</v>
      </c>
      <c r="DT16" s="59">
        <f ca="1">AVERAGE(OFFSET($DS$3,0,0,'Données projet'!$E$14+1,1))-AVERAGE(OFFSET($H$3,0,0,'Données projet'!$E$14+1,1))</f>
        <v>502.4879901989737</v>
      </c>
      <c r="DU16" s="59">
        <f t="shared" si="44"/>
        <v>226.06453328626355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35.256410256410255</v>
      </c>
      <c r="EJ16" s="12">
        <f>IF('Données projet'!$A$192&gt;35,EJ15+EI16-ER15,IF(A16&lt;'Données projet'!$A$192,$EG$205^A16,IF(A16='Données projet'!$A$192,'Données projet'!$B$192,EJ15+EI16-ER15)))</f>
        <v>237.17948717948715</v>
      </c>
      <c r="EK16" s="17">
        <f>EJ16*VLOOKUP('Données projet'!$B$15,Paramètres!$A$1:$I$89,3,0)*VLOOKUP('Données projet'!$B$15,Paramètres!$A$1:$I$89,5,0)</f>
        <v>135.79</v>
      </c>
      <c r="EL16" s="13">
        <f t="shared" si="45"/>
        <v>35.330846476074896</v>
      </c>
      <c r="EM16" s="20">
        <f t="shared" si="19"/>
        <v>298.03547427916374</v>
      </c>
      <c r="EN16" s="59">
        <f t="shared" si="20"/>
        <v>555.25797322089261</v>
      </c>
      <c r="EO16" s="59">
        <f ca="1">AVERAGE(OFFSET($EN$3,0,0,'Données projet'!$E$15+1,1))-AVERAGE(OFFSET($H$3,0,0,'Données projet'!$E$15+1,1))</f>
        <v>192.76157155207764</v>
      </c>
      <c r="EP16" s="59">
        <f t="shared" si="46"/>
        <v>413.66427458788348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65.818257287138167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1.05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3.85</v>
      </c>
      <c r="H17" s="66">
        <f t="shared" si="1"/>
        <v>241.26666666666665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2.9235042736666665</v>
      </c>
      <c r="N17" s="13">
        <f>IF('Données projet'!$A$36&gt;35,N16+M17-V16,IF(A17&lt;'Données projet'!$A$36,$K$205^A17,IF(A17='Données projet'!$A$36,'Données projet'!$B$36,N16+M17-V16)))</f>
        <v>8.0676118328521742</v>
      </c>
      <c r="O17" s="13">
        <f>N17*VLOOKUP('Données projet'!$B$9,Paramètres!$A$1:$I$89,3,0)*VLOOKUP('Données projet'!$B$9,Paramètres!$A$1:$I$89,5,0)</f>
        <v>7.2995751863646472</v>
      </c>
      <c r="P17" s="13">
        <f t="shared" si="33"/>
        <v>2.6690813582387389</v>
      </c>
      <c r="Q17" s="20">
        <f t="shared" si="2"/>
        <v>17.362076815184228</v>
      </c>
      <c r="R17" s="59">
        <f t="shared" si="0"/>
        <v>276.07279223180609</v>
      </c>
      <c r="S17" s="59">
        <f ca="1">AVERAGE(OFFSET($R$3,0,0,'Données projet'!$E$9+1,1))-AVERAGE(OFFSET($H$3,0,0,'Données projet'!$E$9+1,1))</f>
        <v>480.34707165277229</v>
      </c>
      <c r="T17" s="59">
        <f t="shared" si="34"/>
        <v>217.17128038304531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9.5385150856707419</v>
      </c>
      <c r="AK17" s="13">
        <f t="shared" si="35"/>
        <v>3.3808139681206768</v>
      </c>
      <c r="AL17" s="20">
        <f t="shared" si="4"/>
        <v>22.501164768686721</v>
      </c>
      <c r="AM17" s="59">
        <f t="shared" si="5"/>
        <v>281.21188018530859</v>
      </c>
      <c r="AN17" s="59">
        <f ca="1">AVERAGE(OFFSET($AM$3,0,0,'Données projet'!$E$10+1,1))-AVERAGE(OFFSET($H$3,0,0,'Données projet'!$E$10+1,1))</f>
        <v>596.64394969449609</v>
      </c>
      <c r="AO17" s="59">
        <f t="shared" si="36"/>
        <v>312.55704723516362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384.56308068089714</v>
      </c>
      <c r="BI17" s="59">
        <f ca="1">AVERAGE(OFFSET($BH$3,0,0,'Données projet'!$E$11+1,1))-AVERAGE(OFFSET($H$3,0,0,'Données projet'!$E$11+1,1))</f>
        <v>360.53625471540249</v>
      </c>
      <c r="BJ17" s="59">
        <f t="shared" si="38"/>
        <v>326.66299410556076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43.121520000000004</v>
      </c>
      <c r="CA17" s="13">
        <f t="shared" si="39"/>
        <v>12.822353245070515</v>
      </c>
      <c r="CB17" s="20">
        <f t="shared" si="10"/>
        <v>97.435579235164482</v>
      </c>
      <c r="CC17" s="59">
        <f t="shared" si="11"/>
        <v>356.14629465178632</v>
      </c>
      <c r="CD17" s="59">
        <f ca="1">AVERAGE(OFFSET($CC$3,0,0,'Données projet'!$E$12+1,1))-AVERAGE(OFFSET($H$3,0,0,'Données projet'!$E$12+1,1))</f>
        <v>358.39045200457502</v>
      </c>
      <c r="CE17" s="59">
        <f t="shared" si="40"/>
        <v>349.48764057925109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1.7094017094017093</v>
      </c>
      <c r="CT17" s="12">
        <f>IF('Données projet'!$A$140&gt;35,CT16+CS17-DB16,IF(A17&lt;'Données projet'!$A$140,$CQ$205^A17,IF(A17='Données projet'!$A$140,'Données projet'!$B$140,CT16+CS17-DB16)))</f>
        <v>20.65410434591935</v>
      </c>
      <c r="CU17" s="17">
        <f>CT17*VLOOKUP('Données projet'!$B$13,Paramètres!$A$1:$I$89,3,0)*VLOOKUP('Données projet'!$B$13,Paramètres!$A$1:$I$89,5,0)</f>
        <v>16.110201389817092</v>
      </c>
      <c r="CV17" s="13">
        <f t="shared" si="41"/>
        <v>5.3721296027756829</v>
      </c>
      <c r="CW17" s="20">
        <f t="shared" si="13"/>
        <v>37.415059812099081</v>
      </c>
      <c r="CX17" s="59">
        <f t="shared" si="14"/>
        <v>296.1257752287209</v>
      </c>
      <c r="CY17" s="59">
        <f ca="1">AVERAGE(OFFSET($CX$3,0,0,'Données projet'!$E$13+1,1))-AVERAGE(OFFSET($H$3,0,0,'Données projet'!$E$13+1,1))</f>
        <v>201.71903756761543</v>
      </c>
      <c r="CZ17" s="59">
        <f t="shared" si="42"/>
        <v>200.66422845182711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2.9235042736666665</v>
      </c>
      <c r="DO17" s="12">
        <f>IF('Données projet'!$A$166&gt;35,DO16+DN17-DW16,IF(A17&lt;'Données projet'!$A$166,$DL$205^A17,IF(A17='Données projet'!$A$166,'Données projet'!$B$166,DO16+DN17-DW16)))</f>
        <v>8.0676118328521742</v>
      </c>
      <c r="DP17" s="17">
        <f>DO17*VLOOKUP('Données projet'!$B$14,Paramètres!$A$1:$I$89,3,0)*VLOOKUP('Données projet'!$B$14,Paramètres!$A$1:$I$89,5,0)</f>
        <v>7.6771394201421286</v>
      </c>
      <c r="DQ17" s="13">
        <f t="shared" si="43"/>
        <v>2.7907072403919244</v>
      </c>
      <c r="DR17" s="20">
        <f t="shared" si="16"/>
        <v>18.231499600430144</v>
      </c>
      <c r="DS17" s="59">
        <f t="shared" si="17"/>
        <v>276.94221501705198</v>
      </c>
      <c r="DT17" s="59">
        <f ca="1">AVERAGE(OFFSET($DS$3,0,0,'Données projet'!$E$14+1,1))-AVERAGE(OFFSET($H$3,0,0,'Données projet'!$E$14+1,1))</f>
        <v>502.4879901989737</v>
      </c>
      <c r="DU17" s="59">
        <f t="shared" si="44"/>
        <v>226.06453328626355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>
        <f>VLOOKUP(A17,'Données projet'!$A$191:$I$211,2,0)</f>
        <v>272.4358974358974</v>
      </c>
      <c r="EH17" s="12">
        <f>VLOOKUP(A17,'Données projet'!$A$191:$I$211,9,0)</f>
        <v>35.256410256410255</v>
      </c>
      <c r="EI17" s="12">
        <f t="array" ref="EI17">INDEX(EH:EH,MIN(IF(ISNUMBER(EH17:EH213),ROW(EH17:EH213),"")))</f>
        <v>35.256410256410255</v>
      </c>
      <c r="EJ17" s="12">
        <f>IF('Données projet'!$A$192&gt;35,EJ16+EI17-ER16,IF(A17&lt;'Données projet'!$A$192,$EG$205^A17,IF(A17='Données projet'!$A$192,'Données projet'!$B$192,EJ16+EI17-ER16)))</f>
        <v>272.4358974358974</v>
      </c>
      <c r="EK17" s="17">
        <f>EJ17*VLOOKUP('Données projet'!$B$15,Paramètres!$A$1:$I$89,3,0)*VLOOKUP('Données projet'!$B$15,Paramètres!$A$1:$I$89,5,0)</f>
        <v>155.97499999999999</v>
      </c>
      <c r="EL17" s="13">
        <f t="shared" si="45"/>
        <v>39.933323632760242</v>
      </c>
      <c r="EM17" s="20">
        <f t="shared" si="19"/>
        <v>341.20699699372409</v>
      </c>
      <c r="EN17" s="59">
        <f t="shared" si="20"/>
        <v>599.91771241034598</v>
      </c>
      <c r="EO17" s="59">
        <f ca="1">AVERAGE(OFFSET($EN$3,0,0,'Données projet'!$E$15+1,1))-AVERAGE(OFFSET($H$3,0,0,'Données projet'!$E$15+1,1))</f>
        <v>192.76157155207764</v>
      </c>
      <c r="EP17" s="59">
        <f t="shared" si="46"/>
        <v>413.66427458788348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65.890801174230191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1.05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3.85</v>
      </c>
      <c r="H18" s="66">
        <f t="shared" si="1"/>
        <v>241.26666666666665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2.9235042736666665</v>
      </c>
      <c r="N18" s="13">
        <f>IF('Données projet'!$A$36&gt;35,N17+M18-V17,IF(A18&lt;'Données projet'!$A$36,$K$205^A18,IF(A18='Données projet'!$A$36,'Données projet'!$B$36,N17+M18-V17)))</f>
        <v>9.3651016123691768</v>
      </c>
      <c r="O18" s="13">
        <f>N18*VLOOKUP('Données projet'!$B$9,Paramètres!$A$1:$I$89,3,0)*VLOOKUP('Données projet'!$B$9,Paramètres!$A$1:$I$89,5,0)</f>
        <v>8.4735439388716305</v>
      </c>
      <c r="P18" s="13">
        <f t="shared" si="33"/>
        <v>3.0450215790480555</v>
      </c>
      <c r="Q18" s="20">
        <f t="shared" si="2"/>
        <v>20.061501610376787</v>
      </c>
      <c r="R18" s="59">
        <f t="shared" si="0"/>
        <v>280.25581909628187</v>
      </c>
      <c r="S18" s="59">
        <f ca="1">AVERAGE(OFFSET($R$3,0,0,'Données projet'!$E$9+1,1))-AVERAGE(OFFSET($H$3,0,0,'Données projet'!$E$9+1,1))</f>
        <v>480.34707165277229</v>
      </c>
      <c r="T18" s="59">
        <f t="shared" si="34"/>
        <v>217.17128038304531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11.194698477404382</v>
      </c>
      <c r="AK18" s="13">
        <f t="shared" si="35"/>
        <v>3.8945691741119406</v>
      </c>
      <c r="AL18" s="20">
        <f t="shared" si="4"/>
        <v>26.280474493057593</v>
      </c>
      <c r="AM18" s="59">
        <f t="shared" si="5"/>
        <v>286.47479197896263</v>
      </c>
      <c r="AN18" s="59">
        <f ca="1">AVERAGE(OFFSET($AM$3,0,0,'Données projet'!$E$10+1,1))-AVERAGE(OFFSET($H$3,0,0,'Données projet'!$E$10+1,1))</f>
        <v>596.64394969449609</v>
      </c>
      <c r="AO18" s="59">
        <f t="shared" si="36"/>
        <v>312.55704723516362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402.82208202931133</v>
      </c>
      <c r="BI18" s="59">
        <f ca="1">AVERAGE(OFFSET($BH$3,0,0,'Données projet'!$E$11+1,1))-AVERAGE(OFFSET($H$3,0,0,'Données projet'!$E$11+1,1))</f>
        <v>360.53625471540249</v>
      </c>
      <c r="BJ18" s="59">
        <f t="shared" si="38"/>
        <v>326.66299410556076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376.48459195150878</v>
      </c>
      <c r="CD18" s="59">
        <f ca="1">AVERAGE(OFFSET($CC$3,0,0,'Données projet'!$E$12+1,1))-AVERAGE(OFFSET($H$3,0,0,'Données projet'!$E$12+1,1))</f>
        <v>358.39045200457502</v>
      </c>
      <c r="CE18" s="59">
        <f t="shared" si="40"/>
        <v>349.48764057925109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25.641025641025639</v>
      </c>
      <c r="CR18" s="12">
        <f>VLOOKUP(A18,'Données projet'!$A$139:$I$159,9,0)</f>
        <v>1.7094017094017093</v>
      </c>
      <c r="CS18" s="12">
        <f t="array" ref="CS18">INDEX(CR:CR,MIN(IF(ISNUMBER(CR18:CR214),ROW(CR18:CR214),"")))</f>
        <v>1.7094017094017093</v>
      </c>
      <c r="CT18" s="12">
        <f>IF('Données projet'!$A$140&gt;35,CT17+CS18-DB17,IF(A18&lt;'Données projet'!$A$140,$CQ$205^A18,IF(A18='Données projet'!$A$140,'Données projet'!$B$140,CT17+CS18-DB17)))</f>
        <v>25.641025641025639</v>
      </c>
      <c r="CU18" s="17">
        <f>CT18*VLOOKUP('Données projet'!$B$13,Paramètres!$A$1:$I$89,3,0)*VLOOKUP('Données projet'!$B$13,Paramètres!$A$1:$I$89,5,0)</f>
        <v>20</v>
      </c>
      <c r="CV18" s="13">
        <f t="shared" si="41"/>
        <v>6.5034254923678825</v>
      </c>
      <c r="CW18" s="20">
        <f t="shared" si="13"/>
        <v>46.160132732540724</v>
      </c>
      <c r="CX18" s="59">
        <f t="shared" si="14"/>
        <v>306.35445021844578</v>
      </c>
      <c r="CY18" s="59">
        <f ca="1">AVERAGE(OFFSET($CX$3,0,0,'Données projet'!$E$13+1,1))-AVERAGE(OFFSET($H$3,0,0,'Données projet'!$E$13+1,1))</f>
        <v>201.71903756761543</v>
      </c>
      <c r="CZ18" s="59">
        <f t="shared" si="42"/>
        <v>200.66422845182711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1.9230769230769229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2.9235042736666665</v>
      </c>
      <c r="DO18" s="12">
        <f>IF('Données projet'!$A$166&gt;35,DO17+DN18-DW17,IF(A18&lt;'Données projet'!$A$166,$DL$205^A18,IF(A18='Données projet'!$A$166,'Données projet'!$B$166,DO17+DN18-DW17)))</f>
        <v>9.3651016123691768</v>
      </c>
      <c r="DP18" s="17">
        <f>DO18*VLOOKUP('Données projet'!$B$14,Paramètres!$A$1:$I$89,3,0)*VLOOKUP('Données projet'!$B$14,Paramètres!$A$1:$I$89,5,0)</f>
        <v>8.9118306943305097</v>
      </c>
      <c r="DQ18" s="13">
        <f t="shared" si="43"/>
        <v>3.1837784717834627</v>
      </c>
      <c r="DR18" s="20">
        <f t="shared" si="16"/>
        <v>21.066519297648501</v>
      </c>
      <c r="DS18" s="59">
        <f t="shared" si="17"/>
        <v>281.26083678355354</v>
      </c>
      <c r="DT18" s="59">
        <f ca="1">AVERAGE(OFFSET($DS$3,0,0,'Données projet'!$E$14+1,1))-AVERAGE(OFFSET($H$3,0,0,'Données projet'!$E$14+1,1))</f>
        <v>502.4879901989737</v>
      </c>
      <c r="DU18" s="59">
        <f t="shared" si="44"/>
        <v>226.06453328626355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7.0512820512820555</v>
      </c>
      <c r="EJ18" s="12">
        <f>IF('Données projet'!$A$192&gt;35,EJ17+EI18-ER17,IF(A18&lt;'Données projet'!$A$192,$EG$205^A18,IF(A18='Données projet'!$A$192,'Données projet'!$B$192,EJ17+EI18-ER17)))</f>
        <v>279.48717948717945</v>
      </c>
      <c r="EK18" s="17">
        <f>EJ18*VLOOKUP('Données projet'!$B$15,Paramètres!$A$1:$I$89,3,0)*VLOOKUP('Données projet'!$B$15,Paramètres!$A$1:$I$89,5,0)</f>
        <v>160.01199999999997</v>
      </c>
      <c r="EL18" s="13">
        <f t="shared" si="45"/>
        <v>40.845222028377705</v>
      </c>
      <c r="EM18" s="20">
        <f t="shared" si="19"/>
        <v>349.8263283660911</v>
      </c>
      <c r="EN18" s="59">
        <f t="shared" si="20"/>
        <v>610.02064585199616</v>
      </c>
      <c r="EO18" s="59">
        <f ca="1">AVERAGE(OFFSET($EN$3,0,0,'Données projet'!$E$15+1,1))-AVERAGE(OFFSET($H$3,0,0,'Données projet'!$E$15+1,1))</f>
        <v>192.76157155207764</v>
      </c>
      <c r="EP18" s="59">
        <f t="shared" si="46"/>
        <v>413.66427458788348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65.962086587065016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1.05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3.85</v>
      </c>
      <c r="H19" s="66">
        <f t="shared" si="1"/>
        <v>241.26666666666665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2.9235042736666665</v>
      </c>
      <c r="N19" s="13">
        <f>IF('Données projet'!$A$36&gt;35,N18+M19-V18,IF(A19&lt;'Données projet'!$A$36,$K$205^A19,IF(A19='Données projet'!$A$36,'Données projet'!$B$36,N18+M19-V18)))</f>
        <v>10.871262776036788</v>
      </c>
      <c r="O19" s="13">
        <f>N19*VLOOKUP('Données projet'!$B$9,Paramètres!$A$1:$I$89,3,0)*VLOOKUP('Données projet'!$B$9,Paramètres!$A$1:$I$89,5,0)</f>
        <v>9.8363185597580856</v>
      </c>
      <c r="P19" s="13">
        <f t="shared" si="33"/>
        <v>3.4739129956633414</v>
      </c>
      <c r="Q19" s="20">
        <f t="shared" si="2"/>
        <v>23.181986625692318</v>
      </c>
      <c r="R19" s="59">
        <f t="shared" si="0"/>
        <v>284.85537182489185</v>
      </c>
      <c r="S19" s="59">
        <f ca="1">AVERAGE(OFFSET($R$3,0,0,'Données projet'!$E$9+1,1))-AVERAGE(OFFSET($H$3,0,0,'Données projet'!$E$9+1,1))</f>
        <v>480.34707165277229</v>
      </c>
      <c r="T19" s="59">
        <f t="shared" si="34"/>
        <v>217.17128038304531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13.138446904410113</v>
      </c>
      <c r="AK19" s="13">
        <f t="shared" si="35"/>
        <v>4.486395641690498</v>
      </c>
      <c r="AL19" s="20">
        <f t="shared" si="4"/>
        <v>30.696600767791892</v>
      </c>
      <c r="AM19" s="59">
        <f t="shared" si="5"/>
        <v>292.36998596699141</v>
      </c>
      <c r="AN19" s="59">
        <f ca="1">AVERAGE(OFFSET($AM$3,0,0,'Données projet'!$E$10+1,1))-AVERAGE(OFFSET($H$3,0,0,'Données projet'!$E$10+1,1))</f>
        <v>596.64394969449609</v>
      </c>
      <c r="AO19" s="59">
        <f t="shared" si="36"/>
        <v>312.55704723516362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425.58402376927097</v>
      </c>
      <c r="BI19" s="59">
        <f ca="1">AVERAGE(OFFSET($BH$3,0,0,'Données projet'!$E$11+1,1))-AVERAGE(OFFSET($H$3,0,0,'Données projet'!$E$11+1,1))</f>
        <v>360.53625471540249</v>
      </c>
      <c r="BJ19" s="59">
        <f t="shared" si="38"/>
        <v>326.66299410556076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346.13828007041678</v>
      </c>
      <c r="CD19" s="59">
        <f ca="1">AVERAGE(OFFSET($CC$3,0,0,'Données projet'!$E$12+1,1))-AVERAGE(OFFSET($H$3,0,0,'Données projet'!$E$12+1,1))</f>
        <v>358.39045200457502</v>
      </c>
      <c r="CE19" s="59">
        <f t="shared" si="40"/>
        <v>349.48764057925109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6.1538461538461533</v>
      </c>
      <c r="CT19" s="12">
        <f>IF('Données projet'!$A$140&gt;35,CT18+CS19-DB18,IF(A19&lt;'Données projet'!$A$140,$CQ$205^A19,IF(A19='Données projet'!$A$140,'Données projet'!$B$140,CT18+CS19-DB18)))</f>
        <v>29.871794871794869</v>
      </c>
      <c r="CU19" s="17">
        <f>CT19*VLOOKUP('Données projet'!$B$13,Paramètres!$A$1:$I$89,3,0)*VLOOKUP('Données projet'!$B$13,Paramètres!$A$1:$I$89,5,0)</f>
        <v>23.299999999999997</v>
      </c>
      <c r="CV19" s="13">
        <f t="shared" si="41"/>
        <v>7.4429955046030809</v>
      </c>
      <c r="CW19" s="20">
        <f t="shared" si="13"/>
        <v>53.544050503850364</v>
      </c>
      <c r="CX19" s="59">
        <f t="shared" si="14"/>
        <v>315.21743570304989</v>
      </c>
      <c r="CY19" s="59">
        <f ca="1">AVERAGE(OFFSET($CX$3,0,0,'Données projet'!$E$13+1,1))-AVERAGE(OFFSET($H$3,0,0,'Données projet'!$E$13+1,1))</f>
        <v>201.71903756761543</v>
      </c>
      <c r="CZ19" s="59">
        <f t="shared" si="42"/>
        <v>200.66422845182711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2.9235042736666665</v>
      </c>
      <c r="DO19" s="12">
        <f>IF('Données projet'!$A$166&gt;35,DO18+DN19-DW18,IF(A19&lt;'Données projet'!$A$166,$DL$205^A19,IF(A19='Données projet'!$A$166,'Données projet'!$B$166,DO18+DN19-DW18)))</f>
        <v>10.871262776036788</v>
      </c>
      <c r="DP19" s="17">
        <f>DO19*VLOOKUP('Données projet'!$B$14,Paramètres!$A$1:$I$89,3,0)*VLOOKUP('Données projet'!$B$14,Paramètres!$A$1:$I$89,5,0)</f>
        <v>10.345093657676607</v>
      </c>
      <c r="DQ19" s="13">
        <f t="shared" si="43"/>
        <v>3.6322138025371262</v>
      </c>
      <c r="DR19" s="20">
        <f t="shared" si="16"/>
        <v>24.343810493205584</v>
      </c>
      <c r="DS19" s="59">
        <f t="shared" si="17"/>
        <v>286.0171956924051</v>
      </c>
      <c r="DT19" s="59">
        <f ca="1">AVERAGE(OFFSET($DS$3,0,0,'Données projet'!$E$14+1,1))-AVERAGE(OFFSET($H$3,0,0,'Données projet'!$E$14+1,1))</f>
        <v>502.4879901989737</v>
      </c>
      <c r="DU19" s="59">
        <f t="shared" si="44"/>
        <v>226.06453328626355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7.0512820512820555</v>
      </c>
      <c r="EJ19" s="12">
        <f>IF('Données projet'!$A$192&gt;35,EJ18+EI19-ER18,IF(A19&lt;'Données projet'!$A$192,$EG$205^A19,IF(A19='Données projet'!$A$192,'Données projet'!$B$192,EJ18+EI19-ER18)))</f>
        <v>286.53846153846149</v>
      </c>
      <c r="EK19" s="17">
        <f>EJ19*VLOOKUP('Données projet'!$B$15,Paramètres!$A$1:$I$89,3,0)*VLOOKUP('Données projet'!$B$15,Paramètres!$A$1:$I$89,5,0)</f>
        <v>164.04899999999998</v>
      </c>
      <c r="EL19" s="13">
        <f t="shared" si="45"/>
        <v>41.754446083003195</v>
      </c>
      <c r="EM19" s="20">
        <f t="shared" si="19"/>
        <v>358.44100192789716</v>
      </c>
      <c r="EN19" s="59">
        <f t="shared" si="20"/>
        <v>620.11438712709673</v>
      </c>
      <c r="EO19" s="59">
        <f ca="1">AVERAGE(OFFSET($EN$3,0,0,'Données projet'!$E$15+1,1))-AVERAGE(OFFSET($H$3,0,0,'Données projet'!$E$15+1,1))</f>
        <v>192.76157155207764</v>
      </c>
      <c r="EP19" s="59">
        <f t="shared" si="46"/>
        <v>413.66427458788348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66.032135357357447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1.05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3.85</v>
      </c>
      <c r="H20" s="66">
        <f t="shared" si="1"/>
        <v>241.26666666666665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2.9235042736666665</v>
      </c>
      <c r="N20" s="13">
        <f>IF('Données projet'!$A$36&gt;35,N19+M20-V19,IF(A20&lt;'Données projet'!$A$36,$K$205^A20,IF(A20='Données projet'!$A$36,'Données projet'!$B$36,N19+M20-V19)))</f>
        <v>12.619655315810814</v>
      </c>
      <c r="O20" s="13">
        <f>N20*VLOOKUP('Données projet'!$B$9,Paramètres!$A$1:$I$89,3,0)*VLOOKUP('Données projet'!$B$9,Paramètres!$A$1:$I$89,5,0)</f>
        <v>11.418264129745625</v>
      </c>
      <c r="P20" s="13">
        <f t="shared" si="33"/>
        <v>3.9632137862259107</v>
      </c>
      <c r="Q20" s="20">
        <f t="shared" si="2"/>
        <v>26.78940737031709</v>
      </c>
      <c r="R20" s="59">
        <f t="shared" si="0"/>
        <v>289.93740458776153</v>
      </c>
      <c r="S20" s="59">
        <f ca="1">AVERAGE(OFFSET($R$3,0,0,'Données projet'!$E$9+1,1))-AVERAGE(OFFSET($H$3,0,0,'Données projet'!$E$9+1,1))</f>
        <v>480.34707165277229</v>
      </c>
      <c r="T20" s="59">
        <f t="shared" si="34"/>
        <v>217.17128038304531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15.419690615912625</v>
      </c>
      <c r="AK20" s="13">
        <f t="shared" si="35"/>
        <v>5.1681572348420586</v>
      </c>
      <c r="AL20" s="20">
        <f t="shared" si="4"/>
        <v>35.857168340064412</v>
      </c>
      <c r="AM20" s="59">
        <f t="shared" si="5"/>
        <v>299.00516555750886</v>
      </c>
      <c r="AN20" s="59">
        <f ca="1">AVERAGE(OFFSET($AM$3,0,0,'Données projet'!$E$10+1,1))-AVERAGE(OFFSET($H$3,0,0,'Données projet'!$E$10+1,1))</f>
        <v>596.64394969449609</v>
      </c>
      <c r="AO20" s="59">
        <f t="shared" si="36"/>
        <v>312.55704723516362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448.27613520220575</v>
      </c>
      <c r="BI20" s="59">
        <f ca="1">AVERAGE(OFFSET($BH$3,0,0,'Données projet'!$E$11+1,1))-AVERAGE(OFFSET($H$3,0,0,'Données projet'!$E$11+1,1))</f>
        <v>360.53625471540249</v>
      </c>
      <c r="BJ20" s="59">
        <f t="shared" si="38"/>
        <v>326.66299410556076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371.76658521496012</v>
      </c>
      <c r="CD20" s="59">
        <f ca="1">AVERAGE(OFFSET($CC$3,0,0,'Données projet'!$E$12+1,1))-AVERAGE(OFFSET($H$3,0,0,'Données projet'!$E$12+1,1))</f>
        <v>358.39045200457502</v>
      </c>
      <c r="CE20" s="59">
        <f t="shared" si="40"/>
        <v>349.48764057925109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6.1538461538461533</v>
      </c>
      <c r="CT20" s="12">
        <f>IF('Données projet'!$A$140&gt;35,CT19+CS20-DB19,IF(A20&lt;'Données projet'!$A$140,$CQ$205^A20,IF(A20='Données projet'!$A$140,'Données projet'!$B$140,CT19+CS20-DB19)))</f>
        <v>36.025641025641022</v>
      </c>
      <c r="CU20" s="17">
        <f>CT20*VLOOKUP('Données projet'!$B$13,Paramètres!$A$1:$I$89,3,0)*VLOOKUP('Données projet'!$B$13,Paramètres!$A$1:$I$89,5,0)</f>
        <v>28.099999999999998</v>
      </c>
      <c r="CV20" s="13">
        <f t="shared" si="41"/>
        <v>8.7827186210663637</v>
      </c>
      <c r="CW20" s="20">
        <f t="shared" si="13"/>
        <v>64.237401598357238</v>
      </c>
      <c r="CX20" s="59">
        <f t="shared" si="14"/>
        <v>327.38539881580169</v>
      </c>
      <c r="CY20" s="59">
        <f ca="1">AVERAGE(OFFSET($CX$3,0,0,'Données projet'!$E$13+1,1))-AVERAGE(OFFSET($H$3,0,0,'Données projet'!$E$13+1,1))</f>
        <v>201.71903756761543</v>
      </c>
      <c r="CZ20" s="59">
        <f t="shared" si="42"/>
        <v>200.66422845182711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2.9235042736666665</v>
      </c>
      <c r="DO20" s="12">
        <f>IF('Données projet'!$A$166&gt;35,DO19+DN20-DW19,IF(A20&lt;'Données projet'!$A$166,$DL$205^A20,IF(A20='Données projet'!$A$166,'Données projet'!$B$166,DO19+DN20-DW19)))</f>
        <v>12.619655315810814</v>
      </c>
      <c r="DP20" s="17">
        <f>DO20*VLOOKUP('Données projet'!$B$14,Paramètres!$A$1:$I$89,3,0)*VLOOKUP('Données projet'!$B$14,Paramètres!$A$1:$I$89,5,0)</f>
        <v>12.008863998525571</v>
      </c>
      <c r="DQ20" s="13">
        <f t="shared" si="43"/>
        <v>4.143811268360917</v>
      </c>
      <c r="DR20" s="20">
        <f t="shared" si="16"/>
        <v>28.1325760898273</v>
      </c>
      <c r="DS20" s="59">
        <f t="shared" si="17"/>
        <v>291.28057330727177</v>
      </c>
      <c r="DT20" s="59">
        <f ca="1">AVERAGE(OFFSET($DS$3,0,0,'Données projet'!$E$14+1,1))-AVERAGE(OFFSET($H$3,0,0,'Données projet'!$E$14+1,1))</f>
        <v>502.4879901989737</v>
      </c>
      <c r="DU20" s="59">
        <f t="shared" si="44"/>
        <v>226.06453328626355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7.0512820512820555</v>
      </c>
      <c r="EJ20" s="12">
        <f>IF('Données projet'!$A$192&gt;35,EJ19+EI20-ER19,IF(A20&lt;'Données projet'!$A$192,$EG$205^A20,IF(A20='Données projet'!$A$192,'Données projet'!$B$192,EJ19+EI20-ER19)))</f>
        <v>293.58974358974353</v>
      </c>
      <c r="EK20" s="17">
        <f>EJ20*VLOOKUP('Données projet'!$B$15,Paramètres!$A$1:$I$89,3,0)*VLOOKUP('Données projet'!$B$15,Paramètres!$A$1:$I$89,5,0)</f>
        <v>168.08599999999998</v>
      </c>
      <c r="EL20" s="13">
        <f t="shared" si="45"/>
        <v>42.66106917847457</v>
      </c>
      <c r="EM20" s="20">
        <f t="shared" si="19"/>
        <v>367.05114548584316</v>
      </c>
      <c r="EN20" s="59">
        <f t="shared" si="20"/>
        <v>630.19914270328763</v>
      </c>
      <c r="EO20" s="59">
        <f ca="1">AVERAGE(OFFSET($EN$3,0,0,'Données projet'!$E$15+1,1))-AVERAGE(OFFSET($H$3,0,0,'Données projet'!$E$15+1,1))</f>
        <v>192.76157155207764</v>
      </c>
      <c r="EP20" s="59">
        <f t="shared" si="46"/>
        <v>413.66427458788348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66.100968938090901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1.05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3.85</v>
      </c>
      <c r="H21" s="66">
        <f t="shared" si="1"/>
        <v>241.26666666666665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2.9235042736666665</v>
      </c>
      <c r="N21" s="13">
        <f>IF('Données projet'!$A$36&gt;35,N20+M21-V20,IF(A21&lt;'Données projet'!$A$36,$K$205^A21,IF(A21='Données projet'!$A$36,'Données projet'!$B$36,N20+M21-V20)))</f>
        <v>14.649236576353841</v>
      </c>
      <c r="O21" s="13">
        <f>N21*VLOOKUP('Données projet'!$B$9,Paramètres!$A$1:$I$89,3,0)*VLOOKUP('Données projet'!$B$9,Paramètres!$A$1:$I$89,5,0)</f>
        <v>13.254629254284955</v>
      </c>
      <c r="P21" s="13">
        <f t="shared" si="33"/>
        <v>4.5214326135798553</v>
      </c>
      <c r="Q21" s="20">
        <f t="shared" si="2"/>
        <v>30.95997441986454</v>
      </c>
      <c r="R21" s="59">
        <f t="shared" si="0"/>
        <v>295.5782052568519</v>
      </c>
      <c r="S21" s="59">
        <f ca="1">AVERAGE(OFFSET($R$3,0,0,'Données projet'!$E$9+1,1))-AVERAGE(OFFSET($H$3,0,0,'Données projet'!$E$9+1,1))</f>
        <v>480.34707165277229</v>
      </c>
      <c r="T21" s="59">
        <f t="shared" si="34"/>
        <v>217.17128038304531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18.097029307981138</v>
      </c>
      <c r="AK21" s="13">
        <f t="shared" si="35"/>
        <v>5.9535206738890976</v>
      </c>
      <c r="AL21" s="20">
        <f t="shared" si="4"/>
        <v>41.888041218423993</v>
      </c>
      <c r="AM21" s="59">
        <f t="shared" si="5"/>
        <v>306.50627205541139</v>
      </c>
      <c r="AN21" s="59">
        <f ca="1">AVERAGE(OFFSET($AM$3,0,0,'Données projet'!$E$10+1,1))-AVERAGE(OFFSET($H$3,0,0,'Données projet'!$E$10+1,1))</f>
        <v>596.64394969449609</v>
      </c>
      <c r="AO21" s="59">
        <f t="shared" si="36"/>
        <v>312.55704723516362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470.90704554044521</v>
      </c>
      <c r="BI21" s="59">
        <f ca="1">AVERAGE(OFFSET($BH$3,0,0,'Données projet'!$E$11+1,1))-AVERAGE(OFFSET($H$3,0,0,'Données projet'!$E$11+1,1))</f>
        <v>360.53625471540249</v>
      </c>
      <c r="BJ21" s="59">
        <f t="shared" si="38"/>
        <v>326.66299410556076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397.2576815314967</v>
      </c>
      <c r="CD21" s="59">
        <f ca="1">AVERAGE(OFFSET($CC$3,0,0,'Données projet'!$E$12+1,1))-AVERAGE(OFFSET($H$3,0,0,'Données projet'!$E$12+1,1))</f>
        <v>358.39045200457502</v>
      </c>
      <c r="CE21" s="59">
        <f t="shared" si="40"/>
        <v>349.48764057925109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6.1538461538461533</v>
      </c>
      <c r="CT21" s="12">
        <f>IF('Données projet'!$A$140&gt;35,CT20+CS21-DB20,IF(A21&lt;'Données projet'!$A$140,$CQ$205^A21,IF(A21='Données projet'!$A$140,'Données projet'!$B$140,CT20+CS21-DB20)))</f>
        <v>42.179487179487175</v>
      </c>
      <c r="CU21" s="17">
        <f>CT21*VLOOKUP('Données projet'!$B$13,Paramètres!$A$1:$I$89,3,0)*VLOOKUP('Données projet'!$B$13,Paramètres!$A$1:$I$89,5,0)</f>
        <v>32.9</v>
      </c>
      <c r="CV21" s="13">
        <f t="shared" si="41"/>
        <v>10.09593068723915</v>
      </c>
      <c r="CW21" s="20">
        <f t="shared" si="13"/>
        <v>74.884579280274849</v>
      </c>
      <c r="CX21" s="59">
        <f t="shared" si="14"/>
        <v>339.50281011726224</v>
      </c>
      <c r="CY21" s="59">
        <f ca="1">AVERAGE(OFFSET($CX$3,0,0,'Données projet'!$E$13+1,1))-AVERAGE(OFFSET($H$3,0,0,'Données projet'!$E$13+1,1))</f>
        <v>201.71903756761543</v>
      </c>
      <c r="CZ21" s="59">
        <f t="shared" si="42"/>
        <v>200.66422845182711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2.9235042736666665</v>
      </c>
      <c r="DO21" s="12">
        <f>IF('Données projet'!$A$166&gt;35,DO20+DN21-DW20,IF(A21&lt;'Données projet'!$A$166,$DL$205^A21,IF(A21='Données projet'!$A$166,'Données projet'!$B$166,DO20+DN21-DW20)))</f>
        <v>14.649236576353841</v>
      </c>
      <c r="DP21" s="17">
        <f>DO21*VLOOKUP('Données projet'!$B$14,Paramètres!$A$1:$I$89,3,0)*VLOOKUP('Données projet'!$B$14,Paramètres!$A$1:$I$89,5,0)</f>
        <v>13.940213526058317</v>
      </c>
      <c r="DQ21" s="13">
        <f t="shared" si="43"/>
        <v>4.7274672586180717</v>
      </c>
      <c r="DR21" s="20">
        <f t="shared" si="16"/>
        <v>32.512877366644709</v>
      </c>
      <c r="DS21" s="59">
        <f t="shared" si="17"/>
        <v>297.1311082036321</v>
      </c>
      <c r="DT21" s="59">
        <f ca="1">AVERAGE(OFFSET($DS$3,0,0,'Données projet'!$E$14+1,1))-AVERAGE(OFFSET($H$3,0,0,'Données projet'!$E$14+1,1))</f>
        <v>502.4879901989737</v>
      </c>
      <c r="DU21" s="59">
        <f t="shared" si="44"/>
        <v>226.06453328626355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7.0512820512820555</v>
      </c>
      <c r="EJ21" s="12">
        <f>IF('Données projet'!$A$192&gt;35,EJ20+EI21-ER20,IF(A21&lt;'Données projet'!$A$192,$EG$205^A21,IF(A21='Données projet'!$A$192,'Données projet'!$B$192,EJ20+EI21-ER20)))</f>
        <v>300.64102564102558</v>
      </c>
      <c r="EK21" s="17">
        <f>EJ21*VLOOKUP('Données projet'!$B$15,Paramètres!$A$1:$I$89,3,0)*VLOOKUP('Données projet'!$B$15,Paramètres!$A$1:$I$89,5,0)</f>
        <v>172.12299999999999</v>
      </c>
      <c r="EL21" s="13">
        <f t="shared" si="45"/>
        <v>43.565160970719383</v>
      </c>
      <c r="EM21" s="20">
        <f t="shared" si="19"/>
        <v>375.65688035733621</v>
      </c>
      <c r="EN21" s="59">
        <f t="shared" si="20"/>
        <v>640.27511119432359</v>
      </c>
      <c r="EO21" s="59">
        <f ca="1">AVERAGE(OFFSET($EN$3,0,0,'Données projet'!$E$15+1,1))-AVERAGE(OFFSET($H$3,0,0,'Données projet'!$E$15+1,1))</f>
        <v>192.76157155207764</v>
      </c>
      <c r="EP21" s="59">
        <f t="shared" si="46"/>
        <v>413.66427458788348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66.168608410087458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1.05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3.85</v>
      </c>
      <c r="H22" s="66">
        <f t="shared" si="1"/>
        <v>241.26666666666665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2.9235042736666665</v>
      </c>
      <c r="N22" s="13">
        <f>IF('Données projet'!$A$36&gt;35,N21+M22-V21,IF(A22&lt;'Données projet'!$A$36,$K$205^A22,IF(A22='Données projet'!$A$36,'Données projet'!$B$36,N21+M22-V21)))</f>
        <v>17.005229295059802</v>
      </c>
      <c r="O22" s="13">
        <f>N22*VLOOKUP('Données projet'!$B$9,Paramètres!$A$1:$I$89,3,0)*VLOOKUP('Données projet'!$B$9,Paramètres!$A$1:$I$89,5,0)</f>
        <v>15.386331466170107</v>
      </c>
      <c r="P22" s="13">
        <f t="shared" si="33"/>
        <v>5.158276586086302</v>
      </c>
      <c r="Q22" s="20">
        <f t="shared" si="2"/>
        <v>35.781859024346574</v>
      </c>
      <c r="R22" s="59">
        <f t="shared" si="0"/>
        <v>301.86602103760379</v>
      </c>
      <c r="S22" s="59">
        <f ca="1">AVERAGE(OFFSET($R$3,0,0,'Données projet'!$E$9+1,1))-AVERAGE(OFFSET($H$3,0,0,'Données projet'!$E$9+1,1))</f>
        <v>480.34707165277229</v>
      </c>
      <c r="T22" s="59">
        <f t="shared" si="34"/>
        <v>217.17128038304531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21.239237409598623</v>
      </c>
      <c r="AK22" s="13">
        <f t="shared" si="35"/>
        <v>6.8582295011208343</v>
      </c>
      <c r="AL22" s="20">
        <f t="shared" si="4"/>
        <v>48.936421536169718</v>
      </c>
      <c r="AM22" s="59">
        <f t="shared" si="5"/>
        <v>315.02058354942687</v>
      </c>
      <c r="AN22" s="59">
        <f ca="1">AVERAGE(OFFSET($AM$3,0,0,'Données projet'!$E$10+1,1))-AVERAGE(OFFSET($H$3,0,0,'Données projet'!$E$10+1,1))</f>
        <v>596.64394969449609</v>
      </c>
      <c r="AO22" s="59">
        <f t="shared" si="36"/>
        <v>312.55704723516362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493.48348103091718</v>
      </c>
      <c r="BI22" s="59">
        <f ca="1">AVERAGE(OFFSET($BH$3,0,0,'Données projet'!$E$11+1,1))-AVERAGE(OFFSET($H$3,0,0,'Données projet'!$E$11+1,1))</f>
        <v>360.53625471540249</v>
      </c>
      <c r="BJ22" s="59">
        <f t="shared" si="38"/>
        <v>326.66299410556076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422.63920902439827</v>
      </c>
      <c r="CD22" s="59">
        <f ca="1">AVERAGE(OFFSET($CC$3,0,0,'Données projet'!$E$12+1,1))-AVERAGE(OFFSET($H$3,0,0,'Données projet'!$E$12+1,1))</f>
        <v>358.39045200457502</v>
      </c>
      <c r="CE22" s="59">
        <f t="shared" si="40"/>
        <v>349.48764057925109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6.1538461538461533</v>
      </c>
      <c r="CT22" s="12">
        <f>IF('Données projet'!$A$140&gt;35,CT21+CS22-DB21,IF(A22&lt;'Données projet'!$A$140,$CQ$205^A22,IF(A22='Données projet'!$A$140,'Données projet'!$B$140,CT21+CS22-DB21)))</f>
        <v>48.333333333333329</v>
      </c>
      <c r="CU22" s="17">
        <f>CT22*VLOOKUP('Données projet'!$B$13,Paramètres!$A$1:$I$89,3,0)*VLOOKUP('Données projet'!$B$13,Paramètres!$A$1:$I$89,5,0)</f>
        <v>37.699999999999996</v>
      </c>
      <c r="CV22" s="13">
        <f t="shared" si="41"/>
        <v>11.386946545346296</v>
      </c>
      <c r="CW22" s="20">
        <f t="shared" si="13"/>
        <v>85.493098566478125</v>
      </c>
      <c r="CX22" s="59">
        <f t="shared" si="14"/>
        <v>351.57726057973531</v>
      </c>
      <c r="CY22" s="59">
        <f ca="1">AVERAGE(OFFSET($CX$3,0,0,'Données projet'!$E$13+1,1))-AVERAGE(OFFSET($H$3,0,0,'Données projet'!$E$13+1,1))</f>
        <v>201.71903756761543</v>
      </c>
      <c r="CZ22" s="59">
        <f t="shared" si="42"/>
        <v>200.66422845182711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2.9235042736666665</v>
      </c>
      <c r="DO22" s="12">
        <f>IF('Données projet'!$A$166&gt;35,DO21+DN22-DW21,IF(A22&lt;'Données projet'!$A$166,$DL$205^A22,IF(A22='Données projet'!$A$166,'Données projet'!$B$166,DO21+DN22-DW21)))</f>
        <v>17.005229295059802</v>
      </c>
      <c r="DP22" s="17">
        <f>DO22*VLOOKUP('Données projet'!$B$14,Paramètres!$A$1:$I$89,3,0)*VLOOKUP('Données projet'!$B$14,Paramètres!$A$1:$I$89,5,0)</f>
        <v>16.182176197178908</v>
      </c>
      <c r="DQ22" s="13">
        <f t="shared" si="43"/>
        <v>5.3933312194852867</v>
      </c>
      <c r="DR22" s="20">
        <f t="shared" si="16"/>
        <v>37.577342084023471</v>
      </c>
      <c r="DS22" s="59">
        <f t="shared" si="17"/>
        <v>303.66150409728067</v>
      </c>
      <c r="DT22" s="59">
        <f ca="1">AVERAGE(OFFSET($DS$3,0,0,'Données projet'!$E$14+1,1))-AVERAGE(OFFSET($H$3,0,0,'Données projet'!$E$14+1,1))</f>
        <v>502.4879901989737</v>
      </c>
      <c r="DU22" s="59">
        <f t="shared" si="44"/>
        <v>226.06453328626355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>
        <f>VLOOKUP(A22,'Données projet'!$A$191:$I$211,2,0)</f>
        <v>307.69230769230768</v>
      </c>
      <c r="EH22" s="12">
        <f>VLOOKUP(A22,'Données projet'!$A$191:$I$211,9,0)</f>
        <v>7.0512820512820555</v>
      </c>
      <c r="EI22" s="12">
        <f t="array" ref="EI22">INDEX(EH:EH,MIN(IF(ISNUMBER(EH22:EH218),ROW(EH22:EH218),"")))</f>
        <v>7.0512820512820555</v>
      </c>
      <c r="EJ22" s="12">
        <f>IF('Données projet'!$A$192&gt;35,EJ21+EI22-ER21,IF(A22&lt;'Données projet'!$A$192,$EG$205^A22,IF(A22='Données projet'!$A$192,'Données projet'!$B$192,EJ21+EI22-ER21)))</f>
        <v>307.69230769230762</v>
      </c>
      <c r="EK22" s="17">
        <f>EJ22*VLOOKUP('Données projet'!$B$15,Paramètres!$A$1:$I$89,3,0)*VLOOKUP('Données projet'!$B$15,Paramètres!$A$1:$I$89,5,0)</f>
        <v>176.15999999999997</v>
      </c>
      <c r="EL22" s="13">
        <f t="shared" si="45"/>
        <v>44.466787661820284</v>
      </c>
      <c r="EM22" s="20">
        <f t="shared" si="19"/>
        <v>384.25832184433693</v>
      </c>
      <c r="EN22" s="59">
        <f t="shared" si="20"/>
        <v>650.34248385759406</v>
      </c>
      <c r="EO22" s="59">
        <f ca="1">AVERAGE(OFFSET($EN$3,0,0,'Données projet'!$E$15+1,1))-AVERAGE(OFFSET($H$3,0,0,'Données projet'!$E$15+1,1))</f>
        <v>192.76157155207764</v>
      </c>
      <c r="EP22" s="59">
        <f t="shared" si="46"/>
        <v>413.66427458788348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66.235074488464079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1.05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3.85</v>
      </c>
      <c r="H23" s="66">
        <f t="shared" si="1"/>
        <v>241.26666666666665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2.9235042736666665</v>
      </c>
      <c r="N23" s="13">
        <f>IF('Données projet'!$A$36&gt;35,N22+M23-V22,IF(A23&lt;'Données projet'!$A$36,$K$205^A23,IF(A23='Données projet'!$A$36,'Données projet'!$B$36,N22+M23-V22)))</f>
        <v>19.740129246348467</v>
      </c>
      <c r="O23" s="13">
        <f>N23*VLOOKUP('Données projet'!$B$9,Paramètres!$A$1:$I$89,3,0)*VLOOKUP('Données projet'!$B$9,Paramètres!$A$1:$I$89,5,0)</f>
        <v>17.86086894209609</v>
      </c>
      <c r="P23" s="13">
        <f t="shared" si="33"/>
        <v>5.8848200587245634</v>
      </c>
      <c r="Q23" s="20">
        <f t="shared" si="2"/>
        <v>41.357075009762639</v>
      </c>
      <c r="R23" s="59">
        <f t="shared" si="0"/>
        <v>308.90294039378853</v>
      </c>
      <c r="S23" s="59">
        <f ca="1">AVERAGE(OFFSET($R$3,0,0,'Données projet'!$E$9+1,1))-AVERAGE(OFFSET($H$3,0,0,'Données projet'!$E$9+1,1))</f>
        <v>480.34707165277229</v>
      </c>
      <c r="T23" s="59">
        <f t="shared" si="34"/>
        <v>217.17128038304531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24.927030733289886</v>
      </c>
      <c r="AK23" s="13">
        <f t="shared" si="35"/>
        <v>7.900419678784556</v>
      </c>
      <c r="AL23" s="20">
        <f t="shared" si="4"/>
        <v>57.174476134362976</v>
      </c>
      <c r="AM23" s="59">
        <f t="shared" si="5"/>
        <v>324.72034151838886</v>
      </c>
      <c r="AN23" s="59">
        <f ca="1">AVERAGE(OFFSET($AM$3,0,0,'Données projet'!$E$10+1,1))-AVERAGE(OFFSET($H$3,0,0,'Données projet'!$E$10+1,1))</f>
        <v>596.64394969449609</v>
      </c>
      <c r="AO23" s="59">
        <f t="shared" si="36"/>
        <v>312.55704723516362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516.01082922317676</v>
      </c>
      <c r="BI23" s="59">
        <f ca="1">AVERAGE(OFFSET($BH$3,0,0,'Données projet'!$E$11+1,1))-AVERAGE(OFFSET($H$3,0,0,'Données projet'!$E$11+1,1))</f>
        <v>360.53625471540249</v>
      </c>
      <c r="BJ23" s="59">
        <f t="shared" si="38"/>
        <v>326.66299410556076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447.92962723976325</v>
      </c>
      <c r="CD23" s="59">
        <f ca="1">AVERAGE(OFFSET($CC$3,0,0,'Données projet'!$E$12+1,1))-AVERAGE(OFFSET($H$3,0,0,'Données projet'!$E$12+1,1))</f>
        <v>358.39045200457502</v>
      </c>
      <c r="CE23" s="59">
        <f t="shared" si="40"/>
        <v>349.48764057925109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54.487179487179482</v>
      </c>
      <c r="CR23" s="12">
        <f>VLOOKUP(A23,'Données projet'!$A$139:$I$159,9,0)</f>
        <v>6.1538461538461533</v>
      </c>
      <c r="CS23" s="12">
        <f t="array" ref="CS23">INDEX(CR:CR,MIN(IF(ISNUMBER(CR23:CR219),ROW(CR23:CR219),"")))</f>
        <v>6.1538461538461533</v>
      </c>
      <c r="CT23" s="12">
        <f>IF('Données projet'!$A$140&gt;35,CT22+CS23-DB22,IF(A23&lt;'Données projet'!$A$140,$CQ$205^A23,IF(A23='Données projet'!$A$140,'Données projet'!$B$140,CT22+CS23-DB22)))</f>
        <v>54.487179487179482</v>
      </c>
      <c r="CU23" s="17">
        <f>CT23*VLOOKUP('Données projet'!$B$13,Paramètres!$A$1:$I$89,3,0)*VLOOKUP('Données projet'!$B$13,Paramètres!$A$1:$I$89,5,0)</f>
        <v>42.5</v>
      </c>
      <c r="CV23" s="13">
        <f t="shared" si="41"/>
        <v>12.658916157662103</v>
      </c>
      <c r="CW23" s="20">
        <f t="shared" si="13"/>
        <v>96.068445641261476</v>
      </c>
      <c r="CX23" s="59">
        <f t="shared" si="14"/>
        <v>363.61431102528735</v>
      </c>
      <c r="CY23" s="59">
        <f ca="1">AVERAGE(OFFSET($CX$3,0,0,'Données projet'!$E$13+1,1))-AVERAGE(OFFSET($H$3,0,0,'Données projet'!$E$13+1,1))</f>
        <v>201.71903756761543</v>
      </c>
      <c r="CZ23" s="59">
        <f t="shared" si="42"/>
        <v>200.66422845182711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16.025641025641026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2.9235042736666665</v>
      </c>
      <c r="DO23" s="12">
        <f>IF('Données projet'!$A$166&gt;35,DO22+DN23-DW22,IF(A23&lt;'Données projet'!$A$166,$DL$205^A23,IF(A23='Données projet'!$A$166,'Données projet'!$B$166,DO22+DN23-DW22)))</f>
        <v>19.740129246348467</v>
      </c>
      <c r="DP23" s="17">
        <f>DO23*VLOOKUP('Données projet'!$B$14,Paramètres!$A$1:$I$89,3,0)*VLOOKUP('Données projet'!$B$14,Paramètres!$A$1:$I$89,5,0)</f>
        <v>18.7847069908252</v>
      </c>
      <c r="DQ23" s="13">
        <f t="shared" si="43"/>
        <v>6.1529821470572443</v>
      </c>
      <c r="DR23" s="20">
        <f t="shared" si="16"/>
        <v>43.433141915145256</v>
      </c>
      <c r="DS23" s="59">
        <f t="shared" si="17"/>
        <v>310.97900729917114</v>
      </c>
      <c r="DT23" s="59">
        <f ca="1">AVERAGE(OFFSET($DS$3,0,0,'Données projet'!$E$14+1,1))-AVERAGE(OFFSET($H$3,0,0,'Données projet'!$E$14+1,1))</f>
        <v>502.4879901989737</v>
      </c>
      <c r="DU23" s="59">
        <f t="shared" si="44"/>
        <v>226.06453328626355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310.25641025641022</v>
      </c>
      <c r="EH23" s="12">
        <f>VLOOKUP(A23,'Données projet'!$A$191:$I$211,9,0)</f>
        <v>2.5641025641025408</v>
      </c>
      <c r="EI23" s="12">
        <f t="array" ref="EI23">INDEX(EH:EH,MIN(IF(ISNUMBER(EH23:EH219),ROW(EH23:EH219),"")))</f>
        <v>2.5641025641025408</v>
      </c>
      <c r="EJ23" s="12">
        <f>IF('Données projet'!$A$192&gt;35,EJ22+EI23-ER22,IF(A23&lt;'Données projet'!$A$192,$EG$205^A23,IF(A23='Données projet'!$A$192,'Données projet'!$B$192,EJ22+EI23-ER22)))</f>
        <v>310.25641025641016</v>
      </c>
      <c r="EK23" s="17">
        <f>EJ23*VLOOKUP('Données projet'!$B$15,Paramètres!$A$1:$I$89,3,0)*VLOOKUP('Données projet'!$B$15,Paramètres!$A$1:$I$89,5,0)</f>
        <v>177.62799999999993</v>
      </c>
      <c r="EL23" s="13">
        <f t="shared" si="45"/>
        <v>44.794053131401569</v>
      </c>
      <c r="EM23" s="20">
        <f t="shared" si="19"/>
        <v>387.3850758705243</v>
      </c>
      <c r="EN23" s="59">
        <f t="shared" si="20"/>
        <v>654.93094125455013</v>
      </c>
      <c r="EO23" s="59">
        <f ca="1">AVERAGE(OFFSET($EN$3,0,0,'Données projet'!$E$15+1,1))-AVERAGE(OFFSET($H$3,0,0,'Données projet'!$E$15+1,1))</f>
        <v>192.76157155207764</v>
      </c>
      <c r="EP23" s="59">
        <f t="shared" si="46"/>
        <v>413.66427458788348</v>
      </c>
      <c r="EQ23" s="15" t="str">
        <f>IF(ISNA(VLOOKUP(A23,'Données projet'!$A$191:$I$211,3,0)),0,VLOOKUP(A23,'Données projet'!$A$191:$I$211,3,0))</f>
        <v>CR</v>
      </c>
      <c r="ER23" s="15">
        <f>IF(ISNA(VLOOKUP(A23,'Données projet'!$A$191:$I$211,4,0)),0,VLOOKUP(A23,'Données projet'!$A$191:$I$211,4,0))</f>
        <v>310.25641025641022</v>
      </c>
      <c r="ES23" s="16">
        <f>IF(ISNA(VLOOKUP(A23,'Données projet'!$A$191:$I$211,5,0)),0%,VLOOKUP(A23,'Données projet'!$A$191:$I$211,5,0)*VLOOKUP('Données projet'!$B$15,Paramètres!$A$1:$I$89,7,0))</f>
        <v>0.46199999999999997</v>
      </c>
      <c r="ET23" s="16">
        <f>IF(ISNA(VLOOKUP(A23,'Données projet'!$A$191:$I$211,6,0)),0%,VLOOKUP(A23,'Données projet'!$A$191:$I$211,6,0)*VLOOKUP('Données projet'!$B$15,Paramètres!$A$1:$I$89,7,0))</f>
        <v>0.126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90.719471569963616</v>
      </c>
      <c r="EW23" s="21">
        <f>EXP(-LN(2)/25)*EW22+(1-EXP(-LN(2)/25))/(LN(2)/25)*Calculateur!ER23*Calculateur!ET23*VLOOKUP('Données projet'!$B$15,Paramètres!$A$1:$I$89,3,0)*0.475*44/12</f>
        <v>24.644256666426553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115.36372823639017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66.300387528976756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1.05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3.85</v>
      </c>
      <c r="H24" s="66">
        <f t="shared" si="1"/>
        <v>241.26666666666665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2.9235042736666665</v>
      </c>
      <c r="N24" s="13">
        <f>IF('Données projet'!$A$36&gt;35,N23+M24-V23,IF(A24&lt;'Données projet'!$A$36,$K$205^A24,IF(A24='Données projet'!$A$36,'Données projet'!$B$36,N23+M24-V23)))</f>
        <v>22.914874942365291</v>
      </c>
      <c r="O24" s="13">
        <f>N24*VLOOKUP('Données projet'!$B$9,Paramètres!$A$1:$I$89,3,0)*VLOOKUP('Données projet'!$B$9,Paramètres!$A$1:$I$89,5,0)</f>
        <v>20.733378847852116</v>
      </c>
      <c r="P24" s="13">
        <f t="shared" si="33"/>
        <v>6.7136972098354146</v>
      </c>
      <c r="Q24" s="20">
        <f t="shared" si="2"/>
        <v>47.803657467139118</v>
      </c>
      <c r="R24" s="59">
        <f t="shared" si="0"/>
        <v>316.80707175940609</v>
      </c>
      <c r="S24" s="59">
        <f ca="1">AVERAGE(OFFSET($R$3,0,0,'Données projet'!$E$9+1,1))-AVERAGE(OFFSET($H$3,0,0,'Données projet'!$E$9+1,1))</f>
        <v>480.34707165277229</v>
      </c>
      <c r="T24" s="59">
        <f t="shared" si="34"/>
        <v>217.17128038304531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29.255139871338766</v>
      </c>
      <c r="AK24" s="13">
        <f t="shared" si="35"/>
        <v>9.1009831459745705</v>
      </c>
      <c r="AL24" s="20">
        <f t="shared" si="4"/>
        <v>66.803580921820739</v>
      </c>
      <c r="AM24" s="59">
        <f t="shared" si="5"/>
        <v>335.80699521408775</v>
      </c>
      <c r="AN24" s="59">
        <f ca="1">AVERAGE(OFFSET($AM$3,0,0,'Données projet'!$E$10+1,1))-AVERAGE(OFFSET($H$3,0,0,'Données projet'!$E$10+1,1))</f>
        <v>596.64394969449609</v>
      </c>
      <c r="AO24" s="59">
        <f t="shared" si="36"/>
        <v>312.55704723516362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434.81098762506412</v>
      </c>
      <c r="BI24" s="59">
        <f ca="1">AVERAGE(OFFSET($BH$3,0,0,'Données projet'!$E$11+1,1))-AVERAGE(OFFSET($H$3,0,0,'Données projet'!$E$11+1,1))</f>
        <v>360.53625471540249</v>
      </c>
      <c r="BJ24" s="59">
        <f t="shared" si="38"/>
        <v>326.66299410556076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414.47893441759561</v>
      </c>
      <c r="CD24" s="59">
        <f ca="1">AVERAGE(OFFSET($CC$3,0,0,'Données projet'!$E$12+1,1))-AVERAGE(OFFSET($H$3,0,0,'Données projet'!$E$12+1,1))</f>
        <v>358.39045200457502</v>
      </c>
      <c r="CE24" s="59">
        <f t="shared" si="40"/>
        <v>349.48764057925109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6.7948717948717956</v>
      </c>
      <c r="CT24" s="12">
        <f>IF('Données projet'!$A$140&gt;35,CT23+CS24-DB23,IF(A24&lt;'Données projet'!$A$140,$CQ$205^A24,IF(A24='Données projet'!$A$140,'Données projet'!$B$140,CT23+CS24-DB23)))</f>
        <v>45.256410256410248</v>
      </c>
      <c r="CU24" s="17">
        <f>CT24*VLOOKUP('Données projet'!$B$13,Paramètres!$A$1:$I$89,3,0)*VLOOKUP('Données projet'!$B$13,Paramètres!$A$1:$I$89,5,0)</f>
        <v>35.299999999999997</v>
      </c>
      <c r="CV24" s="13">
        <f t="shared" si="41"/>
        <v>10.743994925779599</v>
      </c>
      <c r="CW24" s="20">
        <f t="shared" si="13"/>
        <v>80.193291162399461</v>
      </c>
      <c r="CX24" s="59">
        <f t="shared" si="14"/>
        <v>349.19670545466647</v>
      </c>
      <c r="CY24" s="59">
        <f ca="1">AVERAGE(OFFSET($CX$3,0,0,'Données projet'!$E$13+1,1))-AVERAGE(OFFSET($H$3,0,0,'Données projet'!$E$13+1,1))</f>
        <v>201.71903756761543</v>
      </c>
      <c r="CZ24" s="59">
        <f t="shared" si="42"/>
        <v>200.66422845182711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2.9235042736666665</v>
      </c>
      <c r="DO24" s="12">
        <f>IF('Données projet'!$A$166&gt;35,DO23+DN24-DW23,IF(A24&lt;'Données projet'!$A$166,$DL$205^A24,IF(A24='Données projet'!$A$166,'Données projet'!$B$166,DO23+DN24-DW23)))</f>
        <v>22.914874942365291</v>
      </c>
      <c r="DP24" s="17">
        <f>DO24*VLOOKUP('Données projet'!$B$14,Paramètres!$A$1:$I$89,3,0)*VLOOKUP('Données projet'!$B$14,Paramètres!$A$1:$I$89,5,0)</f>
        <v>21.805794995154812</v>
      </c>
      <c r="DQ24" s="13">
        <f t="shared" si="43"/>
        <v>7.0196299395122805</v>
      </c>
      <c r="DR24" s="20">
        <f t="shared" si="16"/>
        <v>50.204281761211853</v>
      </c>
      <c r="DS24" s="59">
        <f t="shared" si="17"/>
        <v>319.20769605347886</v>
      </c>
      <c r="DT24" s="59">
        <f ca="1">AVERAGE(OFFSET($DS$3,0,0,'Données projet'!$E$14+1,1))-AVERAGE(OFFSET($H$3,0,0,'Données projet'!$E$14+1,1))</f>
        <v>502.4879901989737</v>
      </c>
      <c r="DU24" s="59">
        <f t="shared" si="44"/>
        <v>226.06453328626355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-5.6843418860808015E-14</v>
      </c>
      <c r="EK24" s="17">
        <f>EJ24*VLOOKUP('Données projet'!$B$15,Paramètres!$A$1:$I$89,3,0)*VLOOKUP('Données projet'!$B$15,Paramètres!$A$1:$I$89,5,0)</f>
        <v>-3.2543994166189806E-14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192.76157155207764</v>
      </c>
      <c r="EP24" s="59">
        <f t="shared" si="46"/>
        <v>413.66427458788348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88.940518065890572</v>
      </c>
      <c r="EW24" s="21">
        <f>EXP(-LN(2)/25)*EW23+(1-EXP(-LN(2)/25))/(LN(2)/25)*Calculateur!ER24*Calculateur!ET24*VLOOKUP('Données projet'!$B$15,Paramètres!$A$1:$I$89,3,0)*0.475*44/12</f>
        <v>23.970358171897985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112.91087623778856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66.364567534254633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1.05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3.85</v>
      </c>
      <c r="H25" s="66">
        <f t="shared" si="1"/>
        <v>241.26666666666665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2.9235042736666665</v>
      </c>
      <c r="N25" s="13">
        <f>IF('Données projet'!$A$36&gt;35,N24+M25-V24,IF(A25&lt;'Données projet'!$A$36,$K$205^A25,IF(A25='Données projet'!$A$36,'Données projet'!$B$36,N24+M25-V24)))</f>
        <v>26.600205453131583</v>
      </c>
      <c r="O25" s="13">
        <f>N25*VLOOKUP('Données projet'!$B$9,Paramètres!$A$1:$I$89,3,0)*VLOOKUP('Données projet'!$B$9,Paramètres!$A$1:$I$89,5,0)</f>
        <v>24.067865893993456</v>
      </c>
      <c r="P25" s="13">
        <f t="shared" si="33"/>
        <v>7.6593217423067346</v>
      </c>
      <c r="Q25" s="20">
        <f t="shared" si="2"/>
        <v>55.258185133222831</v>
      </c>
      <c r="R25" s="59">
        <f t="shared" si="0"/>
        <v>325.71506594184001</v>
      </c>
      <c r="S25" s="59">
        <f ca="1">AVERAGE(OFFSET($R$3,0,0,'Données projet'!$E$9+1,1))-AVERAGE(OFFSET($H$3,0,0,'Données projet'!$E$9+1,1))</f>
        <v>480.34707165277229</v>
      </c>
      <c r="T25" s="59">
        <f t="shared" si="34"/>
        <v>217.17128038304531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34.334743598185383</v>
      </c>
      <c r="AK25" s="13">
        <f t="shared" si="35"/>
        <v>10.48398662234813</v>
      </c>
      <c r="AL25" s="20">
        <f t="shared" si="4"/>
        <v>78.059288467429198</v>
      </c>
      <c r="AM25" s="59">
        <f t="shared" si="5"/>
        <v>348.51616927604641</v>
      </c>
      <c r="AN25" s="59">
        <f ca="1">AVERAGE(OFFSET($AM$3,0,0,'Données projet'!$E$10+1,1))-AVERAGE(OFFSET($H$3,0,0,'Données projet'!$E$10+1,1))</f>
        <v>596.64394969449609</v>
      </c>
      <c r="AO25" s="59">
        <f t="shared" si="36"/>
        <v>312.55704723516362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455.58501879337848</v>
      </c>
      <c r="BI25" s="59">
        <f ca="1">AVERAGE(OFFSET($BH$3,0,0,'Données projet'!$E$11+1,1))-AVERAGE(OFFSET($H$3,0,0,'Données projet'!$E$11+1,1))</f>
        <v>360.53625471540249</v>
      </c>
      <c r="BJ25" s="59">
        <f t="shared" si="38"/>
        <v>326.66299410556076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441.52578391465215</v>
      </c>
      <c r="CD25" s="59">
        <f ca="1">AVERAGE(OFFSET($CC$3,0,0,'Données projet'!$E$12+1,1))-AVERAGE(OFFSET($H$3,0,0,'Données projet'!$E$12+1,1))</f>
        <v>358.39045200457502</v>
      </c>
      <c r="CE25" s="59">
        <f t="shared" si="40"/>
        <v>349.48764057925109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6.7948717948717956</v>
      </c>
      <c r="CT25" s="12">
        <f>IF('Données projet'!$A$140&gt;35,CT24+CS25-DB24,IF(A25&lt;'Données projet'!$A$140,$CQ$205^A25,IF(A25='Données projet'!$A$140,'Données projet'!$B$140,CT24+CS25-DB24)))</f>
        <v>52.051282051282044</v>
      </c>
      <c r="CU25" s="17">
        <f>CT25*VLOOKUP('Données projet'!$B$13,Paramètres!$A$1:$I$89,3,0)*VLOOKUP('Données projet'!$B$13,Paramètres!$A$1:$I$89,5,0)</f>
        <v>40.599999999999994</v>
      </c>
      <c r="CV25" s="13">
        <f t="shared" si="41"/>
        <v>12.15753890842374</v>
      </c>
      <c r="CW25" s="20">
        <f t="shared" si="13"/>
        <v>91.886046932171325</v>
      </c>
      <c r="CX25" s="59">
        <f t="shared" si="14"/>
        <v>362.34292774078853</v>
      </c>
      <c r="CY25" s="59">
        <f ca="1">AVERAGE(OFFSET($CX$3,0,0,'Données projet'!$E$13+1,1))-AVERAGE(OFFSET($H$3,0,0,'Données projet'!$E$13+1,1))</f>
        <v>201.71903756761543</v>
      </c>
      <c r="CZ25" s="59">
        <f t="shared" si="42"/>
        <v>200.66422845182711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2.9235042736666665</v>
      </c>
      <c r="DO25" s="12">
        <f>IF('Données projet'!$A$166&gt;35,DO24+DN25-DW24,IF(A25&lt;'Données projet'!$A$166,$DL$205^A25,IF(A25='Données projet'!$A$166,'Données projet'!$B$166,DO24+DN25-DW24)))</f>
        <v>26.600205453131583</v>
      </c>
      <c r="DP25" s="17">
        <f>DO25*VLOOKUP('Données projet'!$B$14,Paramètres!$A$1:$I$89,3,0)*VLOOKUP('Données projet'!$B$14,Paramètres!$A$1:$I$89,5,0)</f>
        <v>25.312755509200016</v>
      </c>
      <c r="DQ25" s="13">
        <f t="shared" si="43"/>
        <v>8.0083451097389862</v>
      </c>
      <c r="DR25" s="20">
        <f t="shared" si="16"/>
        <v>58.034250244652092</v>
      </c>
      <c r="DS25" s="59">
        <f t="shared" si="17"/>
        <v>328.49113105326927</v>
      </c>
      <c r="DT25" s="59">
        <f ca="1">AVERAGE(OFFSET($DS$3,0,0,'Données projet'!$E$14+1,1))-AVERAGE(OFFSET($H$3,0,0,'Données projet'!$E$14+1,1))</f>
        <v>502.4879901989737</v>
      </c>
      <c r="DU25" s="59">
        <f t="shared" si="44"/>
        <v>226.06453328626355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-5.6843418860808015E-14</v>
      </c>
      <c r="EK25" s="17">
        <f>EJ25*VLOOKUP('Données projet'!$B$15,Paramètres!$A$1:$I$89,3,0)*VLOOKUP('Données projet'!$B$15,Paramètres!$A$1:$I$89,5,0)</f>
        <v>-3.2543994166189806E-14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192.76157155207764</v>
      </c>
      <c r="EP25" s="59">
        <f t="shared" si="46"/>
        <v>413.66427458788348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87.196448754977894</v>
      </c>
      <c r="EW25" s="21">
        <f>EXP(-LN(2)/25)*EW24+(1-EXP(-LN(2)/25))/(LN(2)/25)*Calculateur!ER25*Calculateur!ET25*VLOOKUP('Données projet'!$B$15,Paramètres!$A$1:$I$89,3,0)*0.475*44/12</f>
        <v>23.314887467141084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110.51133622211898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66.427634159925915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1.05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3.85</v>
      </c>
      <c r="H26" s="66">
        <f t="shared" si="1"/>
        <v>241.26666666666665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2.9235042736666665</v>
      </c>
      <c r="N26" s="13">
        <f>IF('Données projet'!$A$36&gt;35,N25+M26-V25,IF(A26&lt;'Données projet'!$A$36,$K$205^A26,IF(A26='Données projet'!$A$36,'Données projet'!$B$36,N25+M26-V25)))</f>
        <v>30.878236600831084</v>
      </c>
      <c r="O26" s="13">
        <f>N26*VLOOKUP('Données projet'!$B$9,Paramètres!$A$1:$I$89,3,0)*VLOOKUP('Données projet'!$B$9,Paramètres!$A$1:$I$89,5,0)</f>
        <v>27.938628476431965</v>
      </c>
      <c r="P26" s="13">
        <f t="shared" si="33"/>
        <v>8.7381375296802872</v>
      </c>
      <c r="Q26" s="20">
        <f t="shared" si="2"/>
        <v>63.87870079397883</v>
      </c>
      <c r="R26" s="59">
        <f t="shared" si="0"/>
        <v>335.78503654742809</v>
      </c>
      <c r="S26" s="59">
        <f ca="1">AVERAGE(OFFSET($R$3,0,0,'Données projet'!$E$9+1,1))-AVERAGE(OFFSET($H$3,0,0,'Données projet'!$E$9+1,1))</f>
        <v>480.34707165277229</v>
      </c>
      <c r="T26" s="59">
        <f t="shared" si="34"/>
        <v>217.17128038304531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40.29632478729232</v>
      </c>
      <c r="AK26" s="13">
        <f t="shared" si="35"/>
        <v>12.077154054085931</v>
      </c>
      <c r="AL26" s="20">
        <f t="shared" si="4"/>
        <v>91.217142315400451</v>
      </c>
      <c r="AM26" s="59">
        <f t="shared" si="5"/>
        <v>363.12347806884969</v>
      </c>
      <c r="AN26" s="59">
        <f ca="1">AVERAGE(OFFSET($AM$3,0,0,'Données projet'!$E$10+1,1))-AVERAGE(OFFSET($H$3,0,0,'Données projet'!$E$10+1,1))</f>
        <v>596.64394969449609</v>
      </c>
      <c r="AO26" s="59">
        <f t="shared" si="36"/>
        <v>312.55704723516362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476.30793161408536</v>
      </c>
      <c r="BI26" s="59">
        <f ca="1">AVERAGE(OFFSET($BH$3,0,0,'Données projet'!$E$11+1,1))-AVERAGE(OFFSET($H$3,0,0,'Données projet'!$E$11+1,1))</f>
        <v>360.53625471540249</v>
      </c>
      <c r="BJ26" s="59">
        <f t="shared" si="38"/>
        <v>326.66299410556076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468.47836137761351</v>
      </c>
      <c r="CD26" s="59">
        <f ca="1">AVERAGE(OFFSET($CC$3,0,0,'Données projet'!$E$12+1,1))-AVERAGE(OFFSET($H$3,0,0,'Données projet'!$E$12+1,1))</f>
        <v>358.39045200457502</v>
      </c>
      <c r="CE26" s="59">
        <f t="shared" si="40"/>
        <v>349.48764057925109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6.7948717948717956</v>
      </c>
      <c r="CT26" s="12">
        <f>IF('Données projet'!$A$140&gt;35,CT25+CS26-DB25,IF(A26&lt;'Données projet'!$A$140,$CQ$205^A26,IF(A26='Données projet'!$A$140,'Données projet'!$B$140,CT25+CS26-DB25)))</f>
        <v>58.84615384615384</v>
      </c>
      <c r="CU26" s="17">
        <f>CT26*VLOOKUP('Données projet'!$B$13,Paramètres!$A$1:$I$89,3,0)*VLOOKUP('Données projet'!$B$13,Paramètres!$A$1:$I$89,5,0)</f>
        <v>45.9</v>
      </c>
      <c r="CV26" s="13">
        <f t="shared" si="41"/>
        <v>13.549702311318182</v>
      </c>
      <c r="CW26" s="20">
        <f t="shared" si="13"/>
        <v>103.54156485887916</v>
      </c>
      <c r="CX26" s="59">
        <f t="shared" si="14"/>
        <v>375.4479006123284</v>
      </c>
      <c r="CY26" s="59">
        <f ca="1">AVERAGE(OFFSET($CX$3,0,0,'Données projet'!$E$13+1,1))-AVERAGE(OFFSET($H$3,0,0,'Données projet'!$E$13+1,1))</f>
        <v>201.71903756761543</v>
      </c>
      <c r="CZ26" s="59">
        <f t="shared" si="42"/>
        <v>200.66422845182711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2.9235042736666665</v>
      </c>
      <c r="DO26" s="12">
        <f>IF('Données projet'!$A$166&gt;35,DO25+DN26-DW25,IF(A26&lt;'Données projet'!$A$166,$DL$205^A26,IF(A26='Données projet'!$A$166,'Données projet'!$B$166,DO25+DN26-DW25)))</f>
        <v>30.878236600831084</v>
      </c>
      <c r="DP26" s="17">
        <f>DO26*VLOOKUP('Données projet'!$B$14,Paramètres!$A$1:$I$89,3,0)*VLOOKUP('Données projet'!$B$14,Paramètres!$A$1:$I$89,5,0)</f>
        <v>29.383729949350858</v>
      </c>
      <c r="DQ26" s="13">
        <f t="shared" si="43"/>
        <v>9.1363208529958886</v>
      </c>
      <c r="DR26" s="20">
        <f t="shared" si="16"/>
        <v>67.089088480753915</v>
      </c>
      <c r="DS26" s="59">
        <f t="shared" si="17"/>
        <v>338.99542423420314</v>
      </c>
      <c r="DT26" s="59">
        <f ca="1">AVERAGE(OFFSET($DS$3,0,0,'Données projet'!$E$14+1,1))-AVERAGE(OFFSET($H$3,0,0,'Données projet'!$E$14+1,1))</f>
        <v>502.4879901989737</v>
      </c>
      <c r="DU26" s="59">
        <f t="shared" si="44"/>
        <v>226.06453328626355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-5.6843418860808015E-14</v>
      </c>
      <c r="EK26" s="17">
        <f>EJ26*VLOOKUP('Données projet'!$B$15,Paramètres!$A$1:$I$89,3,0)*VLOOKUP('Données projet'!$B$15,Paramètres!$A$1:$I$89,5,0)</f>
        <v>-3.2543994166189806E-14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192.76157155207764</v>
      </c>
      <c r="EP26" s="59">
        <f t="shared" si="46"/>
        <v>413.66427458788348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85.486579579474977</v>
      </c>
      <c r="EW26" s="21">
        <f>EXP(-LN(2)/25)*EW25+(1-EXP(-LN(2)/25))/(LN(2)/25)*Calculateur!ER26*Calculateur!ET26*VLOOKUP('Données projet'!$B$15,Paramètres!$A$1:$I$89,3,0)*0.475*44/12</f>
        <v>22.677340643275464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108.16392022275045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66.489606720637667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1.05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3.85</v>
      </c>
      <c r="H27" s="66">
        <f t="shared" si="1"/>
        <v>241.26666666666665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2.9235042736666665</v>
      </c>
      <c r="N27" s="13">
        <f>IF('Données projet'!$A$36&gt;35,N26+M27-V26,IF(A27&lt;'Données projet'!$A$36,$K$205^A27,IF(A27='Données projet'!$A$36,'Données projet'!$B$36,N26+M27-V26)))</f>
        <v>35.84429064868953</v>
      </c>
      <c r="O27" s="13">
        <f>N27*VLOOKUP('Données projet'!$B$9,Paramètres!$A$1:$I$89,3,0)*VLOOKUP('Données projet'!$B$9,Paramètres!$A$1:$I$89,5,0)</f>
        <v>32.431914178934285</v>
      </c>
      <c r="P27" s="13">
        <f t="shared" si="33"/>
        <v>9.9689045657731459</v>
      </c>
      <c r="Q27" s="20">
        <f t="shared" si="2"/>
        <v>73.848092647032104</v>
      </c>
      <c r="R27" s="59">
        <f t="shared" si="0"/>
        <v>347.19994136559228</v>
      </c>
      <c r="S27" s="59">
        <f ca="1">AVERAGE(OFFSET($R$3,0,0,'Données projet'!$E$9+1,1))-AVERAGE(OFFSET($H$3,0,0,'Données projet'!$E$9+1,1))</f>
        <v>480.34707165277229</v>
      </c>
      <c r="T27" s="59">
        <f t="shared" si="34"/>
        <v>217.17128038304531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47.293022204154973</v>
      </c>
      <c r="AK27" s="13">
        <f t="shared" si="35"/>
        <v>13.912422373299071</v>
      </c>
      <c r="AL27" s="20">
        <f t="shared" si="4"/>
        <v>106.5994826390658</v>
      </c>
      <c r="AM27" s="59">
        <f t="shared" si="5"/>
        <v>379.95133135762597</v>
      </c>
      <c r="AN27" s="59">
        <f ca="1">AVERAGE(OFFSET($AM$3,0,0,'Données projet'!$E$10+1,1))-AVERAGE(OFFSET($H$3,0,0,'Données projet'!$E$10+1,1))</f>
        <v>596.64394969449609</v>
      </c>
      <c r="AO27" s="59">
        <f t="shared" si="36"/>
        <v>312.55704723516362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496.98486350764244</v>
      </c>
      <c r="BI27" s="59">
        <f ca="1">AVERAGE(OFFSET($BH$3,0,0,'Données projet'!$E$11+1,1))-AVERAGE(OFFSET($H$3,0,0,'Données projet'!$E$11+1,1))</f>
        <v>360.53625471540249</v>
      </c>
      <c r="BJ27" s="59">
        <f t="shared" si="38"/>
        <v>326.66299410556076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495.35010530638579</v>
      </c>
      <c r="CD27" s="59">
        <f ca="1">AVERAGE(OFFSET($CC$3,0,0,'Données projet'!$E$12+1,1))-AVERAGE(OFFSET($H$3,0,0,'Données projet'!$E$12+1,1))</f>
        <v>358.39045200457502</v>
      </c>
      <c r="CE27" s="59">
        <f t="shared" si="40"/>
        <v>349.48764057925109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6.7948717948717956</v>
      </c>
      <c r="CT27" s="12">
        <f>IF('Données projet'!$A$140&gt;35,CT26+CS27-DB26,IF(A27&lt;'Données projet'!$A$140,$CQ$205^A27,IF(A27='Données projet'!$A$140,'Données projet'!$B$140,CT26+CS27-DB26)))</f>
        <v>65.641025641025635</v>
      </c>
      <c r="CU27" s="17">
        <f>CT27*VLOOKUP('Données projet'!$B$13,Paramètres!$A$1:$I$89,3,0)*VLOOKUP('Données projet'!$B$13,Paramètres!$A$1:$I$89,5,0)</f>
        <v>51.199999999999996</v>
      </c>
      <c r="CV27" s="13">
        <f t="shared" si="41"/>
        <v>14.923235838479547</v>
      </c>
      <c r="CW27" s="20">
        <f t="shared" si="13"/>
        <v>115.16463575201853</v>
      </c>
      <c r="CX27" s="59">
        <f t="shared" si="14"/>
        <v>388.51648447057869</v>
      </c>
      <c r="CY27" s="59">
        <f ca="1">AVERAGE(OFFSET($CX$3,0,0,'Données projet'!$E$13+1,1))-AVERAGE(OFFSET($H$3,0,0,'Données projet'!$E$13+1,1))</f>
        <v>201.71903756761543</v>
      </c>
      <c r="CZ27" s="59">
        <f t="shared" si="42"/>
        <v>200.66422845182711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2.9235042736666665</v>
      </c>
      <c r="DO27" s="12">
        <f>IF('Données projet'!$A$166&gt;35,DO26+DN27-DW26,IF(A27&lt;'Données projet'!$A$166,$DL$205^A27,IF(A27='Données projet'!$A$166,'Données projet'!$B$166,DO26+DN27-DW26)))</f>
        <v>35.84429064868953</v>
      </c>
      <c r="DP27" s="17">
        <f>DO27*VLOOKUP('Données projet'!$B$14,Paramètres!$A$1:$I$89,3,0)*VLOOKUP('Données projet'!$B$14,Paramètres!$A$1:$I$89,5,0)</f>
        <v>34.109426981292962</v>
      </c>
      <c r="DQ27" s="13">
        <f t="shared" si="43"/>
        <v>10.423172026811937</v>
      </c>
      <c r="DR27" s="20">
        <f t="shared" si="16"/>
        <v>77.560943272449364</v>
      </c>
      <c r="DS27" s="59">
        <f t="shared" si="17"/>
        <v>350.91279199100956</v>
      </c>
      <c r="DT27" s="59">
        <f ca="1">AVERAGE(OFFSET($DS$3,0,0,'Données projet'!$E$14+1,1))-AVERAGE(OFFSET($H$3,0,0,'Données projet'!$E$14+1,1))</f>
        <v>502.4879901989737</v>
      </c>
      <c r="DU27" s="59">
        <f t="shared" si="44"/>
        <v>226.06453328626355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-5.6843418860808015E-14</v>
      </c>
      <c r="EK27" s="17">
        <f>EJ27*VLOOKUP('Données projet'!$B$15,Paramètres!$A$1:$I$89,3,0)*VLOOKUP('Données projet'!$B$15,Paramètres!$A$1:$I$89,5,0)</f>
        <v>-3.2543994166189806E-14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192.76157155207764</v>
      </c>
      <c r="EP27" s="59">
        <f t="shared" si="46"/>
        <v>413.66427458788348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83.810239895586449</v>
      </c>
      <c r="EW27" s="21">
        <f>EXP(-LN(2)/25)*EW26+(1-EXP(-LN(2)/25))/(LN(2)/25)*Calculateur!ER27*Calculateur!ET27*VLOOKUP('Données projet'!$B$15,Paramètres!$A$1:$I$89,3,0)*0.475*44/12</f>
        <v>22.057227570835582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105.86746746642203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66.550504195970959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1.05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3.85</v>
      </c>
      <c r="H28" s="66">
        <f t="shared" si="1"/>
        <v>241.26666666666665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2.9235042736666665</v>
      </c>
      <c r="N28" s="13">
        <f>IF('Données projet'!$A$36&gt;35,N27+M28-V27,IF(A28&lt;'Données projet'!$A$36,$K$205^A28,IF(A28='Données projet'!$A$36,'Données projet'!$B$36,N27+M28-V27)))</f>
        <v>41.609020253221033</v>
      </c>
      <c r="O28" s="13">
        <f>N28*VLOOKUP('Données projet'!$B$9,Paramètres!$A$1:$I$89,3,0)*VLOOKUP('Données projet'!$B$9,Paramètres!$A$1:$I$89,5,0)</f>
        <v>37.647841525114387</v>
      </c>
      <c r="P28" s="13">
        <f t="shared" si="33"/>
        <v>11.373025190315211</v>
      </c>
      <c r="Q28" s="20">
        <f t="shared" si="2"/>
        <v>85.378009529373216</v>
      </c>
      <c r="R28" s="59">
        <f t="shared" si="0"/>
        <v>360.17149761785851</v>
      </c>
      <c r="S28" s="59">
        <f ca="1">AVERAGE(OFFSET($R$3,0,0,'Données projet'!$E$9+1,1))-AVERAGE(OFFSET($H$3,0,0,'Données projet'!$E$9+1,1))</f>
        <v>480.34707165277229</v>
      </c>
      <c r="T28" s="59">
        <f t="shared" si="34"/>
        <v>217.17128038304531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55.504564275003808</v>
      </c>
      <c r="AK28" s="13">
        <f t="shared" si="35"/>
        <v>16.026581711739372</v>
      </c>
      <c r="AL28" s="20">
        <f t="shared" si="4"/>
        <v>124.58341259357769</v>
      </c>
      <c r="AM28" s="59">
        <f t="shared" si="5"/>
        <v>399.37690068206297</v>
      </c>
      <c r="AN28" s="59">
        <f ca="1">AVERAGE(OFFSET($AM$3,0,0,'Données projet'!$E$10+1,1))-AVERAGE(OFFSET($H$3,0,0,'Données projet'!$E$10+1,1))</f>
        <v>596.64394969449609</v>
      </c>
      <c r="AO28" s="59">
        <f t="shared" si="36"/>
        <v>312.55704723516362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517.6200068217139</v>
      </c>
      <c r="BI28" s="59">
        <f ca="1">AVERAGE(OFFSET($BH$3,0,0,'Données projet'!$E$11+1,1))-AVERAGE(OFFSET($H$3,0,0,'Données projet'!$E$11+1,1))</f>
        <v>360.53625471540249</v>
      </c>
      <c r="BJ28" s="59">
        <f t="shared" si="38"/>
        <v>326.66299410556076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522.15113172583779</v>
      </c>
      <c r="CD28" s="59">
        <f ca="1">AVERAGE(OFFSET($CC$3,0,0,'Données projet'!$E$12+1,1))-AVERAGE(OFFSET($H$3,0,0,'Données projet'!$E$12+1,1))</f>
        <v>358.39045200457502</v>
      </c>
      <c r="CE28" s="59">
        <f t="shared" si="40"/>
        <v>349.48764057925109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72.435897435897431</v>
      </c>
      <c r="CR28" s="12">
        <f>VLOOKUP(A28,'Données projet'!$A$139:$I$159,9,0)</f>
        <v>6.7948717948717956</v>
      </c>
      <c r="CS28" s="12">
        <f t="array" ref="CS28">INDEX(CR:CR,MIN(IF(ISNUMBER(CR28:CR224),ROW(CR28:CR224),"")))</f>
        <v>6.7948717948717956</v>
      </c>
      <c r="CT28" s="12">
        <f>IF('Données projet'!$A$140&gt;35,CT27+CS28-DB27,IF(A28&lt;'Données projet'!$A$140,$CQ$205^A28,IF(A28='Données projet'!$A$140,'Données projet'!$B$140,CT27+CS28-DB27)))</f>
        <v>72.435897435897431</v>
      </c>
      <c r="CU28" s="17">
        <f>CT28*VLOOKUP('Données projet'!$B$13,Paramètres!$A$1:$I$89,3,0)*VLOOKUP('Données projet'!$B$13,Paramètres!$A$1:$I$89,5,0)</f>
        <v>56.5</v>
      </c>
      <c r="CV28" s="13">
        <f t="shared" si="41"/>
        <v>16.280287626136957</v>
      </c>
      <c r="CW28" s="20">
        <f t="shared" si="13"/>
        <v>126.75900094885519</v>
      </c>
      <c r="CX28" s="59">
        <f t="shared" si="14"/>
        <v>401.55248903734048</v>
      </c>
      <c r="CY28" s="59">
        <f ca="1">AVERAGE(OFFSET($CX$3,0,0,'Données projet'!$E$13+1,1))-AVERAGE(OFFSET($H$3,0,0,'Données projet'!$E$13+1,1))</f>
        <v>201.71903756761543</v>
      </c>
      <c r="CZ28" s="59">
        <f t="shared" si="42"/>
        <v>200.66422845182711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17.307692307692307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2.9235042736666665</v>
      </c>
      <c r="DO28" s="12">
        <f>IF('Données projet'!$A$166&gt;35,DO27+DN28-DW27,IF(A28&lt;'Données projet'!$A$166,$DL$205^A28,IF(A28='Données projet'!$A$166,'Données projet'!$B$166,DO27+DN28-DW27)))</f>
        <v>41.609020253221033</v>
      </c>
      <c r="DP28" s="17">
        <f>DO28*VLOOKUP('Données projet'!$B$14,Paramètres!$A$1:$I$89,3,0)*VLOOKUP('Données projet'!$B$14,Paramètres!$A$1:$I$89,5,0)</f>
        <v>39.595143672965136</v>
      </c>
      <c r="DQ28" s="13">
        <f t="shared" si="43"/>
        <v>11.891276242218426</v>
      </c>
      <c r="DR28" s="20">
        <f t="shared" si="16"/>
        <v>89.672181352278031</v>
      </c>
      <c r="DS28" s="59">
        <f t="shared" si="17"/>
        <v>364.46566944076329</v>
      </c>
      <c r="DT28" s="59">
        <f ca="1">AVERAGE(OFFSET($DS$3,0,0,'Données projet'!$E$14+1,1))-AVERAGE(OFFSET($H$3,0,0,'Données projet'!$E$14+1,1))</f>
        <v>502.4879901989737</v>
      </c>
      <c r="DU28" s="59">
        <f t="shared" si="44"/>
        <v>226.06453328626355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-5.6843418860808015E-14</v>
      </c>
      <c r="EK28" s="17">
        <f>EJ28*VLOOKUP('Données projet'!$B$15,Paramètres!$A$1:$I$89,3,0)*VLOOKUP('Données projet'!$B$15,Paramètres!$A$1:$I$89,5,0)</f>
        <v>-3.2543994166189806E-14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192.76157155207764</v>
      </c>
      <c r="EP28" s="59">
        <f t="shared" si="46"/>
        <v>413.66427458788348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82.16677221043274</v>
      </c>
      <c r="EW28" s="21">
        <f>EXP(-LN(2)/25)*EW27+(1-EXP(-LN(2)/25))/(LN(2)/25)*Calculateur!ER28*Calculateur!ET28*VLOOKUP('Données projet'!$B$15,Paramètres!$A$1:$I$89,3,0)*0.475*44/12</f>
        <v>21.454071522971898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103.62084373340464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66.610345236253565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1.05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3.85</v>
      </c>
      <c r="H29" s="66">
        <f t="shared" si="1"/>
        <v>241.26666666666665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2.9235042736666665</v>
      </c>
      <c r="N29" s="13">
        <f>IF('Données projet'!$A$36&gt;35,N28+M29-V28,IF(A29&lt;'Données projet'!$A$36,$K$205^A29,IF(A29='Données projet'!$A$36,'Données projet'!$B$36,N28+M29-V28)))</f>
        <v>48.300874005334926</v>
      </c>
      <c r="O29" s="13">
        <f>N29*VLOOKUP('Données projet'!$B$9,Paramètres!$A$1:$I$89,3,0)*VLOOKUP('Données projet'!$B$9,Paramètres!$A$1:$I$89,5,0)</f>
        <v>43.702630800027038</v>
      </c>
      <c r="P29" s="13">
        <f t="shared" si="33"/>
        <v>12.974916263481436</v>
      </c>
      <c r="Q29" s="20">
        <f t="shared" si="2"/>
        <v>98.713394468943918</v>
      </c>
      <c r="R29" s="59">
        <f t="shared" si="0"/>
        <v>374.944715530385</v>
      </c>
      <c r="S29" s="59">
        <f ca="1">AVERAGE(OFFSET($R$3,0,0,'Données projet'!$E$9+1,1))-AVERAGE(OFFSET($H$3,0,0,'Données projet'!$E$9+1,1))</f>
        <v>480.34707165277229</v>
      </c>
      <c r="T29" s="59">
        <f t="shared" si="34"/>
        <v>217.17128038304531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65.141885880309971</v>
      </c>
      <c r="AK29" s="13">
        <f t="shared" si="35"/>
        <v>18.462012902656809</v>
      </c>
      <c r="AL29" s="20">
        <f t="shared" si="4"/>
        <v>145.61012371366715</v>
      </c>
      <c r="AM29" s="59">
        <f t="shared" si="5"/>
        <v>421.84144477510824</v>
      </c>
      <c r="AN29" s="59">
        <f ca="1">AVERAGE(OFFSET($AM$3,0,0,'Données projet'!$E$10+1,1))-AVERAGE(OFFSET($H$3,0,0,'Données projet'!$E$10+1,1))</f>
        <v>596.64394969449609</v>
      </c>
      <c r="AO29" s="59">
        <f t="shared" si="36"/>
        <v>312.55704723516362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488.5565743419051</v>
      </c>
      <c r="BI29" s="59">
        <f ca="1">AVERAGE(OFFSET($BH$3,0,0,'Données projet'!$E$11+1,1))-AVERAGE(OFFSET($H$3,0,0,'Données projet'!$E$11+1,1))</f>
        <v>360.53625471540249</v>
      </c>
      <c r="BJ29" s="59">
        <f t="shared" si="38"/>
        <v>326.66299410556076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487.93021049716998</v>
      </c>
      <c r="CD29" s="59">
        <f ca="1">AVERAGE(OFFSET($CC$3,0,0,'Données projet'!$E$12+1,1))-AVERAGE(OFFSET($H$3,0,0,'Données projet'!$E$12+1,1))</f>
        <v>358.39045200457502</v>
      </c>
      <c r="CE29" s="59">
        <f t="shared" si="40"/>
        <v>349.48764057925109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7.3717948717948714</v>
      </c>
      <c r="CT29" s="12">
        <f>IF('Données projet'!$A$140&gt;35,CT28+CS29-DB28,IF(A29&lt;'Données projet'!$A$140,$CQ$205^A29,IF(A29='Données projet'!$A$140,'Données projet'!$B$140,CT28+CS29-DB28)))</f>
        <v>62.5</v>
      </c>
      <c r="CU29" s="17">
        <f>CT29*VLOOKUP('Données projet'!$B$13,Paramètres!$A$1:$I$89,3,0)*VLOOKUP('Données projet'!$B$13,Paramètres!$A$1:$I$89,5,0)</f>
        <v>48.75</v>
      </c>
      <c r="CV29" s="13">
        <f t="shared" si="41"/>
        <v>14.290467583875053</v>
      </c>
      <c r="CW29" s="20">
        <f t="shared" si="13"/>
        <v>109.79548104191571</v>
      </c>
      <c r="CX29" s="59">
        <f t="shared" si="14"/>
        <v>386.02680210335677</v>
      </c>
      <c r="CY29" s="59">
        <f ca="1">AVERAGE(OFFSET($CX$3,0,0,'Données projet'!$E$13+1,1))-AVERAGE(OFFSET($H$3,0,0,'Données projet'!$E$13+1,1))</f>
        <v>201.71903756761543</v>
      </c>
      <c r="CZ29" s="59">
        <f t="shared" si="42"/>
        <v>200.66422845182711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2.9235042736666665</v>
      </c>
      <c r="DO29" s="12">
        <f>IF('Données projet'!$A$166&gt;35,DO28+DN29-DW28,IF(A29&lt;'Données projet'!$A$166,$DL$205^A29,IF(A29='Données projet'!$A$166,'Données projet'!$B$166,DO28+DN29-DW28)))</f>
        <v>48.300874005334926</v>
      </c>
      <c r="DP29" s="17">
        <f>DO29*VLOOKUP('Données projet'!$B$14,Paramètres!$A$1:$I$89,3,0)*VLOOKUP('Données projet'!$B$14,Paramètres!$A$1:$I$89,5,0)</f>
        <v>45.963111703476713</v>
      </c>
      <c r="DQ29" s="13">
        <f t="shared" si="43"/>
        <v>13.566162997695264</v>
      </c>
      <c r="DR29" s="20">
        <f t="shared" si="16"/>
        <v>103.68015343787452</v>
      </c>
      <c r="DS29" s="59">
        <f t="shared" si="17"/>
        <v>379.9114744993156</v>
      </c>
      <c r="DT29" s="59">
        <f ca="1">AVERAGE(OFFSET($DS$3,0,0,'Données projet'!$E$14+1,1))-AVERAGE(OFFSET($H$3,0,0,'Données projet'!$E$14+1,1))</f>
        <v>502.4879901989737</v>
      </c>
      <c r="DU29" s="59">
        <f t="shared" si="44"/>
        <v>226.06453328626355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-5.6843418860808015E-14</v>
      </c>
      <c r="EK29" s="17">
        <f>EJ29*VLOOKUP('Données projet'!$B$15,Paramètres!$A$1:$I$89,3,0)*VLOOKUP('Données projet'!$B$15,Paramètres!$A$1:$I$89,5,0)</f>
        <v>-3.2543994166189806E-14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192.76157155207764</v>
      </c>
      <c r="EP29" s="59">
        <f t="shared" si="46"/>
        <v>413.66427458788348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80.555531924168577</v>
      </c>
      <c r="EW29" s="21">
        <f>EXP(-LN(2)/25)*EW28+(1-EXP(-LN(2)/25))/(LN(2)/25)*Calculateur!ER29*Calculateur!ET29*VLOOKUP('Données projet'!$B$15,Paramètres!$A$1:$I$89,3,0)*0.475*44/12</f>
        <v>20.867408808955645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101.42294073312422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66.669148168271803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1.05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3.85</v>
      </c>
      <c r="H30" s="66">
        <f t="shared" si="1"/>
        <v>241.26666666666665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2.9235042736666665</v>
      </c>
      <c r="N30" s="13">
        <f>IF('Données projet'!$A$36&gt;35,N29+M30-V29,IF(A30&lt;'Données projet'!$A$36,$K$205^A30,IF(A30='Données projet'!$A$36,'Données projet'!$B$36,N29+M30-V29)))</f>
        <v>56.068958497013391</v>
      </c>
      <c r="O30" s="13">
        <f>N30*VLOOKUP('Données projet'!$B$9,Paramètres!$A$1:$I$89,3,0)*VLOOKUP('Données projet'!$B$9,Paramètres!$A$1:$I$89,5,0)</f>
        <v>50.731193648097708</v>
      </c>
      <c r="P30" s="13">
        <f t="shared" si="33"/>
        <v>14.80243376122244</v>
      </c>
      <c r="Q30" s="20">
        <f t="shared" si="2"/>
        <v>114.13773440456593</v>
      </c>
      <c r="R30" s="59">
        <f t="shared" si="0"/>
        <v>391.80314807447098</v>
      </c>
      <c r="S30" s="59">
        <f ca="1">AVERAGE(OFFSET($R$3,0,0,'Données projet'!$E$9+1,1))-AVERAGE(OFFSET($H$3,0,0,'Données projet'!$E$9+1,1))</f>
        <v>480.34707165277229</v>
      </c>
      <c r="T30" s="59">
        <f t="shared" si="34"/>
        <v>217.17128038304531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76.452546767480001</v>
      </c>
      <c r="AK30" s="13">
        <f t="shared" si="35"/>
        <v>21.267537054904178</v>
      </c>
      <c r="AL30" s="20">
        <f t="shared" si="4"/>
        <v>170.19581265731912</v>
      </c>
      <c r="AM30" s="59">
        <f t="shared" si="5"/>
        <v>447.86122632722413</v>
      </c>
      <c r="AN30" s="59">
        <f ca="1">AVERAGE(OFFSET($AM$3,0,0,'Données projet'!$E$10+1,1))-AVERAGE(OFFSET($H$3,0,0,'Données projet'!$E$10+1,1))</f>
        <v>596.64394969449609</v>
      </c>
      <c r="AO30" s="59">
        <f t="shared" si="36"/>
        <v>312.55704723516362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508.45318478955443</v>
      </c>
      <c r="BI30" s="59">
        <f ca="1">AVERAGE(OFFSET($BH$3,0,0,'Données projet'!$E$11+1,1))-AVERAGE(OFFSET($H$3,0,0,'Données projet'!$E$11+1,1))</f>
        <v>360.53625471540249</v>
      </c>
      <c r="BJ30" s="59">
        <f t="shared" si="38"/>
        <v>326.66299410556076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513.72185677470179</v>
      </c>
      <c r="CD30" s="59">
        <f ca="1">AVERAGE(OFFSET($CC$3,0,0,'Données projet'!$E$12+1,1))-AVERAGE(OFFSET($H$3,0,0,'Données projet'!$E$12+1,1))</f>
        <v>358.39045200457502</v>
      </c>
      <c r="CE30" s="59">
        <f t="shared" si="40"/>
        <v>349.48764057925109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7.3717948717948714</v>
      </c>
      <c r="CT30" s="12">
        <f>IF('Données projet'!$A$140&gt;35,CT29+CS30-DB29,IF(A30&lt;'Données projet'!$A$140,$CQ$205^A30,IF(A30='Données projet'!$A$140,'Données projet'!$B$140,CT29+CS30-DB29)))</f>
        <v>69.871794871794876</v>
      </c>
      <c r="CU30" s="17">
        <f>CT30*VLOOKUP('Données projet'!$B$13,Paramètres!$A$1:$I$89,3,0)*VLOOKUP('Données projet'!$B$13,Paramètres!$A$1:$I$89,5,0)</f>
        <v>54.500000000000007</v>
      </c>
      <c r="CV30" s="13">
        <f t="shared" si="41"/>
        <v>15.770011654349027</v>
      </c>
      <c r="CW30" s="20">
        <f t="shared" si="13"/>
        <v>122.38693696465789</v>
      </c>
      <c r="CX30" s="59">
        <f t="shared" si="14"/>
        <v>400.05235063456291</v>
      </c>
      <c r="CY30" s="59">
        <f ca="1">AVERAGE(OFFSET($CX$3,0,0,'Données projet'!$E$13+1,1))-AVERAGE(OFFSET($H$3,0,0,'Données projet'!$E$13+1,1))</f>
        <v>201.71903756761543</v>
      </c>
      <c r="CZ30" s="59">
        <f t="shared" si="42"/>
        <v>200.66422845182711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2.9235042736666665</v>
      </c>
      <c r="DO30" s="12">
        <f>IF('Données projet'!$A$166&gt;35,DO29+DN30-DW29,IF(A30&lt;'Données projet'!$A$166,$DL$205^A30,IF(A30='Données projet'!$A$166,'Données projet'!$B$166,DO29+DN30-DW29)))</f>
        <v>56.068958497013391</v>
      </c>
      <c r="DP30" s="17">
        <f>DO30*VLOOKUP('Données projet'!$B$14,Paramètres!$A$1:$I$89,3,0)*VLOOKUP('Données projet'!$B$14,Paramètres!$A$1:$I$89,5,0)</f>
        <v>53.355220905757939</v>
      </c>
      <c r="DQ30" s="13">
        <f t="shared" si="43"/>
        <v>15.476957622649733</v>
      </c>
      <c r="DR30" s="20">
        <f t="shared" si="16"/>
        <v>119.88271093697669</v>
      </c>
      <c r="DS30" s="59">
        <f t="shared" si="17"/>
        <v>397.54812460688174</v>
      </c>
      <c r="DT30" s="59">
        <f ca="1">AVERAGE(OFFSET($DS$3,0,0,'Données projet'!$E$14+1,1))-AVERAGE(OFFSET($H$3,0,0,'Données projet'!$E$14+1,1))</f>
        <v>502.4879901989737</v>
      </c>
      <c r="DU30" s="59">
        <f t="shared" si="44"/>
        <v>226.06453328626355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-5.6843418860808015E-14</v>
      </c>
      <c r="EK30" s="17">
        <f>EJ30*VLOOKUP('Données projet'!$B$15,Paramètres!$A$1:$I$89,3,0)*VLOOKUP('Données projet'!$B$15,Paramètres!$A$1:$I$89,5,0)</f>
        <v>-3.2543994166189806E-14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192.76157155207764</v>
      </c>
      <c r="EP30" s="59">
        <f t="shared" si="46"/>
        <v>413.66427458788348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78.975887077158518</v>
      </c>
      <c r="EW30" s="21">
        <f>EXP(-LN(2)/25)*EW29+(1-EXP(-LN(2)/25))/(LN(2)/25)*Calculateur!ER30*Calculateur!ET30*VLOOKUP('Données projet'!$B$15,Paramètres!$A$1:$I$89,3,0)*0.475*44/12</f>
        <v>20.296788417705418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99.272675494863932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66.726931000883184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1.05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3.85</v>
      </c>
      <c r="H31" s="66">
        <f t="shared" si="1"/>
        <v>241.26666666666665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2.9235042736666665</v>
      </c>
      <c r="N31" s="13">
        <f>IF('Données projet'!$A$36&gt;35,N30+M31-V30,IF(A31&lt;'Données projet'!$A$36,$K$205^A31,IF(A31='Données projet'!$A$36,'Données projet'!$B$36,N30+M31-V30)))</f>
        <v>65.086360685576395</v>
      </c>
      <c r="O31" s="13">
        <f>N31*VLOOKUP('Données projet'!$B$9,Paramètres!$A$1:$I$89,3,0)*VLOOKUP('Données projet'!$B$9,Paramètres!$A$1:$I$89,5,0)</f>
        <v>58.890139148309522</v>
      </c>
      <c r="P31" s="13">
        <f t="shared" si="33"/>
        <v>16.887357174865162</v>
      </c>
      <c r="Q31" s="20">
        <f t="shared" si="2"/>
        <v>131.97913942952923</v>
      </c>
      <c r="R31" s="59">
        <f t="shared" si="0"/>
        <v>411.07497023036808</v>
      </c>
      <c r="S31" s="59">
        <f ca="1">AVERAGE(OFFSET($R$3,0,0,'Données projet'!$E$9+1,1))-AVERAGE(OFFSET($H$3,0,0,'Données projet'!$E$9+1,1))</f>
        <v>480.34707165277229</v>
      </c>
      <c r="T31" s="59">
        <f t="shared" si="34"/>
        <v>217.17128038304531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89.72709076880507</v>
      </c>
      <c r="AK31" s="13">
        <f t="shared" si="35"/>
        <v>24.499394230010086</v>
      </c>
      <c r="AL31" s="20">
        <f t="shared" si="4"/>
        <v>198.94446137293639</v>
      </c>
      <c r="AM31" s="59">
        <f t="shared" si="5"/>
        <v>478.04029217377524</v>
      </c>
      <c r="AN31" s="59">
        <f ca="1">AVERAGE(OFFSET($AM$3,0,0,'Données projet'!$E$10+1,1))-AVERAGE(OFFSET($H$3,0,0,'Données projet'!$E$10+1,1))</f>
        <v>596.64394969449609</v>
      </c>
      <c r="AO31" s="59">
        <f t="shared" si="36"/>
        <v>312.55704723516362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528.31236631552861</v>
      </c>
      <c r="BI31" s="59">
        <f ca="1">AVERAGE(OFFSET($BH$3,0,0,'Données projet'!$E$11+1,1))-AVERAGE(OFFSET($H$3,0,0,'Données projet'!$E$11+1,1))</f>
        <v>360.53625471540249</v>
      </c>
      <c r="BJ31" s="59">
        <f t="shared" si="38"/>
        <v>326.66299410556076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539.45249921469622</v>
      </c>
      <c r="CD31" s="59">
        <f ca="1">AVERAGE(OFFSET($CC$3,0,0,'Données projet'!$E$12+1,1))-AVERAGE(OFFSET($H$3,0,0,'Données projet'!$E$12+1,1))</f>
        <v>358.39045200457502</v>
      </c>
      <c r="CE31" s="59">
        <f t="shared" si="40"/>
        <v>349.48764057925109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7.3717948717948714</v>
      </c>
      <c r="CT31" s="12">
        <f>IF('Données projet'!$A$140&gt;35,CT30+CS31-DB30,IF(A31&lt;'Données projet'!$A$140,$CQ$205^A31,IF(A31='Données projet'!$A$140,'Données projet'!$B$140,CT30+CS31-DB30)))</f>
        <v>77.243589743589752</v>
      </c>
      <c r="CU31" s="17">
        <f>CT31*VLOOKUP('Données projet'!$B$13,Paramètres!$A$1:$I$89,3,0)*VLOOKUP('Données projet'!$B$13,Paramètres!$A$1:$I$89,5,0)</f>
        <v>60.250000000000007</v>
      </c>
      <c r="CV31" s="13">
        <f t="shared" si="41"/>
        <v>17.231461552057397</v>
      </c>
      <c r="CW31" s="20">
        <f t="shared" si="13"/>
        <v>134.94687886983328</v>
      </c>
      <c r="CX31" s="59">
        <f t="shared" si="14"/>
        <v>414.04270967067214</v>
      </c>
      <c r="CY31" s="59">
        <f ca="1">AVERAGE(OFFSET($CX$3,0,0,'Données projet'!$E$13+1,1))-AVERAGE(OFFSET($H$3,0,0,'Données projet'!$E$13+1,1))</f>
        <v>201.71903756761543</v>
      </c>
      <c r="CZ31" s="59">
        <f t="shared" si="42"/>
        <v>200.66422845182711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2.9235042736666665</v>
      </c>
      <c r="DO31" s="12">
        <f>IF('Données projet'!$A$166&gt;35,DO30+DN31-DW30,IF(A31&lt;'Données projet'!$A$166,$DL$205^A31,IF(A31='Données projet'!$A$166,'Données projet'!$B$166,DO30+DN31-DW30)))</f>
        <v>65.086360685576395</v>
      </c>
      <c r="DP31" s="17">
        <f>DO31*VLOOKUP('Données projet'!$B$14,Paramètres!$A$1:$I$89,3,0)*VLOOKUP('Données projet'!$B$14,Paramètres!$A$1:$I$89,5,0)</f>
        <v>61.936180828394491</v>
      </c>
      <c r="DQ31" s="13">
        <f t="shared" si="43"/>
        <v>17.656887750352848</v>
      </c>
      <c r="DR31" s="20">
        <f t="shared" si="16"/>
        <v>138.62459444131827</v>
      </c>
      <c r="DS31" s="59">
        <f t="shared" si="17"/>
        <v>417.72042524215715</v>
      </c>
      <c r="DT31" s="59">
        <f ca="1">AVERAGE(OFFSET($DS$3,0,0,'Données projet'!$E$14+1,1))-AVERAGE(OFFSET($H$3,0,0,'Données projet'!$E$14+1,1))</f>
        <v>502.4879901989737</v>
      </c>
      <c r="DU31" s="59">
        <f t="shared" si="44"/>
        <v>226.06453328626355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-5.6843418860808015E-14</v>
      </c>
      <c r="EK31" s="17">
        <f>EJ31*VLOOKUP('Données projet'!$B$15,Paramètres!$A$1:$I$89,3,0)*VLOOKUP('Données projet'!$B$15,Paramètres!$A$1:$I$89,5,0)</f>
        <v>-3.2543994166189806E-14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192.76157155207764</v>
      </c>
      <c r="EP31" s="59">
        <f t="shared" si="46"/>
        <v>413.66427458788348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77.427218102110118</v>
      </c>
      <c r="EW31" s="21">
        <f>EXP(-LN(2)/25)*EW30+(1-EXP(-LN(2)/25))/(LN(2)/25)*Calculateur!ER31*Calculateur!ET31*VLOOKUP('Données projet'!$B$15,Paramètres!$A$1:$I$89,3,0)*0.475*44/12</f>
        <v>19.741771671061549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97.16898977317166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66.783711430531824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1.05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3.85</v>
      </c>
      <c r="H32" s="66">
        <f t="shared" si="1"/>
        <v>241.26666666666665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2.9235042736666665</v>
      </c>
      <c r="N32" s="13">
        <f>IF('Données projet'!$A$36&gt;35,N31+M32-V31,IF(A32&lt;'Données projet'!$A$36,$K$205^A32,IF(A32='Données projet'!$A$36,'Données projet'!$B$36,N31+M32-V31)))</f>
        <v>75.554004583812542</v>
      </c>
      <c r="O32" s="13">
        <f>N32*VLOOKUP('Données projet'!$B$9,Paramètres!$A$1:$I$89,3,0)*VLOOKUP('Données projet'!$B$9,Paramètres!$A$1:$I$89,5,0)</f>
        <v>68.361263347433592</v>
      </c>
      <c r="P32" s="13">
        <f t="shared" si="33"/>
        <v>19.265942138417536</v>
      </c>
      <c r="Q32" s="20">
        <f t="shared" si="2"/>
        <v>152.61738288785739</v>
      </c>
      <c r="R32" s="59">
        <f t="shared" si="0"/>
        <v>433.14001910341813</v>
      </c>
      <c r="S32" s="59">
        <f ca="1">AVERAGE(OFFSET($R$3,0,0,'Données projet'!$E$9+1,1))-AVERAGE(OFFSET($H$3,0,0,'Données projet'!$E$9+1,1))</f>
        <v>480.34707165277229</v>
      </c>
      <c r="T32" s="59">
        <f t="shared" si="34"/>
        <v>217.17128038304531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105.30650917776822</v>
      </c>
      <c r="AK32" s="13">
        <f t="shared" si="35"/>
        <v>28.222370840964146</v>
      </c>
      <c r="AL32" s="20">
        <f t="shared" si="4"/>
        <v>232.56279936595885</v>
      </c>
      <c r="AM32" s="59">
        <f t="shared" si="5"/>
        <v>513.08543558151962</v>
      </c>
      <c r="AN32" s="59">
        <f ca="1">AVERAGE(OFFSET($AM$3,0,0,'Données projet'!$E$10+1,1))-AVERAGE(OFFSET($H$3,0,0,'Données projet'!$E$10+1,1))</f>
        <v>596.64394969449609</v>
      </c>
      <c r="AO32" s="59">
        <f t="shared" si="36"/>
        <v>312.55704723516362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548.13702963122137</v>
      </c>
      <c r="BI32" s="59">
        <f ca="1">AVERAGE(OFFSET($BH$3,0,0,'Données projet'!$E$11+1,1))-AVERAGE(OFFSET($H$3,0,0,'Données projet'!$E$11+1,1))</f>
        <v>360.53625471540249</v>
      </c>
      <c r="BJ32" s="59">
        <f t="shared" si="38"/>
        <v>326.66299410556076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565.1283030734478</v>
      </c>
      <c r="CD32" s="59">
        <f ca="1">AVERAGE(OFFSET($CC$3,0,0,'Données projet'!$E$12+1,1))-AVERAGE(OFFSET($H$3,0,0,'Données projet'!$E$12+1,1))</f>
        <v>358.39045200457502</v>
      </c>
      <c r="CE32" s="59">
        <f t="shared" si="40"/>
        <v>349.48764057925109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7.3717948717948714</v>
      </c>
      <c r="CT32" s="12">
        <f>IF('Données projet'!$A$140&gt;35,CT31+CS32-DB31,IF(A32&lt;'Données projet'!$A$140,$CQ$205^A32,IF(A32='Données projet'!$A$140,'Données projet'!$B$140,CT31+CS32-DB31)))</f>
        <v>84.615384615384627</v>
      </c>
      <c r="CU32" s="17">
        <f>CT32*VLOOKUP('Données projet'!$B$13,Paramètres!$A$1:$I$89,3,0)*VLOOKUP('Données projet'!$B$13,Paramètres!$A$1:$I$89,5,0)</f>
        <v>66.000000000000014</v>
      </c>
      <c r="CV32" s="13">
        <f t="shared" si="41"/>
        <v>18.676740573099728</v>
      </c>
      <c r="CW32" s="20">
        <f t="shared" si="13"/>
        <v>147.47865649814872</v>
      </c>
      <c r="CX32" s="59">
        <f t="shared" si="14"/>
        <v>428.00129271370946</v>
      </c>
      <c r="CY32" s="59">
        <f ca="1">AVERAGE(OFFSET($CX$3,0,0,'Données projet'!$E$13+1,1))-AVERAGE(OFFSET($H$3,0,0,'Données projet'!$E$13+1,1))</f>
        <v>201.71903756761543</v>
      </c>
      <c r="CZ32" s="59">
        <f t="shared" si="42"/>
        <v>200.66422845182711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2.9235042736666665</v>
      </c>
      <c r="DO32" s="12">
        <f>IF('Données projet'!$A$166&gt;35,DO31+DN32-DW31,IF(A32&lt;'Données projet'!$A$166,$DL$205^A32,IF(A32='Données projet'!$A$166,'Données projet'!$B$166,DO31+DN32-DW31)))</f>
        <v>75.554004583812542</v>
      </c>
      <c r="DP32" s="17">
        <f>DO32*VLOOKUP('Données projet'!$B$14,Paramètres!$A$1:$I$89,3,0)*VLOOKUP('Données projet'!$B$14,Paramètres!$A$1:$I$89,5,0)</f>
        <v>71.897190761956026</v>
      </c>
      <c r="DQ32" s="13">
        <f t="shared" si="43"/>
        <v>20.143861127609956</v>
      </c>
      <c r="DR32" s="20">
        <f t="shared" si="16"/>
        <v>160.30483204099406</v>
      </c>
      <c r="DS32" s="59">
        <f t="shared" si="17"/>
        <v>440.82746825655477</v>
      </c>
      <c r="DT32" s="59">
        <f ca="1">AVERAGE(OFFSET($DS$3,0,0,'Données projet'!$E$14+1,1))-AVERAGE(OFFSET($H$3,0,0,'Données projet'!$E$14+1,1))</f>
        <v>502.4879901989737</v>
      </c>
      <c r="DU32" s="59">
        <f t="shared" si="44"/>
        <v>226.06453328626355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-5.6843418860808015E-14</v>
      </c>
      <c r="EK32" s="17">
        <f>EJ32*VLOOKUP('Données projet'!$B$15,Paramètres!$A$1:$I$89,3,0)*VLOOKUP('Données projet'!$B$15,Paramètres!$A$1:$I$89,5,0)</f>
        <v>-3.2543994166189806E-14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192.76157155207764</v>
      </c>
      <c r="EP32" s="59">
        <f t="shared" si="46"/>
        <v>413.66427458788348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75.908917581067612</v>
      </c>
      <c r="EW32" s="21">
        <f>EXP(-LN(2)/25)*EW31+(1-EXP(-LN(2)/25))/(LN(2)/25)*Calculateur!ER32*Calculateur!ET32*VLOOKUP('Données projet'!$B$15,Paramètres!$A$1:$I$89,3,0)*0.475*44/12</f>
        <v>19.201931886541718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95.110849467609327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66.839506846668073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1.05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3.85</v>
      </c>
      <c r="H33" s="66">
        <f t="shared" si="1"/>
        <v>241.26666666666665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87.705128209999998</v>
      </c>
      <c r="L33" s="12">
        <f>VLOOKUP(A33,'Données projet'!$A$35:$I$55,9,0)</f>
        <v>2.9235042736666665</v>
      </c>
      <c r="M33" s="12">
        <f t="array" ref="M33">INDEX(L:L,MIN(IF(ISNUMBER(L33:L229),ROW(L33:L229),"")))</f>
        <v>2.9235042736666665</v>
      </c>
      <c r="N33" s="13">
        <f>IF('Données projet'!$A$36&gt;35,N32+M33-V32,IF(A33&lt;'Données projet'!$A$36,$K$205^A33,IF(A33='Données projet'!$A$36,'Données projet'!$B$36,N32+M33-V32)))</f>
        <v>87.705128209999998</v>
      </c>
      <c r="O33" s="13">
        <f>N33*VLOOKUP('Données projet'!$B$9,Paramètres!$A$1:$I$89,3,0)*VLOOKUP('Données projet'!$B$9,Paramètres!$A$1:$I$89,5,0)</f>
        <v>79.355600004407989</v>
      </c>
      <c r="P33" s="13">
        <f t="shared" si="33"/>
        <v>21.979550893452156</v>
      </c>
      <c r="Q33" s="20">
        <f t="shared" si="2"/>
        <v>176.49205448043975</v>
      </c>
      <c r="R33" s="59">
        <f t="shared" si="0"/>
        <v>458.43794704971197</v>
      </c>
      <c r="S33" s="59">
        <f ca="1">AVERAGE(OFFSET($R$3,0,0,'Données projet'!$E$9+1,1))-AVERAGE(OFFSET($H$3,0,0,'Données projet'!$E$9+1,1))</f>
        <v>480.34707165277229</v>
      </c>
      <c r="T33" s="59">
        <f t="shared" si="34"/>
        <v>217.17128038304531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123.59099999999999</v>
      </c>
      <c r="AK33" s="13">
        <f t="shared" si="35"/>
        <v>32.511098372760657</v>
      </c>
      <c r="AL33" s="20">
        <f t="shared" si="4"/>
        <v>271.87782133255809</v>
      </c>
      <c r="AM33" s="59">
        <f t="shared" si="5"/>
        <v>553.82371390183027</v>
      </c>
      <c r="AN33" s="59">
        <f ca="1">AVERAGE(OFFSET($AM$3,0,0,'Données projet'!$E$10+1,1))-AVERAGE(OFFSET($H$3,0,0,'Données projet'!$E$10+1,1))</f>
        <v>596.64394969449609</v>
      </c>
      <c r="AO33" s="59">
        <f t="shared" si="36"/>
        <v>312.55704723516362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567.92966077222741</v>
      </c>
      <c r="BI33" s="59">
        <f ca="1">AVERAGE(OFFSET($BH$3,0,0,'Données projet'!$E$11+1,1))-AVERAGE(OFFSET($H$3,0,0,'Données projet'!$E$11+1,1))</f>
        <v>360.53625471540249</v>
      </c>
      <c r="BJ33" s="59">
        <f t="shared" si="38"/>
        <v>326.66299410556076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590.75430724591774</v>
      </c>
      <c r="CD33" s="59">
        <f ca="1">AVERAGE(OFFSET($CC$3,0,0,'Données projet'!$E$12+1,1))-AVERAGE(OFFSET($H$3,0,0,'Données projet'!$E$12+1,1))</f>
        <v>358.39045200457502</v>
      </c>
      <c r="CE33" s="59">
        <f t="shared" si="40"/>
        <v>349.48764057925109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7.3717948717948714</v>
      </c>
      <c r="CT33" s="12">
        <f>IF('Données projet'!$A$140&gt;35,CT32+CS33-DB32,IF(A33&lt;'Données projet'!$A$140,$CQ$205^A33,IF(A33='Données projet'!$A$140,'Données projet'!$B$140,CT32+CS33-DB32)))</f>
        <v>91.987179487179503</v>
      </c>
      <c r="CU33" s="17">
        <f>CT33*VLOOKUP('Données projet'!$B$13,Paramètres!$A$1:$I$89,3,0)*VLOOKUP('Données projet'!$B$13,Paramètres!$A$1:$I$89,5,0)</f>
        <v>71.750000000000014</v>
      </c>
      <c r="CV33" s="13">
        <f t="shared" si="41"/>
        <v>20.107417731610468</v>
      </c>
      <c r="CW33" s="20">
        <f t="shared" si="13"/>
        <v>159.98500254922158</v>
      </c>
      <c r="CX33" s="59">
        <f t="shared" si="14"/>
        <v>441.93089511849377</v>
      </c>
      <c r="CY33" s="59">
        <f ca="1">AVERAGE(OFFSET($CX$3,0,0,'Données projet'!$E$13+1,1))-AVERAGE(OFFSET($H$3,0,0,'Données projet'!$E$13+1,1))</f>
        <v>201.71903756761543</v>
      </c>
      <c r="CZ33" s="59">
        <f t="shared" si="42"/>
        <v>200.66422845182711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87.705128209999998</v>
      </c>
      <c r="DM33" s="12">
        <f>VLOOKUP(A33,'Données projet'!$A$165:$I$185,9,0)</f>
        <v>2.9235042736666665</v>
      </c>
      <c r="DN33" s="12">
        <f t="array" ref="DN33">INDEX(DM:DM,MIN(IF(ISNUMBER(DM33:DM229),ROW(DM33:DM229),"")))</f>
        <v>2.9235042736666665</v>
      </c>
      <c r="DO33" s="12">
        <f>IF('Données projet'!$A$166&gt;35,DO32+DN33-DW32,IF(A33&lt;'Données projet'!$A$166,$DL$205^A33,IF(A33='Données projet'!$A$166,'Données projet'!$B$166,DO32+DN33-DW32)))</f>
        <v>87.705128209999998</v>
      </c>
      <c r="DP33" s="17">
        <f>DO33*VLOOKUP('Données projet'!$B$14,Paramètres!$A$1:$I$89,3,0)*VLOOKUP('Données projet'!$B$14,Paramètres!$A$1:$I$89,5,0)</f>
        <v>83.460200004635993</v>
      </c>
      <c r="DQ33" s="13">
        <f t="shared" si="43"/>
        <v>22.981124808947566</v>
      </c>
      <c r="DR33" s="20">
        <f t="shared" si="16"/>
        <v>185.38530738365804</v>
      </c>
      <c r="DS33" s="59">
        <f t="shared" si="17"/>
        <v>467.33119995293021</v>
      </c>
      <c r="DT33" s="59">
        <f ca="1">AVERAGE(OFFSET($DS$3,0,0,'Données projet'!$E$14+1,1))-AVERAGE(OFFSET($H$3,0,0,'Données projet'!$E$14+1,1))</f>
        <v>502.4879901989737</v>
      </c>
      <c r="DU33" s="59">
        <f t="shared" si="44"/>
        <v>226.06453328626355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-5.6843418860808015E-14</v>
      </c>
      <c r="EK33" s="17">
        <f>EJ33*VLOOKUP('Données projet'!$B$15,Paramètres!$A$1:$I$89,3,0)*VLOOKUP('Données projet'!$B$15,Paramètres!$A$1:$I$89,5,0)</f>
        <v>-3.2543994166189806E-14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192.76157155207764</v>
      </c>
      <c r="EP33" s="59">
        <f t="shared" si="46"/>
        <v>413.66427458788348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74.420390007170866</v>
      </c>
      <c r="EW33" s="21">
        <f>EXP(-LN(2)/25)*EW32+(1-EXP(-LN(2)/25))/(LN(2)/25)*Calculateur!ER33*Calculateur!ET33*VLOOKUP('Données projet'!$B$15,Paramètres!$A$1:$I$89,3,0)*0.475*44/12</f>
        <v>18.676854049318525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93.097244056489387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66.894334337074227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1.05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3.85</v>
      </c>
      <c r="H34" s="66">
        <f t="shared" si="1"/>
        <v>241.26666666666665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8.147490842142858</v>
      </c>
      <c r="N34" s="13">
        <f>IF('Données projet'!$A$36&gt;35,N33+M34-V33,IF(A34&lt;'Données projet'!$A$36,$K$205^A34,IF(A34='Données projet'!$A$36,'Données projet'!$B$36,N33+M34-V33)))</f>
        <v>95.852619052142856</v>
      </c>
      <c r="O34" s="13">
        <f>N34*VLOOKUP('Données projet'!$B$9,Paramètres!$A$1:$I$89,3,0)*VLOOKUP('Données projet'!$B$9,Paramètres!$A$1:$I$89,5,0)</f>
        <v>86.72744971837885</v>
      </c>
      <c r="P34" s="13">
        <f t="shared" si="33"/>
        <v>23.774271351284888</v>
      </c>
      <c r="Q34" s="20">
        <f t="shared" si="2"/>
        <v>192.45716419633104</v>
      </c>
      <c r="R34" s="59">
        <f t="shared" si="0"/>
        <v>474.60060340435609</v>
      </c>
      <c r="S34" s="59">
        <f ca="1">AVERAGE(OFFSET($R$3,0,0,'Données projet'!$E$9+1,1))-AVERAGE(OFFSET($H$3,0,0,'Données projet'!$E$9+1,1))</f>
        <v>480.34707165277229</v>
      </c>
      <c r="T34" s="59">
        <f t="shared" si="34"/>
        <v>217.17128038304531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15.881076923076924</v>
      </c>
      <c r="AI34" s="13">
        <f>IF('Données projet'!$A$62&gt;35,AI33+AH34-AQ33,IF(A34&lt;'Données projet'!$A$62,$AF$205^A34,IF(A34='Données projet'!$A$62,'Données projet'!$B$62,AI33+AH34-AQ33)))</f>
        <v>137.76569230769229</v>
      </c>
      <c r="AJ34" s="13">
        <f>AI34*VLOOKUP('Données projet'!$B$10,Paramètres!$A$1:$I$89,3,0)*VLOOKUP('Données projet'!$B$10,Paramètres!$A$1:$I$89,5,0)</f>
        <v>139.694412</v>
      </c>
      <c r="AK34" s="13">
        <f t="shared" si="35"/>
        <v>36.226990674820662</v>
      </c>
      <c r="AL34" s="20">
        <f t="shared" si="4"/>
        <v>306.39644299197931</v>
      </c>
      <c r="AM34" s="59">
        <f t="shared" si="5"/>
        <v>588.53988220000429</v>
      </c>
      <c r="AN34" s="59">
        <f ca="1">AVERAGE(OFFSET($AM$3,0,0,'Données projet'!$E$10+1,1))-AVERAGE(OFFSET($H$3,0,0,'Données projet'!$E$10+1,1))</f>
        <v>596.64394969449609</v>
      </c>
      <c r="AO34" s="59">
        <f t="shared" si="36"/>
        <v>312.55704723516362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534.7414133448442</v>
      </c>
      <c r="BI34" s="59">
        <f ca="1">AVERAGE(OFFSET($BH$3,0,0,'Données projet'!$E$11+1,1))-AVERAGE(OFFSET($H$3,0,0,'Données projet'!$E$11+1,1))</f>
        <v>360.53625471540249</v>
      </c>
      <c r="BJ34" s="59">
        <f t="shared" si="38"/>
        <v>326.66299410556076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553.0936836359358</v>
      </c>
      <c r="CD34" s="59">
        <f ca="1">AVERAGE(OFFSET($CC$3,0,0,'Données projet'!$E$12+1,1))-AVERAGE(OFFSET($H$3,0,0,'Données projet'!$E$12+1,1))</f>
        <v>358.39045200457502</v>
      </c>
      <c r="CE34" s="59">
        <f t="shared" si="40"/>
        <v>349.48764057925109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99.358974358974351</v>
      </c>
      <c r="CR34" s="12">
        <f>VLOOKUP(A34,'Données projet'!$A$139:$I$159,9,0)</f>
        <v>7.3717948717948714</v>
      </c>
      <c r="CS34" s="12">
        <f t="array" ref="CS34">INDEX(CR:CR,MIN(IF(ISNUMBER(CR34:CR230),ROW(CR34:CR230),"")))</f>
        <v>7.3717948717948714</v>
      </c>
      <c r="CT34" s="12">
        <f>IF('Données projet'!$A$140&gt;35,CT33+CS34-DB33,IF(A34&lt;'Données projet'!$A$140,$CQ$205^A34,IF(A34='Données projet'!$A$140,'Données projet'!$B$140,CT33+CS34-DB33)))</f>
        <v>99.358974358974379</v>
      </c>
      <c r="CU34" s="17">
        <f>CT34*VLOOKUP('Données projet'!$B$13,Paramètres!$A$1:$I$89,3,0)*VLOOKUP('Données projet'!$B$13,Paramètres!$A$1:$I$89,5,0)</f>
        <v>77.500000000000014</v>
      </c>
      <c r="CV34" s="13">
        <f t="shared" si="41"/>
        <v>21.524796250766268</v>
      </c>
      <c r="CW34" s="20">
        <f t="shared" si="13"/>
        <v>172.46818680341792</v>
      </c>
      <c r="CX34" s="59">
        <f t="shared" si="14"/>
        <v>454.61162601144292</v>
      </c>
      <c r="CY34" s="59">
        <f ca="1">AVERAGE(OFFSET($CX$3,0,0,'Données projet'!$E$13+1,1))-AVERAGE(OFFSET($H$3,0,0,'Données projet'!$E$13+1,1))</f>
        <v>201.71903756761543</v>
      </c>
      <c r="CZ34" s="59">
        <f t="shared" si="42"/>
        <v>200.66422845182711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23.076923076923077</v>
      </c>
      <c r="DC34" s="16">
        <f>IF(ISNA(VLOOKUP(A34,'Données projet'!$A$139:$I$159,5,0)),0%,VLOOKUP(A34,'Données projet'!$A$139:$I$159,5,0)*VLOOKUP('Données projet'!$B$13,Paramètres!$A$1:$I$89,7,0))</f>
        <v>0.43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8.5563407375850336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8.5563407375850336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8.147490842142858</v>
      </c>
      <c r="DO34" s="12">
        <f>IF('Données projet'!$A$166&gt;35,DO33+DN34-DW33,IF(A34&lt;'Données projet'!$A$166,$DL$205^A34,IF(A34='Données projet'!$A$166,'Données projet'!$B$166,DO33+DN34-DW33)))</f>
        <v>95.852619052142856</v>
      </c>
      <c r="DP34" s="17">
        <f>DO34*VLOOKUP('Données projet'!$B$14,Paramètres!$A$1:$I$89,3,0)*VLOOKUP('Données projet'!$B$14,Paramètres!$A$1:$I$89,5,0)</f>
        <v>91.213352290019145</v>
      </c>
      <c r="DQ34" s="13">
        <f t="shared" si="43"/>
        <v>24.857627883944978</v>
      </c>
      <c r="DR34" s="20">
        <f t="shared" si="16"/>
        <v>202.15695713632087</v>
      </c>
      <c r="DS34" s="59">
        <f t="shared" si="17"/>
        <v>484.30039634434593</v>
      </c>
      <c r="DT34" s="59">
        <f ca="1">AVERAGE(OFFSET($DS$3,0,0,'Données projet'!$E$14+1,1))-AVERAGE(OFFSET($H$3,0,0,'Données projet'!$E$14+1,1))</f>
        <v>502.4879901989737</v>
      </c>
      <c r="DU34" s="59">
        <f t="shared" si="44"/>
        <v>226.06453328626355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-5.6843418860808015E-14</v>
      </c>
      <c r="EK34" s="17">
        <f>EJ34*VLOOKUP('Données projet'!$B$15,Paramètres!$A$1:$I$89,3,0)*VLOOKUP('Données projet'!$B$15,Paramètres!$A$1:$I$89,5,0)</f>
        <v>-3.2543994166189806E-14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192.76157155207764</v>
      </c>
      <c r="EP34" s="59">
        <f t="shared" si="46"/>
        <v>413.66427458788348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72.961051551086072</v>
      </c>
      <c r="EW34" s="21">
        <f>EXP(-LN(2)/25)*EW33+(1-EXP(-LN(2)/25))/(LN(2)/25)*Calculateur!ER34*Calculateur!ET34*VLOOKUP('Données projet'!$B$15,Paramètres!$A$1:$I$89,3,0)*0.475*44/12</f>
        <v>18.16613449316684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91.127186044252909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66.948210693097735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1.05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3.85</v>
      </c>
      <c r="H35" s="66">
        <f t="shared" si="1"/>
        <v>241.26666666666665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8.147490842142858</v>
      </c>
      <c r="N35" s="13">
        <f>IF('Données projet'!$A$36&gt;35,N34+M35-V34,IF(A35&lt;'Données projet'!$A$36,$K$205^A35,IF(A35='Données projet'!$A$36,'Données projet'!$B$36,N34+M35-V34)))</f>
        <v>104.00010989428571</v>
      </c>
      <c r="O35" s="13">
        <f>N35*VLOOKUP('Données projet'!$B$9,Paramètres!$A$1:$I$89,3,0)*VLOOKUP('Données projet'!$B$9,Paramètres!$A$1:$I$89,5,0)</f>
        <v>94.09929943234971</v>
      </c>
      <c r="P35" s="13">
        <f t="shared" si="33"/>
        <v>25.55129988819704</v>
      </c>
      <c r="Q35" s="20">
        <f t="shared" ref="Q35:Q66" si="53">(O35+P35)*0.475*44/12</f>
        <v>208.39146048328556</v>
      </c>
      <c r="R35" s="59">
        <f t="shared" si="0"/>
        <v>490.72901933752917</v>
      </c>
      <c r="S35" s="59">
        <f ca="1">AVERAGE(OFFSET($R$3,0,0,'Données projet'!$E$9+1,1))-AVERAGE(OFFSET($H$3,0,0,'Données projet'!$E$9+1,1))</f>
        <v>480.34707165277229</v>
      </c>
      <c r="T35" s="59">
        <f t="shared" si="34"/>
        <v>217.17128038304531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15.881076923076924</v>
      </c>
      <c r="AI35" s="13">
        <f>IF('Données projet'!$A$62&gt;35,AI34+AH35-AQ34,IF(A35&lt;'Données projet'!$A$62,$AF$205^A35,IF(A35='Données projet'!$A$62,'Données projet'!$B$62,AI34+AH35-AQ34)))</f>
        <v>153.64676923076922</v>
      </c>
      <c r="AJ35" s="13">
        <f>AI35*VLOOKUP('Données projet'!$B$10,Paramètres!$A$1:$I$89,3,0)*VLOOKUP('Données projet'!$B$10,Paramètres!$A$1:$I$89,5,0)</f>
        <v>155.79782400000002</v>
      </c>
      <c r="AK35" s="13">
        <f t="shared" si="35"/>
        <v>39.893239749727989</v>
      </c>
      <c r="AL35" s="20">
        <f t="shared" si="4"/>
        <v>340.82860269744293</v>
      </c>
      <c r="AM35" s="59">
        <f t="shared" si="5"/>
        <v>623.16616155168663</v>
      </c>
      <c r="AN35" s="59">
        <f ca="1">AVERAGE(OFFSET($AM$3,0,0,'Données projet'!$E$10+1,1))-AVERAGE(OFFSET($H$3,0,0,'Données projet'!$E$10+1,1))</f>
        <v>596.64394969449609</v>
      </c>
      <c r="AO35" s="59">
        <f t="shared" si="36"/>
        <v>312.55704723516362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552.20274897023228</v>
      </c>
      <c r="BI35" s="59">
        <f ca="1">AVERAGE(OFFSET($BH$3,0,0,'Données projet'!$E$11+1,1))-AVERAGE(OFFSET($H$3,0,0,'Données projet'!$E$11+1,1))</f>
        <v>360.53625471540249</v>
      </c>
      <c r="BJ35" s="59">
        <f t="shared" si="38"/>
        <v>326.66299410556076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575.12938936313049</v>
      </c>
      <c r="CD35" s="59">
        <f ca="1">AVERAGE(OFFSET($CC$3,0,0,'Données projet'!$E$12+1,1))-AVERAGE(OFFSET($H$3,0,0,'Données projet'!$E$12+1,1))</f>
        <v>358.39045200457502</v>
      </c>
      <c r="CE35" s="59">
        <f t="shared" si="40"/>
        <v>349.48764057925109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7.3717948717948731</v>
      </c>
      <c r="CT35" s="12">
        <f>IF('Données projet'!$A$140&gt;35,CT34+CS35-DB34,IF(A35&lt;'Données projet'!$A$140,$CQ$205^A35,IF(A35='Données projet'!$A$140,'Données projet'!$B$140,CT34+CS35-DB34)))</f>
        <v>83.653846153846175</v>
      </c>
      <c r="CU35" s="17">
        <f>CT35*VLOOKUP('Données projet'!$B$13,Paramètres!$A$1:$I$89,3,0)*VLOOKUP('Données projet'!$B$13,Paramètres!$A$1:$I$89,5,0)</f>
        <v>65.250000000000014</v>
      </c>
      <c r="CV35" s="13">
        <f t="shared" si="41"/>
        <v>18.489084564748591</v>
      </c>
      <c r="CW35" s="20">
        <f t="shared" si="13"/>
        <v>145.84557228360381</v>
      </c>
      <c r="CX35" s="59">
        <f t="shared" si="14"/>
        <v>428.18313113784745</v>
      </c>
      <c r="CY35" s="59">
        <f ca="1">AVERAGE(OFFSET($CX$3,0,0,'Données projet'!$E$13+1,1))-AVERAGE(OFFSET($H$3,0,0,'Données projet'!$E$13+1,1))</f>
        <v>201.71903756761543</v>
      </c>
      <c r="CZ35" s="59">
        <f t="shared" si="42"/>
        <v>200.66422845182711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8.3885561145735217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8.3885561145735217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8.147490842142858</v>
      </c>
      <c r="DO35" s="12">
        <f>IF('Données projet'!$A$166&gt;35,DO34+DN35-DW34,IF(A35&lt;'Données projet'!$A$166,$DL$205^A35,IF(A35='Données projet'!$A$166,'Données projet'!$B$166,DO34+DN35-DW34)))</f>
        <v>104.00010989428571</v>
      </c>
      <c r="DP35" s="17">
        <f>DO35*VLOOKUP('Données projet'!$B$14,Paramètres!$A$1:$I$89,3,0)*VLOOKUP('Données projet'!$B$14,Paramètres!$A$1:$I$89,5,0)</f>
        <v>98.966504575402283</v>
      </c>
      <c r="DQ35" s="13">
        <f t="shared" si="43"/>
        <v>26.715632844729015</v>
      </c>
      <c r="DR35" s="20">
        <f t="shared" si="16"/>
        <v>218.896389340062</v>
      </c>
      <c r="DS35" s="59">
        <f t="shared" si="17"/>
        <v>501.23394819430564</v>
      </c>
      <c r="DT35" s="59">
        <f ca="1">AVERAGE(OFFSET($DS$3,0,0,'Données projet'!$E$14+1,1))-AVERAGE(OFFSET($H$3,0,0,'Données projet'!$E$14+1,1))</f>
        <v>502.4879901989737</v>
      </c>
      <c r="DU35" s="59">
        <f t="shared" si="44"/>
        <v>226.06453328626355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-5.6843418860808015E-14</v>
      </c>
      <c r="EK35" s="17">
        <f>EJ35*VLOOKUP('Données projet'!$B$15,Paramètres!$A$1:$I$89,3,0)*VLOOKUP('Données projet'!$B$15,Paramètres!$A$1:$I$89,5,0)</f>
        <v>-3.2543994166189806E-14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192.76157155207764</v>
      </c>
      <c r="EP35" s="59">
        <f t="shared" si="46"/>
        <v>413.66427458788348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71.530329832016534</v>
      </c>
      <c r="EW35" s="21">
        <f>EXP(-LN(2)/25)*EW34+(1-EXP(-LN(2)/25))/(LN(2)/25)*Calculateur!ER35*Calculateur!ET35*VLOOKUP('Données projet'!$B$15,Paramètres!$A$1:$I$89,3,0)*0.475*44/12</f>
        <v>17.669380590135699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89.199710422152236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67.001152414793722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1.05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3.85</v>
      </c>
      <c r="H36" s="66">
        <f t="shared" si="1"/>
        <v>241.26666666666665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8.147490842142858</v>
      </c>
      <c r="N36" s="13">
        <f>IF('Données projet'!$A$36&gt;35,N35+M36-V35,IF(A36&lt;'Données projet'!$A$36,$K$205^A36,IF(A36='Données projet'!$A$36,'Données projet'!$B$36,N35+M36-V35)))</f>
        <v>112.14760073642857</v>
      </c>
      <c r="O36" s="13">
        <f>N36*VLOOKUP('Données projet'!$B$9,Paramètres!$A$1:$I$89,3,0)*VLOOKUP('Données projet'!$B$9,Paramètres!$A$1:$I$89,5,0)</f>
        <v>101.47114914632057</v>
      </c>
      <c r="P36" s="13">
        <f t="shared" si="33"/>
        <v>27.312180091080013</v>
      </c>
      <c r="Q36" s="20">
        <f t="shared" si="53"/>
        <v>224.29763175513935</v>
      </c>
      <c r="R36" s="59">
        <f t="shared" si="0"/>
        <v>506.82594271372625</v>
      </c>
      <c r="S36" s="59">
        <f ca="1">AVERAGE(OFFSET($R$3,0,0,'Données projet'!$E$9+1,1))-AVERAGE(OFFSET($H$3,0,0,'Données projet'!$E$9+1,1))</f>
        <v>480.34707165277229</v>
      </c>
      <c r="T36" s="59">
        <f t="shared" si="34"/>
        <v>217.17128038304531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15.881076923076924</v>
      </c>
      <c r="AI36" s="13">
        <f>IF('Données projet'!$A$62&gt;35,AI35+AH36-AQ35,IF(A36&lt;'Données projet'!$A$62,$AF$205^A36,IF(A36='Données projet'!$A$62,'Données projet'!$B$62,AI35+AH36-AQ35)))</f>
        <v>169.52784615384616</v>
      </c>
      <c r="AJ36" s="13">
        <f>AI36*VLOOKUP('Données projet'!$B$10,Paramètres!$A$1:$I$89,3,0)*VLOOKUP('Données projet'!$B$10,Paramètres!$A$1:$I$89,5,0)</f>
        <v>171.90123600000001</v>
      </c>
      <c r="AK36" s="13">
        <f t="shared" si="35"/>
        <v>43.515561190764792</v>
      </c>
      <c r="AL36" s="20">
        <f t="shared" si="4"/>
        <v>375.18425510724865</v>
      </c>
      <c r="AM36" s="59">
        <f t="shared" si="5"/>
        <v>657.71256606583552</v>
      </c>
      <c r="AN36" s="59">
        <f ca="1">AVERAGE(OFFSET($AM$3,0,0,'Données projet'!$E$10+1,1))-AVERAGE(OFFSET($H$3,0,0,'Données projet'!$E$10+1,1))</f>
        <v>596.64394969449609</v>
      </c>
      <c r="AO36" s="59">
        <f t="shared" si="36"/>
        <v>312.55704723516362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569.63585755717327</v>
      </c>
      <c r="BI36" s="59">
        <f ca="1">AVERAGE(OFFSET($BH$3,0,0,'Données projet'!$E$11+1,1))-AVERAGE(OFFSET($H$3,0,0,'Données projet'!$E$11+1,1))</f>
        <v>360.53625471540249</v>
      </c>
      <c r="BJ36" s="59">
        <f t="shared" si="38"/>
        <v>326.66299410556076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597.12535951260679</v>
      </c>
      <c r="CD36" s="59">
        <f ca="1">AVERAGE(OFFSET($CC$3,0,0,'Données projet'!$E$12+1,1))-AVERAGE(OFFSET($H$3,0,0,'Données projet'!$E$12+1,1))</f>
        <v>358.39045200457502</v>
      </c>
      <c r="CE36" s="59">
        <f t="shared" si="40"/>
        <v>349.48764057925109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7.3717948717948731</v>
      </c>
      <c r="CT36" s="12">
        <f>IF('Données projet'!$A$140&gt;35,CT35+CS36-DB35,IF(A36&lt;'Données projet'!$A$140,$CQ$205^A36,IF(A36='Données projet'!$A$140,'Données projet'!$B$140,CT35+CS36-DB35)))</f>
        <v>91.02564102564105</v>
      </c>
      <c r="CU36" s="17">
        <f>CT36*VLOOKUP('Données projet'!$B$13,Paramètres!$A$1:$I$89,3,0)*VLOOKUP('Données projet'!$B$13,Paramètres!$A$1:$I$89,5,0)</f>
        <v>71.000000000000028</v>
      </c>
      <c r="CV36" s="13">
        <f t="shared" si="41"/>
        <v>19.921587432217475</v>
      </c>
      <c r="CW36" s="20">
        <f t="shared" si="13"/>
        <v>158.35509811111217</v>
      </c>
      <c r="CX36" s="59">
        <f t="shared" si="14"/>
        <v>440.8834090696991</v>
      </c>
      <c r="CY36" s="59">
        <f ca="1">AVERAGE(OFFSET($CX$3,0,0,'Données projet'!$E$13+1,1))-AVERAGE(OFFSET($H$3,0,0,'Données projet'!$E$13+1,1))</f>
        <v>201.71903756761543</v>
      </c>
      <c r="CZ36" s="59">
        <f t="shared" si="42"/>
        <v>200.66422845182711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8.2240616456807505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8.2240616456807505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8.147490842142858</v>
      </c>
      <c r="DO36" s="12">
        <f>IF('Données projet'!$A$166&gt;35,DO35+DN36-DW35,IF(A36&lt;'Données projet'!$A$166,$DL$205^A36,IF(A36='Données projet'!$A$166,'Données projet'!$B$166,DO35+DN36-DW35)))</f>
        <v>112.14760073642857</v>
      </c>
      <c r="DP36" s="17">
        <f>DO36*VLOOKUP('Données projet'!$B$14,Paramètres!$A$1:$I$89,3,0)*VLOOKUP('Données projet'!$B$14,Paramètres!$A$1:$I$89,5,0)</f>
        <v>106.71965686078542</v>
      </c>
      <c r="DQ36" s="13">
        <f t="shared" si="43"/>
        <v>28.556753617042631</v>
      </c>
      <c r="DR36" s="20">
        <f t="shared" si="16"/>
        <v>235.60641491555052</v>
      </c>
      <c r="DS36" s="59">
        <f t="shared" si="17"/>
        <v>518.13472587413742</v>
      </c>
      <c r="DT36" s="59">
        <f ca="1">AVERAGE(OFFSET($DS$3,0,0,'Données projet'!$E$14+1,1))-AVERAGE(OFFSET($H$3,0,0,'Données projet'!$E$14+1,1))</f>
        <v>502.4879901989737</v>
      </c>
      <c r="DU36" s="59">
        <f t="shared" si="44"/>
        <v>226.06453328626355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-5.6843418860808015E-14</v>
      </c>
      <c r="EK36" s="17">
        <f>EJ36*VLOOKUP('Données projet'!$B$15,Paramètres!$A$1:$I$89,3,0)*VLOOKUP('Données projet'!$B$15,Paramètres!$A$1:$I$89,5,0)</f>
        <v>-3.2543994166189806E-14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192.76157155207764</v>
      </c>
      <c r="EP36" s="59">
        <f t="shared" si="46"/>
        <v>413.66427458788348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70.127663693203857</v>
      </c>
      <c r="EW36" s="21">
        <f>EXP(-LN(2)/25)*EW35+(1-EXP(-LN(2)/25))/(LN(2)/25)*Calculateur!ER36*Calculateur!ET36*VLOOKUP('Données projet'!$B$15,Paramètres!$A$1:$I$89,3,0)*0.475*44/12</f>
        <v>17.186210448706095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87.313874141909949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67.053175715978256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1.05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3.85</v>
      </c>
      <c r="H37" s="66">
        <f t="shared" si="1"/>
        <v>241.26666666666665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8.147490842142858</v>
      </c>
      <c r="N37" s="13">
        <f>IF('Données projet'!$A$36&gt;35,N36+M37-V36,IF(A37&lt;'Données projet'!$A$36,$K$205^A37,IF(A37='Données projet'!$A$36,'Données projet'!$B$36,N36+M37-V36)))</f>
        <v>120.29509157857143</v>
      </c>
      <c r="O37" s="13">
        <f>N37*VLOOKUP('Données projet'!$B$9,Paramètres!$A$1:$I$89,3,0)*VLOOKUP('Données projet'!$B$9,Paramètres!$A$1:$I$89,5,0)</f>
        <v>108.84299886029142</v>
      </c>
      <c r="P37" s="13">
        <f t="shared" si="33"/>
        <v>29.058218549375493</v>
      </c>
      <c r="Q37" s="20">
        <f t="shared" si="53"/>
        <v>240.17795365516986</v>
      </c>
      <c r="R37" s="59">
        <f t="shared" si="0"/>
        <v>522.89370759554754</v>
      </c>
      <c r="S37" s="59">
        <f ca="1">AVERAGE(OFFSET($R$3,0,0,'Données projet'!$E$9+1,1))-AVERAGE(OFFSET($H$3,0,0,'Données projet'!$E$9+1,1))</f>
        <v>480.34707165277229</v>
      </c>
      <c r="T37" s="59">
        <f t="shared" si="34"/>
        <v>217.17128038304531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15.881076923076924</v>
      </c>
      <c r="AI37" s="13">
        <f>IF('Données projet'!$A$62&gt;35,AI36+AH37-AQ36,IF(A37&lt;'Données projet'!$A$62,$AF$205^A37,IF(A37='Données projet'!$A$62,'Données projet'!$B$62,AI36+AH37-AQ36)))</f>
        <v>185.40892307692309</v>
      </c>
      <c r="AJ37" s="13">
        <f>AI37*VLOOKUP('Données projet'!$B$10,Paramètres!$A$1:$I$89,3,0)*VLOOKUP('Données projet'!$B$10,Paramètres!$A$1:$I$89,5,0)</f>
        <v>188.00464800000003</v>
      </c>
      <c r="AK37" s="13">
        <f t="shared" si="35"/>
        <v>47.098538164166236</v>
      </c>
      <c r="AL37" s="20">
        <f t="shared" si="4"/>
        <v>409.47138256925615</v>
      </c>
      <c r="AM37" s="59">
        <f t="shared" si="5"/>
        <v>692.18713650963377</v>
      </c>
      <c r="AN37" s="59">
        <f ca="1">AVERAGE(OFFSET($AM$3,0,0,'Données projet'!$E$10+1,1))-AVERAGE(OFFSET($H$3,0,0,'Données projet'!$E$10+1,1))</f>
        <v>596.64394969449609</v>
      </c>
      <c r="AO37" s="59">
        <f t="shared" si="36"/>
        <v>312.55704723516362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587.04250038656915</v>
      </c>
      <c r="BI37" s="59">
        <f ca="1">AVERAGE(OFFSET($BH$3,0,0,'Données projet'!$E$11+1,1))-AVERAGE(OFFSET($H$3,0,0,'Données projet'!$E$11+1,1))</f>
        <v>360.53625471540249</v>
      </c>
      <c r="BJ37" s="59">
        <f t="shared" si="38"/>
        <v>326.66299410556076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619.08452643445582</v>
      </c>
      <c r="CD37" s="59">
        <f ca="1">AVERAGE(OFFSET($CC$3,0,0,'Données projet'!$E$12+1,1))-AVERAGE(OFFSET($H$3,0,0,'Données projet'!$E$12+1,1))</f>
        <v>358.39045200457502</v>
      </c>
      <c r="CE37" s="59">
        <f t="shared" si="40"/>
        <v>349.48764057925109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7.3717948717948731</v>
      </c>
      <c r="CT37" s="12">
        <f>IF('Données projet'!$A$140&gt;35,CT36+CS37-DB36,IF(A37&lt;'Données projet'!$A$140,$CQ$205^A37,IF(A37='Données projet'!$A$140,'Données projet'!$B$140,CT36+CS37-DB36)))</f>
        <v>98.397435897435926</v>
      </c>
      <c r="CU37" s="17">
        <f>CT37*VLOOKUP('Données projet'!$B$13,Paramètres!$A$1:$I$89,3,0)*VLOOKUP('Données projet'!$B$13,Paramètres!$A$1:$I$89,5,0)</f>
        <v>76.750000000000028</v>
      </c>
      <c r="CV37" s="13">
        <f t="shared" si="41"/>
        <v>21.340634370994778</v>
      </c>
      <c r="CW37" s="20">
        <f t="shared" si="13"/>
        <v>170.84118819614926</v>
      </c>
      <c r="CX37" s="59">
        <f t="shared" si="14"/>
        <v>453.55694213652691</v>
      </c>
      <c r="CY37" s="59">
        <f ca="1">AVERAGE(OFFSET($CX$3,0,0,'Données projet'!$E$13+1,1))-AVERAGE(OFFSET($H$3,0,0,'Données projet'!$E$13+1,1))</f>
        <v>201.71903756761543</v>
      </c>
      <c r="CZ37" s="59">
        <f t="shared" si="42"/>
        <v>200.66422845182711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8.0627928129912476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8.0627928129912476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8.147490842142858</v>
      </c>
      <c r="DO37" s="12">
        <f>IF('Données projet'!$A$166&gt;35,DO36+DN37-DW36,IF(A37&lt;'Données projet'!$A$166,$DL$205^A37,IF(A37='Données projet'!$A$166,'Données projet'!$B$166,DO36+DN37-DW36)))</f>
        <v>120.29509157857143</v>
      </c>
      <c r="DP37" s="17">
        <f>DO37*VLOOKUP('Données projet'!$B$14,Paramètres!$A$1:$I$89,3,0)*VLOOKUP('Données projet'!$B$14,Paramètres!$A$1:$I$89,5,0)</f>
        <v>114.47280914616857</v>
      </c>
      <c r="DQ37" s="13">
        <f t="shared" si="43"/>
        <v>30.382356329574176</v>
      </c>
      <c r="DR37" s="20">
        <f t="shared" si="16"/>
        <v>252.28941320358533</v>
      </c>
      <c r="DS37" s="59">
        <f t="shared" si="17"/>
        <v>535.00516714396292</v>
      </c>
      <c r="DT37" s="59">
        <f ca="1">AVERAGE(OFFSET($DS$3,0,0,'Données projet'!$E$14+1,1))-AVERAGE(OFFSET($H$3,0,0,'Données projet'!$E$14+1,1))</f>
        <v>502.4879901989737</v>
      </c>
      <c r="DU37" s="59">
        <f t="shared" si="44"/>
        <v>226.06453328626355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-5.6843418860808015E-14</v>
      </c>
      <c r="EK37" s="17">
        <f>EJ37*VLOOKUP('Données projet'!$B$15,Paramètres!$A$1:$I$89,3,0)*VLOOKUP('Données projet'!$B$15,Paramètres!$A$1:$I$89,5,0)</f>
        <v>-3.2543994166189806E-14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192.76157155207764</v>
      </c>
      <c r="EP37" s="59">
        <f t="shared" si="46"/>
        <v>413.66427458788348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68.752502981831441</v>
      </c>
      <c r="EW37" s="21">
        <f>EXP(-LN(2)/25)*EW36+(1-EXP(-LN(2)/25))/(LN(2)/25)*Calculateur!ER37*Calculateur!ET37*VLOOKUP('Données projet'!$B$15,Paramètres!$A$1:$I$89,3,0)*0.475*44/12</f>
        <v>16.716252620202699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85.468755602034136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67.104296529193903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1.05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3.85</v>
      </c>
      <c r="H38" s="66">
        <f t="shared" si="1"/>
        <v>241.26666666666665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8.147490842142858</v>
      </c>
      <c r="N38" s="13">
        <f>IF('Données projet'!$A$36&gt;35,N37+M38-V37,IF(A38&lt;'Données projet'!$A$36,$K$205^A38,IF(A38='Données projet'!$A$36,'Données projet'!$B$36,N37+M38-V37)))</f>
        <v>128.4425824207143</v>
      </c>
      <c r="O38" s="13">
        <f>N38*VLOOKUP('Données projet'!$B$9,Paramètres!$A$1:$I$89,3,0)*VLOOKUP('Données projet'!$B$9,Paramètres!$A$1:$I$89,5,0)</f>
        <v>116.21484857426229</v>
      </c>
      <c r="P38" s="13">
        <f t="shared" si="33"/>
        <v>30.790534847842082</v>
      </c>
      <c r="Q38" s="20">
        <f t="shared" si="53"/>
        <v>256.03437612683177</v>
      </c>
      <c r="R38" s="59">
        <f t="shared" si="0"/>
        <v>538.93432133232579</v>
      </c>
      <c r="S38" s="59">
        <f ca="1">AVERAGE(OFFSET($R$3,0,0,'Données projet'!$E$9+1,1))-AVERAGE(OFFSET($H$3,0,0,'Données projet'!$E$9+1,1))</f>
        <v>480.34707165277229</v>
      </c>
      <c r="T38" s="59">
        <f t="shared" si="34"/>
        <v>217.17128038304531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15.881076923076924</v>
      </c>
      <c r="AH38" s="12">
        <f t="array" ref="AH38">INDEX(AG:AG,MIN(IF(ISNUMBER(AG38:AG234),ROW(AG38:AG234),"")))</f>
        <v>15.881076923076924</v>
      </c>
      <c r="AI38" s="13">
        <f>IF('Données projet'!$A$62&gt;35,AI37+AH38-AQ37,IF(A38&lt;'Données projet'!$A$62,$AF$205^A38,IF(A38='Données projet'!$A$62,'Données projet'!$B$62,AI37+AH38-AQ37)))</f>
        <v>201.29000000000002</v>
      </c>
      <c r="AJ38" s="13">
        <f>AI38*VLOOKUP('Données projet'!$B$10,Paramètres!$A$1:$I$89,3,0)*VLOOKUP('Données projet'!$B$10,Paramètres!$A$1:$I$89,5,0)</f>
        <v>204.10806000000002</v>
      </c>
      <c r="AK38" s="13">
        <f t="shared" si="35"/>
        <v>50.645923855244554</v>
      </c>
      <c r="AL38" s="20">
        <f t="shared" si="4"/>
        <v>443.69652188121762</v>
      </c>
      <c r="AM38" s="59">
        <f t="shared" si="5"/>
        <v>726.59646708671164</v>
      </c>
      <c r="AN38" s="59">
        <f ca="1">AVERAGE(OFFSET($AM$3,0,0,'Données projet'!$E$10+1,1))-AVERAGE(OFFSET($H$3,0,0,'Données projet'!$E$10+1,1))</f>
        <v>596.64394969449609</v>
      </c>
      <c r="AO38" s="59">
        <f t="shared" si="36"/>
        <v>312.55704723516362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33.538060620025725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33.538060620025725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604.42422927175187</v>
      </c>
      <c r="BI38" s="59">
        <f ca="1">AVERAGE(OFFSET($BH$3,0,0,'Données projet'!$E$11+1,1))-AVERAGE(OFFSET($H$3,0,0,'Données projet'!$E$11+1,1))</f>
        <v>360.53625471540249</v>
      </c>
      <c r="BJ38" s="59">
        <f t="shared" si="38"/>
        <v>326.66299410556076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11.212228902531429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11.212228902531429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641.00941911284826</v>
      </c>
      <c r="CD38" s="59">
        <f ca="1">AVERAGE(OFFSET($CC$3,0,0,'Données projet'!$E$12+1,1))-AVERAGE(OFFSET($H$3,0,0,'Données projet'!$E$12+1,1))</f>
        <v>358.39045200457502</v>
      </c>
      <c r="CE38" s="59">
        <f t="shared" si="40"/>
        <v>349.48764057925109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16.314951939891504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16.314951939891504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7.3717948717948731</v>
      </c>
      <c r="CT38" s="12">
        <f>IF('Données projet'!$A$140&gt;35,CT37+CS38-DB37,IF(A38&lt;'Données projet'!$A$140,$CQ$205^A38,IF(A38='Données projet'!$A$140,'Données projet'!$B$140,CT37+CS38-DB37)))</f>
        <v>105.7692307692308</v>
      </c>
      <c r="CU38" s="17">
        <f>CT38*VLOOKUP('Données projet'!$B$13,Paramètres!$A$1:$I$89,3,0)*VLOOKUP('Données projet'!$B$13,Paramètres!$A$1:$I$89,5,0)</f>
        <v>82.500000000000028</v>
      </c>
      <c r="CV38" s="13">
        <f t="shared" si="41"/>
        <v>22.747348109696244</v>
      </c>
      <c r="CW38" s="20">
        <f t="shared" si="13"/>
        <v>183.30579795772098</v>
      </c>
      <c r="CX38" s="59">
        <f t="shared" si="14"/>
        <v>466.205743163215</v>
      </c>
      <c r="CY38" s="59">
        <f ca="1">AVERAGE(OFFSET($CX$3,0,0,'Données projet'!$E$13+1,1))-AVERAGE(OFFSET($H$3,0,0,'Données projet'!$E$13+1,1))</f>
        <v>201.71903756761543</v>
      </c>
      <c r="CZ38" s="59">
        <f t="shared" si="42"/>
        <v>200.66422845182711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7.904686363746511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7.904686363746511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8.147490842142858</v>
      </c>
      <c r="DO38" s="12">
        <f>IF('Données projet'!$A$166&gt;35,DO37+DN38-DW37,IF(A38&lt;'Données projet'!$A$166,$DL$205^A38,IF(A38='Données projet'!$A$166,'Données projet'!$B$166,DO37+DN38-DW37)))</f>
        <v>128.4425824207143</v>
      </c>
      <c r="DP38" s="17">
        <f>DO38*VLOOKUP('Données projet'!$B$14,Paramètres!$A$1:$I$89,3,0)*VLOOKUP('Données projet'!$B$14,Paramètres!$A$1:$I$89,5,0)</f>
        <v>122.22596143155172</v>
      </c>
      <c r="DQ38" s="13">
        <f t="shared" si="43"/>
        <v>32.19361158481663</v>
      </c>
      <c r="DR38" s="20">
        <f t="shared" si="16"/>
        <v>268.94742300350816</v>
      </c>
      <c r="DS38" s="59">
        <f t="shared" si="17"/>
        <v>551.84736820900218</v>
      </c>
      <c r="DT38" s="59">
        <f ca="1">AVERAGE(OFFSET($DS$3,0,0,'Données projet'!$E$14+1,1))-AVERAGE(OFFSET($H$3,0,0,'Données projet'!$E$14+1,1))</f>
        <v>502.4879901989737</v>
      </c>
      <c r="DU38" s="59">
        <f t="shared" si="44"/>
        <v>226.06453328626355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-5.6843418860808015E-14</v>
      </c>
      <c r="EK38" s="17">
        <f>EJ38*VLOOKUP('Données projet'!$B$15,Paramètres!$A$1:$I$89,3,0)*VLOOKUP('Données projet'!$B$15,Paramètres!$A$1:$I$89,5,0)</f>
        <v>-3.2543994166189806E-14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192.76157155207764</v>
      </c>
      <c r="EP38" s="59">
        <f t="shared" si="46"/>
        <v>413.66427458788348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67.404308333243819</v>
      </c>
      <c r="EW38" s="21">
        <f>EXP(-LN(2)/25)*EW37+(1-EXP(-LN(2)/25))/(LN(2)/25)*Calculateur!ER38*Calculateur!ET38*VLOOKUP('Données projet'!$B$15,Paramètres!$A$1:$I$89,3,0)*0.475*44/12</f>
        <v>16.259145813233737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83.663454146477562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67.154530510589268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1.05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3.85</v>
      </c>
      <c r="H39" s="66">
        <f t="shared" si="1"/>
        <v>241.26666666666665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8.147490842142858</v>
      </c>
      <c r="N39" s="13">
        <f>IF('Données projet'!$A$36&gt;35,N38+M39-V38,IF(A39&lt;'Données projet'!$A$36,$K$205^A39,IF(A39='Données projet'!$A$36,'Données projet'!$B$36,N38+M39-V38)))</f>
        <v>136.59007326285717</v>
      </c>
      <c r="O39" s="13">
        <f>N39*VLOOKUP('Données projet'!$B$9,Paramètres!$A$1:$I$89,3,0)*VLOOKUP('Données projet'!$B$9,Paramètres!$A$1:$I$89,5,0)</f>
        <v>123.58669828823317</v>
      </c>
      <c r="P39" s="13">
        <f t="shared" si="33"/>
        <v>32.510098504712253</v>
      </c>
      <c r="Q39" s="20">
        <f t="shared" si="53"/>
        <v>271.86858774771321</v>
      </c>
      <c r="R39" s="59">
        <f t="shared" si="0"/>
        <v>554.94952891166372</v>
      </c>
      <c r="S39" s="59">
        <f ca="1">AVERAGE(OFFSET($R$3,0,0,'Données projet'!$E$9+1,1))-AVERAGE(OFFSET($H$3,0,0,'Données projet'!$E$9+1,1))</f>
        <v>480.34707165277229</v>
      </c>
      <c r="T39" s="59">
        <f t="shared" si="34"/>
        <v>217.17128038304531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144.57166666666672</v>
      </c>
      <c r="AJ39" s="13">
        <f>AI39*VLOOKUP('Données projet'!$B$10,Paramètres!$A$1:$I$89,3,0)*VLOOKUP('Données projet'!$B$10,Paramètres!$A$1:$I$89,5,0)</f>
        <v>146.59567000000007</v>
      </c>
      <c r="AK39" s="13">
        <f t="shared" si="35"/>
        <v>37.803908782741182</v>
      </c>
      <c r="AL39" s="20">
        <f t="shared" si="4"/>
        <v>321.16259971327435</v>
      </c>
      <c r="AM39" s="59">
        <f t="shared" si="5"/>
        <v>604.24354087722486</v>
      </c>
      <c r="AN39" s="59">
        <f ca="1">AVERAGE(OFFSET($AM$3,0,0,'Données projet'!$E$10+1,1))-AVERAGE(OFFSET($H$3,0,0,'Données projet'!$E$10+1,1))</f>
        <v>596.64394969449609</v>
      </c>
      <c r="AO39" s="59">
        <f t="shared" si="36"/>
        <v>312.55704723516362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32.880399707464115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32.880399707464115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570.56305866839853</v>
      </c>
      <c r="BI39" s="59">
        <f ca="1">AVERAGE(OFFSET($BH$3,0,0,'Données projet'!$E$11+1,1))-AVERAGE(OFFSET($H$3,0,0,'Données projet'!$E$11+1,1))</f>
        <v>360.53625471540249</v>
      </c>
      <c r="BJ39" s="59">
        <f t="shared" si="38"/>
        <v>326.66299410556076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10.992363932537144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10.992363932537144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601.08196238932953</v>
      </c>
      <c r="CD39" s="59">
        <f ca="1">AVERAGE(OFFSET($CC$3,0,0,'Données projet'!$E$12+1,1))-AVERAGE(OFFSET($H$3,0,0,'Données projet'!$E$12+1,1))</f>
        <v>358.39045200457502</v>
      </c>
      <c r="CE39" s="59">
        <f t="shared" si="40"/>
        <v>349.48764057925109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15.995025683488322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15.995025683488322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7.3717948717948731</v>
      </c>
      <c r="CT39" s="12">
        <f>IF('Données projet'!$A$140&gt;35,CT38+CS39-DB38,IF(A39&lt;'Données projet'!$A$140,$CQ$205^A39,IF(A39='Données projet'!$A$140,'Données projet'!$B$140,CT38+CS39-DB38)))</f>
        <v>113.14102564102568</v>
      </c>
      <c r="CU39" s="17">
        <f>CT39*VLOOKUP('Données projet'!$B$13,Paramètres!$A$1:$I$89,3,0)*VLOOKUP('Données projet'!$B$13,Paramètres!$A$1:$I$89,5,0)</f>
        <v>88.250000000000028</v>
      </c>
      <c r="CV39" s="13">
        <f t="shared" si="41"/>
        <v>24.142686012928117</v>
      </c>
      <c r="CW39" s="20">
        <f t="shared" si="13"/>
        <v>195.75059480584989</v>
      </c>
      <c r="CX39" s="59">
        <f t="shared" si="14"/>
        <v>478.83153596980048</v>
      </c>
      <c r="CY39" s="59">
        <f ca="1">AVERAGE(OFFSET($CX$3,0,0,'Données projet'!$E$13+1,1))-AVERAGE(OFFSET($H$3,0,0,'Données projet'!$E$13+1,1))</f>
        <v>201.71903756761543</v>
      </c>
      <c r="CZ39" s="59">
        <f t="shared" si="42"/>
        <v>200.66422845182711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7.7496802855360523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7.7496802855360523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8.147490842142858</v>
      </c>
      <c r="DO39" s="12">
        <f>IF('Données projet'!$A$166&gt;35,DO38+DN39-DW38,IF(A39&lt;'Données projet'!$A$166,$DL$205^A39,IF(A39='Données projet'!$A$166,'Données projet'!$B$166,DO38+DN39-DW38)))</f>
        <v>136.59007326285717</v>
      </c>
      <c r="DP39" s="17">
        <f>DO39*VLOOKUP('Données projet'!$B$14,Paramètres!$A$1:$I$89,3,0)*VLOOKUP('Données projet'!$B$14,Paramètres!$A$1:$I$89,5,0)</f>
        <v>129.9791137169349</v>
      </c>
      <c r="DQ39" s="13">
        <f t="shared" si="43"/>
        <v>33.991533080439005</v>
      </c>
      <c r="DR39" s="20">
        <f t="shared" si="16"/>
        <v>285.58220983875952</v>
      </c>
      <c r="DS39" s="59">
        <f t="shared" si="17"/>
        <v>568.66315100271004</v>
      </c>
      <c r="DT39" s="59">
        <f ca="1">AVERAGE(OFFSET($DS$3,0,0,'Données projet'!$E$14+1,1))-AVERAGE(OFFSET($H$3,0,0,'Données projet'!$E$14+1,1))</f>
        <v>502.4879901989737</v>
      </c>
      <c r="DU39" s="59">
        <f t="shared" si="44"/>
        <v>226.06453328626355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-5.6843418860808015E-14</v>
      </c>
      <c r="EK39" s="17">
        <f>EJ39*VLOOKUP('Données projet'!$B$15,Paramètres!$A$1:$I$89,3,0)*VLOOKUP('Données projet'!$B$15,Paramètres!$A$1:$I$89,5,0)</f>
        <v>-3.2543994166189806E-14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192.76157155207764</v>
      </c>
      <c r="EP39" s="59">
        <f t="shared" si="46"/>
        <v>413.66427458788348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66.082550959397466</v>
      </c>
      <c r="EW39" s="21">
        <f>EXP(-LN(2)/25)*EW38+(1-EXP(-LN(2)/25))/(LN(2)/25)*Calculateur!ER39*Calculateur!ET39*VLOOKUP('Données projet'!$B$15,Paramètres!$A$1:$I$89,3,0)*0.475*44/12</f>
        <v>15.814538615939542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81.897089575337006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67.203893044713794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1.05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3.85</v>
      </c>
      <c r="H40" s="66">
        <f t="shared" si="1"/>
        <v>241.26666666666665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8.147490842142858</v>
      </c>
      <c r="N40" s="13">
        <f>IF('Données projet'!$A$36&gt;35,N39+M40-V39,IF(A40&lt;'Données projet'!$A$36,$K$205^A40,IF(A40='Données projet'!$A$36,'Données projet'!$B$36,N39+M40-V39)))</f>
        <v>144.73756410500005</v>
      </c>
      <c r="O40" s="13">
        <f>N40*VLOOKUP('Données projet'!$B$9,Paramètres!$A$1:$I$89,3,0)*VLOOKUP('Données projet'!$B$9,Paramètres!$A$1:$I$89,5,0)</f>
        <v>130.95854800220403</v>
      </c>
      <c r="P40" s="13">
        <f t="shared" si="33"/>
        <v>34.217756841790369</v>
      </c>
      <c r="Q40" s="20">
        <f t="shared" si="53"/>
        <v>287.68206426995692</v>
      </c>
      <c r="R40" s="59">
        <f t="shared" si="0"/>
        <v>570.94086151713122</v>
      </c>
      <c r="S40" s="59">
        <f ca="1">AVERAGE(OFFSET($R$3,0,0,'Données projet'!$E$9+1,1))-AVERAGE(OFFSET($H$3,0,0,'Données projet'!$E$9+1,1))</f>
        <v>480.34707165277229</v>
      </c>
      <c r="T40" s="59">
        <f t="shared" si="34"/>
        <v>217.17128038304531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157.43333333333339</v>
      </c>
      <c r="AJ40" s="13">
        <f>AI40*VLOOKUP('Données projet'!$B$10,Paramètres!$A$1:$I$89,3,0)*VLOOKUP('Données projet'!$B$10,Paramètres!$A$1:$I$89,5,0)</f>
        <v>159.63740000000007</v>
      </c>
      <c r="AK40" s="13">
        <f t="shared" si="35"/>
        <v>40.760719168297868</v>
      </c>
      <c r="AL40" s="20">
        <f t="shared" si="4"/>
        <v>349.02672421811889</v>
      </c>
      <c r="AM40" s="59">
        <f t="shared" si="5"/>
        <v>632.28552146529319</v>
      </c>
      <c r="AN40" s="59">
        <f ca="1">AVERAGE(OFFSET($AM$3,0,0,'Données projet'!$E$10+1,1))-AVERAGE(OFFSET($H$3,0,0,'Données projet'!$E$10+1,1))</f>
        <v>596.64394969449609</v>
      </c>
      <c r="AO40" s="59">
        <f t="shared" si="36"/>
        <v>312.55704723516362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32.235635124264292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32.235635124264292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587.21144868181659</v>
      </c>
      <c r="BI40" s="59">
        <f ca="1">AVERAGE(OFFSET($BH$3,0,0,'Données projet'!$E$11+1,1))-AVERAGE(OFFSET($H$3,0,0,'Données projet'!$E$11+1,1))</f>
        <v>360.53625471540249</v>
      </c>
      <c r="BJ40" s="59">
        <f t="shared" si="38"/>
        <v>326.66299410556076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10.776810380500057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10.776810380500057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620.64734026013866</v>
      </c>
      <c r="CD40" s="59">
        <f ca="1">AVERAGE(OFFSET($CC$3,0,0,'Données projet'!$E$12+1,1))-AVERAGE(OFFSET($H$3,0,0,'Données projet'!$E$12+1,1))</f>
        <v>358.39045200457502</v>
      </c>
      <c r="CE40" s="59">
        <f t="shared" si="40"/>
        <v>349.48764057925109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15.681372985837458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15.681372985837458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120.51282051282051</v>
      </c>
      <c r="CR40" s="12">
        <f>VLOOKUP(A40,'Données projet'!$A$139:$I$159,9,0)</f>
        <v>7.3717948717948731</v>
      </c>
      <c r="CS40" s="12">
        <f t="array" ref="CS40">INDEX(CR:CR,MIN(IF(ISNUMBER(CR40:CR236),ROW(CR40:CR236),"")))</f>
        <v>7.3717948717948731</v>
      </c>
      <c r="CT40" s="12">
        <f>IF('Données projet'!$A$140&gt;35,CT39+CS40-DB39,IF(A40&lt;'Données projet'!$A$140,$CQ$205^A40,IF(A40='Données projet'!$A$140,'Données projet'!$B$140,CT39+CS40-DB39)))</f>
        <v>120.51282051282055</v>
      </c>
      <c r="CU40" s="17">
        <f>CT40*VLOOKUP('Données projet'!$B$13,Paramètres!$A$1:$I$89,3,0)*VLOOKUP('Données projet'!$B$13,Paramètres!$A$1:$I$89,5,0)</f>
        <v>94.000000000000028</v>
      </c>
      <c r="CV40" s="13">
        <f t="shared" si="41"/>
        <v>25.527473634349285</v>
      </c>
      <c r="CW40" s="20">
        <f t="shared" si="13"/>
        <v>208.17701657982505</v>
      </c>
      <c r="CX40" s="59">
        <f t="shared" si="14"/>
        <v>491.43581382699927</v>
      </c>
      <c r="CY40" s="59">
        <f ca="1">AVERAGE(OFFSET($CX$3,0,0,'Données projet'!$E$13+1,1))-AVERAGE(OFFSET($H$3,0,0,'Données projet'!$E$13+1,1))</f>
        <v>201.71903756761543</v>
      </c>
      <c r="CZ40" s="59">
        <f t="shared" si="42"/>
        <v>200.66422845182711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23.076923076923077</v>
      </c>
      <c r="DC40" s="16">
        <f>IF(ISNA(VLOOKUP(A40,'Données projet'!$A$139:$I$159,5,0)),0%,VLOOKUP(A40,'Données projet'!$A$139:$I$159,5,0)*VLOOKUP('Données projet'!$B$13,Paramètres!$A$1:$I$89,7,0))</f>
        <v>0.43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16.154054519559963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16.154054519559963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8.147490842142858</v>
      </c>
      <c r="DO40" s="12">
        <f>IF('Données projet'!$A$166&gt;35,DO39+DN40-DW39,IF(A40&lt;'Données projet'!$A$166,$DL$205^A40,IF(A40='Données projet'!$A$166,'Données projet'!$B$166,DO39+DN40-DW39)))</f>
        <v>144.73756410500005</v>
      </c>
      <c r="DP40" s="17">
        <f>DO40*VLOOKUP('Données projet'!$B$14,Paramètres!$A$1:$I$89,3,0)*VLOOKUP('Données projet'!$B$14,Paramètres!$A$1:$I$89,5,0)</f>
        <v>137.73226600231806</v>
      </c>
      <c r="DQ40" s="13">
        <f t="shared" si="43"/>
        <v>35.777006749381087</v>
      </c>
      <c r="DR40" s="20">
        <f t="shared" si="16"/>
        <v>302.19531670920935</v>
      </c>
      <c r="DS40" s="59">
        <f t="shared" si="17"/>
        <v>585.45411395638359</v>
      </c>
      <c r="DT40" s="59">
        <f ca="1">AVERAGE(OFFSET($DS$3,0,0,'Données projet'!$E$14+1,1))-AVERAGE(OFFSET($H$3,0,0,'Données projet'!$E$14+1,1))</f>
        <v>502.4879901989737</v>
      </c>
      <c r="DU40" s="59">
        <f t="shared" si="44"/>
        <v>226.06453328626355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-5.6843418860808015E-14</v>
      </c>
      <c r="EK40" s="17">
        <f>EJ40*VLOOKUP('Données projet'!$B$15,Paramètres!$A$1:$I$89,3,0)*VLOOKUP('Données projet'!$B$15,Paramètres!$A$1:$I$89,5,0)</f>
        <v>-3.2543994166189806E-14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192.76157155207764</v>
      </c>
      <c r="EP40" s="59">
        <f t="shared" si="46"/>
        <v>413.66427458788348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64.786712441459841</v>
      </c>
      <c r="EW40" s="21">
        <f>EXP(-LN(2)/25)*EW39+(1-EXP(-LN(2)/25))/(LN(2)/25)*Calculateur!ER40*Calculateur!ET40*VLOOKUP('Données projet'!$B$15,Paramètres!$A$1:$I$89,3,0)*0.475*44/12</f>
        <v>15.382089225836234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80.16880166729608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67.252399249229342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1.05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3.85</v>
      </c>
      <c r="H41" s="66">
        <f t="shared" si="1"/>
        <v>241.26666666666665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8.147490842142858</v>
      </c>
      <c r="N41" s="13">
        <f>IF('Données projet'!$A$36&gt;35,N40+M41-V40,IF(A41&lt;'Données projet'!$A$36,$K$205^A41,IF(A41='Données projet'!$A$36,'Données projet'!$B$36,N40+M41-V40)))</f>
        <v>152.88505494714292</v>
      </c>
      <c r="O41" s="13">
        <f>N41*VLOOKUP('Données projet'!$B$9,Paramètres!$A$1:$I$89,3,0)*VLOOKUP('Données projet'!$B$9,Paramètres!$A$1:$I$89,5,0)</f>
        <v>138.3303977161749</v>
      </c>
      <c r="P41" s="13">
        <f t="shared" si="33"/>
        <v>35.91425639900077</v>
      </c>
      <c r="Q41" s="20">
        <f t="shared" si="53"/>
        <v>303.47610591726431</v>
      </c>
      <c r="R41" s="59">
        <f t="shared" si="0"/>
        <v>586.90967384224496</v>
      </c>
      <c r="S41" s="59">
        <f ca="1">AVERAGE(OFFSET($R$3,0,0,'Données projet'!$E$9+1,1))-AVERAGE(OFFSET($H$3,0,0,'Données projet'!$E$9+1,1))</f>
        <v>480.34707165277229</v>
      </c>
      <c r="T41" s="59">
        <f t="shared" si="34"/>
        <v>217.17128038304531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170.29500000000007</v>
      </c>
      <c r="AJ41" s="13">
        <f>AI41*VLOOKUP('Données projet'!$B$10,Paramètres!$A$1:$I$89,3,0)*VLOOKUP('Données projet'!$B$10,Paramètres!$A$1:$I$89,5,0)</f>
        <v>172.6791300000001</v>
      </c>
      <c r="AK41" s="13">
        <f t="shared" si="35"/>
        <v>43.689512425494954</v>
      </c>
      <c r="AL41" s="20">
        <f t="shared" si="4"/>
        <v>376.84205222440391</v>
      </c>
      <c r="AM41" s="59">
        <f t="shared" si="5"/>
        <v>660.27562014938462</v>
      </c>
      <c r="AN41" s="59">
        <f ca="1">AVERAGE(OFFSET($AM$3,0,0,'Données projet'!$E$10+1,1))-AVERAGE(OFFSET($H$3,0,0,'Données projet'!$E$10+1,1))</f>
        <v>596.64394969449609</v>
      </c>
      <c r="AO41" s="59">
        <f t="shared" si="36"/>
        <v>312.55704723516362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31.603513981273455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31.603513981273455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603.83690696828853</v>
      </c>
      <c r="BI41" s="59">
        <f ca="1">AVERAGE(OFFSET($BH$3,0,0,'Données projet'!$E$11+1,1))-AVERAGE(OFFSET($H$3,0,0,'Données projet'!$E$11+1,1))</f>
        <v>360.53625471540249</v>
      </c>
      <c r="BJ41" s="59">
        <f t="shared" si="38"/>
        <v>326.66299410556076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10.565483702143734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10.565483702143734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640.18511479170934</v>
      </c>
      <c r="CD41" s="59">
        <f ca="1">AVERAGE(OFFSET($CC$3,0,0,'Données projet'!$E$12+1,1))-AVERAGE(OFFSET($H$3,0,0,'Données projet'!$E$12+1,1))</f>
        <v>358.39045200457502</v>
      </c>
      <c r="CE41" s="59">
        <f t="shared" si="40"/>
        <v>349.48764057925109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15.373870826278271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15.373870826278271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7.1428571428571432</v>
      </c>
      <c r="CT41" s="12">
        <f>IF('Données projet'!$A$140&gt;35,CT40+CS41-DB40,IF(A41&lt;'Données projet'!$A$140,$CQ$205^A41,IF(A41='Données projet'!$A$140,'Données projet'!$B$140,CT40+CS41-DB40)))</f>
        <v>104.57875457875461</v>
      </c>
      <c r="CU41" s="17">
        <f>CT41*VLOOKUP('Données projet'!$B$13,Paramètres!$A$1:$I$89,3,0)*VLOOKUP('Données projet'!$B$13,Paramètres!$A$1:$I$89,5,0)</f>
        <v>81.571428571428598</v>
      </c>
      <c r="CV41" s="13">
        <f t="shared" si="41"/>
        <v>22.520970512999273</v>
      </c>
      <c r="CW41" s="20">
        <f t="shared" si="13"/>
        <v>181.29426173871184</v>
      </c>
      <c r="CX41" s="59">
        <f t="shared" si="14"/>
        <v>464.72782966369249</v>
      </c>
      <c r="CY41" s="59">
        <f ca="1">AVERAGE(OFFSET($CX$3,0,0,'Données projet'!$E$13+1,1))-AVERAGE(OFFSET($H$3,0,0,'Données projet'!$E$13+1,1))</f>
        <v>201.71903756761543</v>
      </c>
      <c r="CZ41" s="59">
        <f t="shared" si="42"/>
        <v>200.66422845182711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15.837283363431746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15.837283363431746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8.147490842142858</v>
      </c>
      <c r="DO41" s="12">
        <f>IF('Données projet'!$A$166&gt;35,DO40+DN41-DW40,IF(A41&lt;'Données projet'!$A$166,$DL$205^A41,IF(A41='Données projet'!$A$166,'Données projet'!$B$166,DO40+DN41-DW40)))</f>
        <v>152.88505494714292</v>
      </c>
      <c r="DP41" s="17">
        <f>DO41*VLOOKUP('Données projet'!$B$14,Paramètres!$A$1:$I$89,3,0)*VLOOKUP('Données projet'!$B$14,Paramètres!$A$1:$I$89,5,0)</f>
        <v>145.48541828770121</v>
      </c>
      <c r="DQ41" s="13">
        <f t="shared" si="43"/>
        <v>37.55081315022943</v>
      </c>
      <c r="DR41" s="20">
        <f t="shared" si="16"/>
        <v>318.78810308772921</v>
      </c>
      <c r="DS41" s="59">
        <f t="shared" si="17"/>
        <v>602.22167101270986</v>
      </c>
      <c r="DT41" s="59">
        <f ca="1">AVERAGE(OFFSET($DS$3,0,0,'Données projet'!$E$14+1,1))-AVERAGE(OFFSET($H$3,0,0,'Données projet'!$E$14+1,1))</f>
        <v>502.4879901989737</v>
      </c>
      <c r="DU41" s="59">
        <f t="shared" si="44"/>
        <v>226.06453328626355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-5.6843418860808015E-14</v>
      </c>
      <c r="EK41" s="17">
        <f>EJ41*VLOOKUP('Données projet'!$B$15,Paramètres!$A$1:$I$89,3,0)*VLOOKUP('Données projet'!$B$15,Paramètres!$A$1:$I$89,5,0)</f>
        <v>-3.2543994166189806E-14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192.76157155207764</v>
      </c>
      <c r="EP41" s="59">
        <f t="shared" si="46"/>
        <v>413.66427458788348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63.516284526475523</v>
      </c>
      <c r="EW41" s="21">
        <f>EXP(-LN(2)/25)*EW40+(1-EXP(-LN(2)/25))/(LN(2)/25)*Calculateur!ER41*Calculateur!ET41*VLOOKUP('Données projet'!$B$15,Paramètres!$A$1:$I$89,3,0)*0.475*44/12</f>
        <v>14.961465187046826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78.477749713522343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67.300063979540184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1.05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3.85</v>
      </c>
      <c r="H42" s="66">
        <f t="shared" si="1"/>
        <v>241.26666666666665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8.147490842142858</v>
      </c>
      <c r="N42" s="13">
        <f>IF('Données projet'!$A$36&gt;35,N41+M42-V41,IF(A42&lt;'Données projet'!$A$36,$K$205^A42,IF(A42='Données projet'!$A$36,'Données projet'!$B$36,N41+M42-V41)))</f>
        <v>161.03254578928579</v>
      </c>
      <c r="O42" s="13">
        <f>N42*VLOOKUP('Données projet'!$B$9,Paramètres!$A$1:$I$89,3,0)*VLOOKUP('Données projet'!$B$9,Paramètres!$A$1:$I$89,5,0)</f>
        <v>145.70224743014577</v>
      </c>
      <c r="P42" s="13">
        <f t="shared" si="33"/>
        <v>37.600259653710509</v>
      </c>
      <c r="Q42" s="20">
        <f t="shared" si="53"/>
        <v>319.25186650438303</v>
      </c>
      <c r="R42" s="59">
        <f t="shared" si="0"/>
        <v>602.85717322663891</v>
      </c>
      <c r="S42" s="59">
        <f ca="1">AVERAGE(OFFSET($R$3,0,0,'Données projet'!$E$9+1,1))-AVERAGE(OFFSET($H$3,0,0,'Données projet'!$E$9+1,1))</f>
        <v>480.34707165277229</v>
      </c>
      <c r="T42" s="59">
        <f t="shared" si="34"/>
        <v>217.17128038304531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183.15666666666675</v>
      </c>
      <c r="AJ42" s="13">
        <f>AI42*VLOOKUP('Données projet'!$B$10,Paramètres!$A$1:$I$89,3,0)*VLOOKUP('Données projet'!$B$10,Paramètres!$A$1:$I$89,5,0)</f>
        <v>185.7208600000001</v>
      </c>
      <c r="AK42" s="13">
        <f t="shared" si="35"/>
        <v>46.59264517316101</v>
      </c>
      <c r="AL42" s="20">
        <f t="shared" si="4"/>
        <v>404.61268817658896</v>
      </c>
      <c r="AM42" s="59">
        <f t="shared" si="5"/>
        <v>688.21799489884484</v>
      </c>
      <c r="AN42" s="59">
        <f ca="1">AVERAGE(OFFSET($AM$3,0,0,'Données projet'!$E$10+1,1))-AVERAGE(OFFSET($H$3,0,0,'Données projet'!$E$10+1,1))</f>
        <v>596.64394969449609</v>
      </c>
      <c r="AO42" s="59">
        <f t="shared" si="36"/>
        <v>312.55704723516362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30.983788348340841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30.983788348340841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620.44064932919105</v>
      </c>
      <c r="BI42" s="59">
        <f ca="1">AVERAGE(OFFSET($BH$3,0,0,'Données projet'!$E$11+1,1))-AVERAGE(OFFSET($H$3,0,0,'Données projet'!$E$11+1,1))</f>
        <v>360.53625471540249</v>
      </c>
      <c r="BJ42" s="59">
        <f t="shared" si="38"/>
        <v>326.66299410556076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10.358301011053431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10.358301011053431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659.69685686274738</v>
      </c>
      <c r="CD42" s="59">
        <f ca="1">AVERAGE(OFFSET($CC$3,0,0,'Données projet'!$E$12+1,1))-AVERAGE(OFFSET($H$3,0,0,'Données projet'!$E$12+1,1))</f>
        <v>358.39045200457502</v>
      </c>
      <c r="CE42" s="59">
        <f t="shared" si="40"/>
        <v>349.48764057925109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15.072398596510244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15.072398596510244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7.1428571428571432</v>
      </c>
      <c r="CT42" s="12">
        <f>IF('Données projet'!$A$140&gt;35,CT41+CS42-DB41,IF(A42&lt;'Données projet'!$A$140,$CQ$205^A42,IF(A42='Données projet'!$A$140,'Données projet'!$B$140,CT41+CS42-DB41)))</f>
        <v>111.72161172161175</v>
      </c>
      <c r="CU42" s="17">
        <f>CT42*VLOOKUP('Données projet'!$B$13,Paramètres!$A$1:$I$89,3,0)*VLOOKUP('Données projet'!$B$13,Paramètres!$A$1:$I$89,5,0)</f>
        <v>87.142857142857167</v>
      </c>
      <c r="CV42" s="13">
        <f t="shared" si="41"/>
        <v>23.874862491880062</v>
      </c>
      <c r="CW42" s="20">
        <f t="shared" si="13"/>
        <v>193.35586169716734</v>
      </c>
      <c r="CX42" s="59">
        <f t="shared" si="14"/>
        <v>476.96116841942319</v>
      </c>
      <c r="CY42" s="59">
        <f ca="1">AVERAGE(OFFSET($CX$3,0,0,'Données projet'!$E$13+1,1))-AVERAGE(OFFSET($H$3,0,0,'Données projet'!$E$13+1,1))</f>
        <v>201.71903756761543</v>
      </c>
      <c r="CZ42" s="59">
        <f t="shared" si="42"/>
        <v>200.66422845182711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15.526723896463876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15.526723896463876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8.147490842142858</v>
      </c>
      <c r="DO42" s="12">
        <f>IF('Données projet'!$A$166&gt;35,DO41+DN42-DW41,IF(A42&lt;'Données projet'!$A$166,$DL$205^A42,IF(A42='Données projet'!$A$166,'Données projet'!$B$166,DO41+DN42-DW41)))</f>
        <v>161.03254578928579</v>
      </c>
      <c r="DP42" s="17">
        <f>DO42*VLOOKUP('Données projet'!$B$14,Paramètres!$A$1:$I$89,3,0)*VLOOKUP('Données projet'!$B$14,Paramètres!$A$1:$I$89,5,0)</f>
        <v>153.23857057308436</v>
      </c>
      <c r="DQ42" s="13">
        <f t="shared" si="43"/>
        <v>39.313644948413213</v>
      </c>
      <c r="DR42" s="20">
        <f t="shared" si="16"/>
        <v>335.3617753666083</v>
      </c>
      <c r="DS42" s="59">
        <f t="shared" si="17"/>
        <v>618.96708208886412</v>
      </c>
      <c r="DT42" s="59">
        <f ca="1">AVERAGE(OFFSET($DS$3,0,0,'Données projet'!$E$14+1,1))-AVERAGE(OFFSET($H$3,0,0,'Données projet'!$E$14+1,1))</f>
        <v>502.4879901989737</v>
      </c>
      <c r="DU42" s="59">
        <f t="shared" si="44"/>
        <v>226.06453328626355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-5.6843418860808015E-14</v>
      </c>
      <c r="EK42" s="17">
        <f>EJ42*VLOOKUP('Données projet'!$B$15,Paramètres!$A$1:$I$89,3,0)*VLOOKUP('Données projet'!$B$15,Paramètres!$A$1:$I$89,5,0)</f>
        <v>-3.2543994166189806E-14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192.76157155207764</v>
      </c>
      <c r="EP42" s="59">
        <f t="shared" si="46"/>
        <v>413.66427458788348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62.270768928019535</v>
      </c>
      <c r="EW42" s="21">
        <f>EXP(-LN(2)/25)*EW41+(1-EXP(-LN(2)/25))/(LN(2)/25)*Calculateur!ER42*Calculateur!ET42*VLOOKUP('Données projet'!$B$15,Paramètres!$A$1:$I$89,3,0)*0.475*44/12</f>
        <v>14.552343134717772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76.823112062737309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67.3469018333425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1.05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3.85</v>
      </c>
      <c r="H43" s="66">
        <f t="shared" si="1"/>
        <v>241.26666666666665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8.147490842142858</v>
      </c>
      <c r="N43" s="13">
        <f>IF('Données projet'!$A$36&gt;35,N42+M43-V42,IF(A43&lt;'Données projet'!$A$36,$K$205^A43,IF(A43='Données projet'!$A$36,'Données projet'!$B$36,N42+M43-V42)))</f>
        <v>169.18003663142866</v>
      </c>
      <c r="O43" s="13">
        <f>N43*VLOOKUP('Données projet'!$B$9,Paramètres!$A$1:$I$89,3,0)*VLOOKUP('Données projet'!$B$9,Paramètres!$A$1:$I$89,5,0)</f>
        <v>153.07409714411665</v>
      </c>
      <c r="P43" s="13">
        <f t="shared" si="33"/>
        <v>39.27635826013762</v>
      </c>
      <c r="Q43" s="20">
        <f t="shared" si="53"/>
        <v>335.01037649574283</v>
      </c>
      <c r="R43" s="59">
        <f t="shared" si="0"/>
        <v>618.78444273109153</v>
      </c>
      <c r="S43" s="59">
        <f ca="1">AVERAGE(OFFSET($R$3,0,0,'Données projet'!$E$9+1,1))-AVERAGE(OFFSET($H$3,0,0,'Données projet'!$E$9+1,1))</f>
        <v>480.34707165277229</v>
      </c>
      <c r="T43" s="59">
        <f t="shared" si="34"/>
        <v>217.17128038304531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196.01833333333343</v>
      </c>
      <c r="AJ43" s="13">
        <f>AI43*VLOOKUP('Données projet'!$B$10,Paramètres!$A$1:$I$89,3,0)*VLOOKUP('Données projet'!$B$10,Paramètres!$A$1:$I$89,5,0)</f>
        <v>198.76259000000013</v>
      </c>
      <c r="AK43" s="13">
        <f t="shared" si="35"/>
        <v>49.47212431008991</v>
      </c>
      <c r="AL43" s="20">
        <f t="shared" si="4"/>
        <v>432.34212742340679</v>
      </c>
      <c r="AM43" s="59">
        <f t="shared" si="5"/>
        <v>716.11619365875549</v>
      </c>
      <c r="AN43" s="59">
        <f ca="1">AVERAGE(OFFSET($AM$3,0,0,'Données projet'!$E$10+1,1))-AVERAGE(OFFSET($H$3,0,0,'Données projet'!$E$10+1,1))</f>
        <v>596.64394969449609</v>
      </c>
      <c r="AO43" s="59">
        <f t="shared" si="36"/>
        <v>312.55704723516362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30.376215157074721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30.376215157074721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637.02376798341777</v>
      </c>
      <c r="BI43" s="59">
        <f ca="1">AVERAGE(OFFSET($BH$3,0,0,'Données projet'!$E$11+1,1))-AVERAGE(OFFSET($H$3,0,0,'Données projet'!$E$11+1,1))</f>
        <v>360.53625471540249</v>
      </c>
      <c r="BJ43" s="59">
        <f t="shared" si="38"/>
        <v>326.66299410556076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21.367409948697876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21.367409948697876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679.18396768094237</v>
      </c>
      <c r="CD43" s="59">
        <f ca="1">AVERAGE(OFFSET($CC$3,0,0,'Données projet'!$E$12+1,1))-AVERAGE(OFFSET($H$3,0,0,'Données projet'!$E$12+1,1))</f>
        <v>358.39045200457502</v>
      </c>
      <c r="CE43" s="59">
        <f t="shared" si="40"/>
        <v>349.48764057925109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31.091789993179567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31.091789993179567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7.1428571428571432</v>
      </c>
      <c r="CT43" s="12">
        <f>IF('Données projet'!$A$140&gt;35,CT42+CS43-DB42,IF(A43&lt;'Données projet'!$A$140,$CQ$205^A43,IF(A43='Données projet'!$A$140,'Données projet'!$B$140,CT42+CS43-DB42)))</f>
        <v>118.86446886446889</v>
      </c>
      <c r="CU43" s="17">
        <f>CT43*VLOOKUP('Données projet'!$B$13,Paramètres!$A$1:$I$89,3,0)*VLOOKUP('Données projet'!$B$13,Paramètres!$A$1:$I$89,5,0)</f>
        <v>92.714285714285737</v>
      </c>
      <c r="CV43" s="13">
        <f t="shared" si="41"/>
        <v>25.218709027237011</v>
      </c>
      <c r="CW43" s="20">
        <f t="shared" si="13"/>
        <v>205.39996584148545</v>
      </c>
      <c r="CX43" s="59">
        <f t="shared" si="14"/>
        <v>489.17403207683412</v>
      </c>
      <c r="CY43" s="59">
        <f ca="1">AVERAGE(OFFSET($CX$3,0,0,'Données projet'!$E$13+1,1))-AVERAGE(OFFSET($H$3,0,0,'Données projet'!$E$13+1,1))</f>
        <v>201.71903756761543</v>
      </c>
      <c r="CZ43" s="59">
        <f t="shared" si="42"/>
        <v>200.66422845182711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15.222254311220675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15.222254311220675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8.147490842142858</v>
      </c>
      <c r="DO43" s="12">
        <f>IF('Données projet'!$A$166&gt;35,DO42+DN43-DW42,IF(A43&lt;'Données projet'!$A$166,$DL$205^A43,IF(A43='Données projet'!$A$166,'Données projet'!$B$166,DO42+DN43-DW42)))</f>
        <v>169.18003663142866</v>
      </c>
      <c r="DP43" s="17">
        <f>DO43*VLOOKUP('Données projet'!$B$14,Paramètres!$A$1:$I$89,3,0)*VLOOKUP('Données projet'!$B$14,Paramètres!$A$1:$I$89,5,0)</f>
        <v>160.99172285846751</v>
      </c>
      <c r="DQ43" s="13">
        <f t="shared" si="43"/>
        <v>41.06612075891212</v>
      </c>
      <c r="DR43" s="20">
        <f t="shared" si="16"/>
        <v>351.91741096693619</v>
      </c>
      <c r="DS43" s="59">
        <f t="shared" si="17"/>
        <v>635.69147720228489</v>
      </c>
      <c r="DT43" s="59">
        <f ca="1">AVERAGE(OFFSET($DS$3,0,0,'Données projet'!$E$14+1,1))-AVERAGE(OFFSET($H$3,0,0,'Données projet'!$E$14+1,1))</f>
        <v>502.4879901989737</v>
      </c>
      <c r="DU43" s="59">
        <f t="shared" si="44"/>
        <v>226.06453328626355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-5.6843418860808015E-14</v>
      </c>
      <c r="EK43" s="17">
        <f>EJ43*VLOOKUP('Données projet'!$B$15,Paramètres!$A$1:$I$89,3,0)*VLOOKUP('Données projet'!$B$15,Paramètres!$A$1:$I$89,5,0)</f>
        <v>-3.2543994166189806E-14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192.76157155207764</v>
      </c>
      <c r="EP43" s="59">
        <f t="shared" si="46"/>
        <v>413.66427458788348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61.049677130759761</v>
      </c>
      <c r="EW43" s="21">
        <f>EXP(-LN(2)/25)*EW42+(1-EXP(-LN(2)/25))/(LN(2)/25)*Calculateur!ER43*Calculateur!ET43*VLOOKUP('Données projet'!$B$15,Paramètres!$A$1:$I$89,3,0)*0.475*44/12</f>
        <v>14.154408546424449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75.20408567718421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67.392927155095109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1.05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3.85</v>
      </c>
      <c r="H44" s="66">
        <f t="shared" si="1"/>
        <v>241.26666666666665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8.147490842142858</v>
      </c>
      <c r="N44" s="13">
        <f>IF('Données projet'!$A$36&gt;35,N43+M44-V43,IF(A44&lt;'Données projet'!$A$36,$K$205^A44,IF(A44='Données projet'!$A$36,'Données projet'!$B$36,N43+M44-V43)))</f>
        <v>177.32752747357154</v>
      </c>
      <c r="O44" s="13">
        <f>N44*VLOOKUP('Données projet'!$B$9,Paramètres!$A$1:$I$89,3,0)*VLOOKUP('Données projet'!$B$9,Paramètres!$A$1:$I$89,5,0)</f>
        <v>160.44594685808752</v>
      </c>
      <c r="P44" s="13">
        <f t="shared" si="33"/>
        <v>40.943083666081961</v>
      </c>
      <c r="Q44" s="20">
        <f t="shared" si="53"/>
        <v>350.75256149626176</v>
      </c>
      <c r="R44" s="59">
        <f t="shared" si="0"/>
        <v>634.69245964444099</v>
      </c>
      <c r="S44" s="59">
        <f ca="1">AVERAGE(OFFSET($R$3,0,0,'Données projet'!$E$9+1,1))-AVERAGE(OFFSET($H$3,0,0,'Données projet'!$E$9+1,1))</f>
        <v>480.34707165277229</v>
      </c>
      <c r="T44" s="59">
        <f t="shared" si="34"/>
        <v>217.17128038304531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208.88000000000011</v>
      </c>
      <c r="AJ44" s="13">
        <f>AI44*VLOOKUP('Données projet'!$B$10,Paramètres!$A$1:$I$89,3,0)*VLOOKUP('Données projet'!$B$10,Paramètres!$A$1:$I$89,5,0)</f>
        <v>211.80432000000013</v>
      </c>
      <c r="AK44" s="13">
        <f t="shared" si="35"/>
        <v>52.329678475785734</v>
      </c>
      <c r="AL44" s="20">
        <f t="shared" si="4"/>
        <v>460.03338067866031</v>
      </c>
      <c r="AM44" s="59">
        <f t="shared" si="5"/>
        <v>743.97327882683953</v>
      </c>
      <c r="AN44" s="59">
        <f ca="1">AVERAGE(OFFSET($AM$3,0,0,'Données projet'!$E$10+1,1))-AVERAGE(OFFSET($H$3,0,0,'Données projet'!$E$10+1,1))</f>
        <v>596.64394969449609</v>
      </c>
      <c r="AO44" s="59">
        <f t="shared" si="36"/>
        <v>312.55704723516362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52.632517214954675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52.632517214954675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601.72736060485954</v>
      </c>
      <c r="BI44" s="59">
        <f ca="1">AVERAGE(OFFSET($BH$3,0,0,'Données projet'!$E$11+1,1))-AVERAGE(OFFSET($H$3,0,0,'Données projet'!$E$11+1,1))</f>
        <v>360.53625471540249</v>
      </c>
      <c r="BJ44" s="59">
        <f t="shared" si="38"/>
        <v>326.66299410556076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20.948408072437093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20.948408072437093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636.61698271036403</v>
      </c>
      <c r="CD44" s="59">
        <f ca="1">AVERAGE(OFFSET($CC$3,0,0,'Données projet'!$E$12+1,1))-AVERAGE(OFFSET($H$3,0,0,'Données projet'!$E$12+1,1))</f>
        <v>358.39045200457502</v>
      </c>
      <c r="CE44" s="59">
        <f t="shared" si="40"/>
        <v>349.48764057925109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30.48209895553266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30.48209895553266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7.1428571428571432</v>
      </c>
      <c r="CT44" s="12">
        <f>IF('Données projet'!$A$140&gt;35,CT43+CS44-DB43,IF(A44&lt;'Données projet'!$A$140,$CQ$205^A44,IF(A44='Données projet'!$A$140,'Données projet'!$B$140,CT43+CS44-DB43)))</f>
        <v>126.00732600732603</v>
      </c>
      <c r="CU44" s="17">
        <f>CT44*VLOOKUP('Données projet'!$B$13,Paramètres!$A$1:$I$89,3,0)*VLOOKUP('Données projet'!$B$13,Paramètres!$A$1:$I$89,5,0)</f>
        <v>98.285714285714306</v>
      </c>
      <c r="CV44" s="13">
        <f t="shared" si="41"/>
        <v>26.553182521641848</v>
      </c>
      <c r="CW44" s="20">
        <f t="shared" si="13"/>
        <v>217.42774527281196</v>
      </c>
      <c r="CX44" s="59">
        <f t="shared" si="14"/>
        <v>501.36764342099116</v>
      </c>
      <c r="CY44" s="59">
        <f ca="1">AVERAGE(OFFSET($CX$3,0,0,'Données projet'!$E$13+1,1))-AVERAGE(OFFSET($H$3,0,0,'Données projet'!$E$13+1,1))</f>
        <v>201.71903756761543</v>
      </c>
      <c r="CZ44" s="59">
        <f t="shared" si="42"/>
        <v>200.66422845182711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14.923755188835983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14.923755188835983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8.147490842142858</v>
      </c>
      <c r="DO44" s="12">
        <f>IF('Données projet'!$A$166&gt;35,DO43+DN44-DW43,IF(A44&lt;'Données projet'!$A$166,$DL$205^A44,IF(A44='Données projet'!$A$166,'Données projet'!$B$166,DO43+DN44-DW43)))</f>
        <v>177.32752747357154</v>
      </c>
      <c r="DP44" s="17">
        <f>DO44*VLOOKUP('Données projet'!$B$14,Paramètres!$A$1:$I$89,3,0)*VLOOKUP('Données projet'!$B$14,Paramètres!$A$1:$I$89,5,0)</f>
        <v>168.74487514385066</v>
      </c>
      <c r="DQ44" s="13">
        <f t="shared" si="43"/>
        <v>42.808796246774861</v>
      </c>
      <c r="DR44" s="20">
        <f t="shared" si="16"/>
        <v>368.45597767200616</v>
      </c>
      <c r="DS44" s="59">
        <f t="shared" si="17"/>
        <v>652.39587582018532</v>
      </c>
      <c r="DT44" s="59">
        <f ca="1">AVERAGE(OFFSET($DS$3,0,0,'Données projet'!$E$14+1,1))-AVERAGE(OFFSET($H$3,0,0,'Données projet'!$E$14+1,1))</f>
        <v>502.4879901989737</v>
      </c>
      <c r="DU44" s="59">
        <f t="shared" si="44"/>
        <v>226.06453328626355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-5.6843418860808015E-14</v>
      </c>
      <c r="EK44" s="17">
        <f>EJ44*VLOOKUP('Données projet'!$B$15,Paramètres!$A$1:$I$89,3,0)*VLOOKUP('Données projet'!$B$15,Paramètres!$A$1:$I$89,5,0)</f>
        <v>-3.2543994166189806E-14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192.76157155207764</v>
      </c>
      <c r="EP44" s="59">
        <f t="shared" si="46"/>
        <v>413.66427458788348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59.852530198851802</v>
      </c>
      <c r="EW44" s="21">
        <f>EXP(-LN(2)/25)*EW43+(1-EXP(-LN(2)/25))/(LN(2)/25)*Calculateur!ER44*Calculateur!ET44*VLOOKUP('Données projet'!$B$15,Paramètres!$A$1:$I$89,3,0)*0.475*44/12</f>
        <v>13.767355500374478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73.619885699226273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67.438154040412499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1.05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3.85</v>
      </c>
      <c r="H45" s="66">
        <f t="shared" si="1"/>
        <v>241.26666666666665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8.147490842142858</v>
      </c>
      <c r="N45" s="13">
        <f>IF('Données projet'!$A$36&gt;35,N44+M45-V44,IF(A45&lt;'Données projet'!$A$36,$K$205^A45,IF(A45='Données projet'!$A$36,'Données projet'!$B$36,N44+M45-V44)))</f>
        <v>185.47501831571441</v>
      </c>
      <c r="O45" s="13">
        <f>N45*VLOOKUP('Données projet'!$B$9,Paramètres!$A$1:$I$89,3,0)*VLOOKUP('Données projet'!$B$9,Paramètres!$A$1:$I$89,5,0)</f>
        <v>167.8177965720584</v>
      </c>
      <c r="P45" s="13">
        <f t="shared" si="33"/>
        <v>42.600915723287685</v>
      </c>
      <c r="Q45" s="20">
        <f t="shared" si="53"/>
        <v>366.47925724772773</v>
      </c>
      <c r="R45" s="59">
        <f t="shared" si="0"/>
        <v>650.58211049579427</v>
      </c>
      <c r="S45" s="59">
        <f ca="1">AVERAGE(OFFSET($R$3,0,0,'Données projet'!$E$9+1,1))-AVERAGE(OFFSET($H$3,0,0,'Données projet'!$E$9+1,1))</f>
        <v>480.34707165277229</v>
      </c>
      <c r="T45" s="59">
        <f t="shared" si="34"/>
        <v>217.17128038304531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174.53000000000011</v>
      </c>
      <c r="AJ45" s="13">
        <f>AI45*VLOOKUP('Données projet'!$B$10,Paramètres!$A$1:$I$89,3,0)*VLOOKUP('Données projet'!$B$10,Paramètres!$A$1:$I$89,5,0)</f>
        <v>176.97342000000012</v>
      </c>
      <c r="AK45" s="13">
        <f t="shared" si="35"/>
        <v>44.648164773275532</v>
      </c>
      <c r="AL45" s="20">
        <f t="shared" si="4"/>
        <v>385.99092681345513</v>
      </c>
      <c r="AM45" s="59">
        <f t="shared" si="5"/>
        <v>670.09378006152178</v>
      </c>
      <c r="AN45" s="59">
        <f ca="1">AVERAGE(OFFSET($AM$3,0,0,'Données projet'!$E$10+1,1))-AVERAGE(OFFSET($H$3,0,0,'Données projet'!$E$10+1,1))</f>
        <v>596.64394969449609</v>
      </c>
      <c r="AO45" s="59">
        <f t="shared" si="36"/>
        <v>312.55704723516362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51.600425655035039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51.600425655035039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616.83188782691127</v>
      </c>
      <c r="BI45" s="59">
        <f ca="1">AVERAGE(OFFSET($BH$3,0,0,'Données projet'!$E$11+1,1))-AVERAGE(OFFSET($H$3,0,0,'Données projet'!$E$11+1,1))</f>
        <v>360.53625471540249</v>
      </c>
      <c r="BJ45" s="59">
        <f t="shared" si="38"/>
        <v>326.66299410556076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20.537622567403876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20.537622567403876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653.41096898842261</v>
      </c>
      <c r="CD45" s="59">
        <f ca="1">AVERAGE(OFFSET($CC$3,0,0,'Données projet'!$E$12+1,1))-AVERAGE(OFFSET($H$3,0,0,'Données projet'!$E$12+1,1))</f>
        <v>358.39045200457502</v>
      </c>
      <c r="CE45" s="59">
        <f t="shared" si="40"/>
        <v>349.48764057925109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29.884363587259195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29.884363587259195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7.1428571428571432</v>
      </c>
      <c r="CT45" s="12">
        <f>IF('Données projet'!$A$140&gt;35,CT44+CS45-DB44,IF(A45&lt;'Données projet'!$A$140,$CQ$205^A45,IF(A45='Données projet'!$A$140,'Données projet'!$B$140,CT44+CS45-DB44)))</f>
        <v>133.15018315018318</v>
      </c>
      <c r="CU45" s="17">
        <f>CT45*VLOOKUP('Données projet'!$B$13,Paramètres!$A$1:$I$89,3,0)*VLOOKUP('Données projet'!$B$13,Paramètres!$A$1:$I$89,5,0)</f>
        <v>103.85714285714289</v>
      </c>
      <c r="CV45" s="13">
        <f t="shared" si="41"/>
        <v>27.878874840299215</v>
      </c>
      <c r="CW45" s="20">
        <f t="shared" si="13"/>
        <v>229.44023082304497</v>
      </c>
      <c r="CX45" s="59">
        <f t="shared" si="14"/>
        <v>513.54308407111159</v>
      </c>
      <c r="CY45" s="59">
        <f ca="1">AVERAGE(OFFSET($CX$3,0,0,'Données projet'!$E$13+1,1))-AVERAGE(OFFSET($H$3,0,0,'Données projet'!$E$13+1,1))</f>
        <v>201.71903756761543</v>
      </c>
      <c r="CZ45" s="59">
        <f t="shared" si="42"/>
        <v>200.66422845182711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14.631109452174769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14.631109452174769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8.147490842142858</v>
      </c>
      <c r="DO45" s="12">
        <f>IF('Données projet'!$A$166&gt;35,DO44+DN45-DW44,IF(A45&lt;'Données projet'!$A$166,$DL$205^A45,IF(A45='Données projet'!$A$166,'Données projet'!$B$166,DO44+DN45-DW44)))</f>
        <v>185.47501831571441</v>
      </c>
      <c r="DP45" s="17">
        <f>DO45*VLOOKUP('Données projet'!$B$14,Paramètres!$A$1:$I$89,3,0)*VLOOKUP('Données projet'!$B$14,Paramètres!$A$1:$I$89,5,0)</f>
        <v>176.49802742923384</v>
      </c>
      <c r="DQ45" s="13">
        <f t="shared" si="43"/>
        <v>44.542173129842517</v>
      </c>
      <c r="DR45" s="20">
        <f t="shared" si="16"/>
        <v>384.97834930705795</v>
      </c>
      <c r="DS45" s="59">
        <f t="shared" si="17"/>
        <v>669.08120255512449</v>
      </c>
      <c r="DT45" s="59">
        <f ca="1">AVERAGE(OFFSET($DS$3,0,0,'Données projet'!$E$14+1,1))-AVERAGE(OFFSET($H$3,0,0,'Données projet'!$E$14+1,1))</f>
        <v>502.4879901989737</v>
      </c>
      <c r="DU45" s="59">
        <f t="shared" si="44"/>
        <v>226.06453328626355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-5.6843418860808015E-14</v>
      </c>
      <c r="EK45" s="17">
        <f>EJ45*VLOOKUP('Données projet'!$B$15,Paramètres!$A$1:$I$89,3,0)*VLOOKUP('Données projet'!$B$15,Paramètres!$A$1:$I$89,5,0)</f>
        <v>-3.2543994166189806E-14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192.76157155207764</v>
      </c>
      <c r="EP45" s="59">
        <f t="shared" si="46"/>
        <v>413.66427458788348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58.678858588091032</v>
      </c>
      <c r="EW45" s="21">
        <f>EXP(-LN(2)/25)*EW44+(1-EXP(-LN(2)/25))/(LN(2)/25)*Calculateur!ER45*Calculateur!ET45*VLOOKUP('Données projet'!$B$15,Paramètres!$A$1:$I$89,3,0)*0.475*44/12</f>
        <v>13.390886440222978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72.069745028314003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67.482596340381804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1.05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3.85</v>
      </c>
      <c r="H46" s="66">
        <f t="shared" si="1"/>
        <v>241.26666666666665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8.147490842142858</v>
      </c>
      <c r="N46" s="13">
        <f>IF('Données projet'!$A$36&gt;35,N45+M46-V45,IF(A46&lt;'Données projet'!$A$36,$K$205^A46,IF(A46='Données projet'!$A$36,'Données projet'!$B$36,N45+M46-V45)))</f>
        <v>193.62250915785728</v>
      </c>
      <c r="O46" s="13">
        <f>N46*VLOOKUP('Données projet'!$B$9,Paramètres!$A$1:$I$89,3,0)*VLOOKUP('Données projet'!$B$9,Paramètres!$A$1:$I$89,5,0)</f>
        <v>175.18964628602927</v>
      </c>
      <c r="P46" s="13">
        <f t="shared" si="33"/>
        <v>44.250289742165812</v>
      </c>
      <c r="Q46" s="20">
        <f t="shared" si="53"/>
        <v>382.19122191577304</v>
      </c>
      <c r="R46" s="59">
        <f t="shared" si="0"/>
        <v>666.45420335705717</v>
      </c>
      <c r="S46" s="59">
        <f ca="1">AVERAGE(OFFSET($R$3,0,0,'Données projet'!$E$9+1,1))-AVERAGE(OFFSET($H$3,0,0,'Données projet'!$E$9+1,1))</f>
        <v>480.34707165277229</v>
      </c>
      <c r="T46" s="59">
        <f t="shared" si="34"/>
        <v>217.17128038304531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187.59000000000012</v>
      </c>
      <c r="AJ46" s="13">
        <f>AI46*VLOOKUP('Données projet'!$B$10,Paramètres!$A$1:$I$89,3,0)*VLOOKUP('Données projet'!$B$10,Paramètres!$A$1:$I$89,5,0)</f>
        <v>190.21626000000012</v>
      </c>
      <c r="AK46" s="13">
        <f t="shared" si="35"/>
        <v>47.587761700810958</v>
      </c>
      <c r="AL46" s="20">
        <f t="shared" si="4"/>
        <v>414.17533779557925</v>
      </c>
      <c r="AM46" s="59">
        <f t="shared" si="5"/>
        <v>698.43831923686344</v>
      </c>
      <c r="AN46" s="59">
        <f ca="1">AVERAGE(OFFSET($AM$3,0,0,'Données projet'!$E$10+1,1))-AVERAGE(OFFSET($H$3,0,0,'Données projet'!$E$10+1,1))</f>
        <v>596.64394969449609</v>
      </c>
      <c r="AO46" s="59">
        <f t="shared" si="36"/>
        <v>312.55704723516362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50.588572781091734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50.588572781091734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631.91880110026489</v>
      </c>
      <c r="BI46" s="59">
        <f ca="1">AVERAGE(OFFSET($BH$3,0,0,'Données projet'!$E$11+1,1))-AVERAGE(OFFSET($H$3,0,0,'Données projet'!$E$11+1,1))</f>
        <v>360.53625471540249</v>
      </c>
      <c r="BJ46" s="59">
        <f t="shared" si="38"/>
        <v>326.66299410556076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20.134892315569942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20.134892315569942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670.18579325044584</v>
      </c>
      <c r="CD46" s="59">
        <f ca="1">AVERAGE(OFFSET($CC$3,0,0,'Données projet'!$E$12+1,1))-AVERAGE(OFFSET($H$3,0,0,'Données projet'!$E$12+1,1))</f>
        <v>358.39045200457502</v>
      </c>
      <c r="CE46" s="59">
        <f t="shared" si="40"/>
        <v>349.48764057925109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29.298349444974999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29.298349444974999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7.1428571428571432</v>
      </c>
      <c r="CT46" s="12">
        <f>IF('Données projet'!$A$140&gt;35,CT45+CS46-DB45,IF(A46&lt;'Données projet'!$A$140,$CQ$205^A46,IF(A46='Données projet'!$A$140,'Données projet'!$B$140,CT45+CS46-DB45)))</f>
        <v>140.29304029304032</v>
      </c>
      <c r="CU46" s="17">
        <f>CT46*VLOOKUP('Données projet'!$B$13,Paramètres!$A$1:$I$89,3,0)*VLOOKUP('Données projet'!$B$13,Paramètres!$A$1:$I$89,5,0)</f>
        <v>109.42857142857146</v>
      </c>
      <c r="CV46" s="13">
        <f t="shared" si="41"/>
        <v>29.196310760611571</v>
      </c>
      <c r="CW46" s="20">
        <f t="shared" si="13"/>
        <v>241.43833647949381</v>
      </c>
      <c r="CX46" s="59">
        <f t="shared" si="14"/>
        <v>525.70131792077791</v>
      </c>
      <c r="CY46" s="59">
        <f ca="1">AVERAGE(OFFSET($CX$3,0,0,'Données projet'!$E$13+1,1))-AVERAGE(OFFSET($H$3,0,0,'Données projet'!$E$13+1,1))</f>
        <v>201.71903756761543</v>
      </c>
      <c r="CZ46" s="59">
        <f t="shared" si="42"/>
        <v>200.66422845182711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14.344202319913206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14.344202319913206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8.147490842142858</v>
      </c>
      <c r="DO46" s="12">
        <f>IF('Données projet'!$A$166&gt;35,DO45+DN46-DW45,IF(A46&lt;'Données projet'!$A$166,$DL$205^A46,IF(A46='Données projet'!$A$166,'Données projet'!$B$166,DO45+DN46-DW45)))</f>
        <v>193.62250915785728</v>
      </c>
      <c r="DP46" s="17">
        <f>DO46*VLOOKUP('Données projet'!$B$14,Paramètres!$A$1:$I$89,3,0)*VLOOKUP('Données projet'!$B$14,Paramètres!$A$1:$I$89,5,0)</f>
        <v>184.251179714617</v>
      </c>
      <c r="DQ46" s="13">
        <f t="shared" si="43"/>
        <v>46.266706554943788</v>
      </c>
      <c r="DR46" s="20">
        <f t="shared" si="16"/>
        <v>401.48531858615166</v>
      </c>
      <c r="DS46" s="59">
        <f t="shared" si="17"/>
        <v>685.74830002743579</v>
      </c>
      <c r="DT46" s="59">
        <f ca="1">AVERAGE(OFFSET($DS$3,0,0,'Données projet'!$E$14+1,1))-AVERAGE(OFFSET($H$3,0,0,'Données projet'!$E$14+1,1))</f>
        <v>502.4879901989737</v>
      </c>
      <c r="DU46" s="59">
        <f t="shared" si="44"/>
        <v>226.06453328626355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-5.6843418860808015E-14</v>
      </c>
      <c r="EK46" s="17">
        <f>EJ46*VLOOKUP('Données projet'!$B$15,Paramètres!$A$1:$I$89,3,0)*VLOOKUP('Données projet'!$B$15,Paramètres!$A$1:$I$89,5,0)</f>
        <v>-3.2543994166189806E-14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192.76157155207764</v>
      </c>
      <c r="EP46" s="59">
        <f t="shared" si="46"/>
        <v>413.66427458788348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57.52820196174828</v>
      </c>
      <c r="EW46" s="21">
        <f>EXP(-LN(2)/25)*EW45+(1-EXP(-LN(2)/25))/(LN(2)/25)*Calculateur!ER46*Calculateur!ET46*VLOOKUP('Données projet'!$B$15,Paramètres!$A$1:$I$89,3,0)*0.475*44/12</f>
        <v>13.024711946318968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70.552913908067254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67.526267665804752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1.05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3.85</v>
      </c>
      <c r="H47" s="66">
        <f t="shared" si="1"/>
        <v>241.26666666666665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201.77</v>
      </c>
      <c r="L47" s="12">
        <f>VLOOKUP(A47,'Données projet'!$A$35:$I$55,9,0)</f>
        <v>8.147490842142858</v>
      </c>
      <c r="M47" s="12">
        <f t="array" ref="M47">INDEX(L:L,MIN(IF(ISNUMBER(L47:L243),ROW(L47:L243),"")))</f>
        <v>8.147490842142858</v>
      </c>
      <c r="N47" s="13">
        <f>IF('Données projet'!$A$36&gt;35,N46+M47-V46,IF(A47&lt;'Données projet'!$A$36,$K$205^A47,IF(A47='Données projet'!$A$36,'Données projet'!$B$36,N46+M47-V46)))</f>
        <v>201.77000000000015</v>
      </c>
      <c r="O47" s="13">
        <f>N47*VLOOKUP('Données projet'!$B$9,Paramètres!$A$1:$I$89,3,0)*VLOOKUP('Données projet'!$B$9,Paramètres!$A$1:$I$89,5,0)</f>
        <v>182.56149600000015</v>
      </c>
      <c r="P47" s="13">
        <f t="shared" si="33"/>
        <v>45.891602325617114</v>
      </c>
      <c r="Q47" s="20">
        <f t="shared" si="53"/>
        <v>397.88914625045004</v>
      </c>
      <c r="R47" s="59">
        <f t="shared" si="0"/>
        <v>682.30947801879233</v>
      </c>
      <c r="S47" s="59">
        <f ca="1">AVERAGE(OFFSET($R$3,0,0,'Données projet'!$E$9+1,1))-AVERAGE(OFFSET($H$3,0,0,'Données projet'!$E$9+1,1))</f>
        <v>480.34707165277229</v>
      </c>
      <c r="T47" s="59">
        <f t="shared" si="34"/>
        <v>217.17128038304531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74.010000000000005</v>
      </c>
      <c r="W47" s="16">
        <f>IF(ISNA(VLOOKUP(A47,'Données projet'!$A$35:$I$55,5,0)),0%,VLOOKUP(A47,'Données projet'!$A$35:$I$55,5,0)*VLOOKUP('Données projet'!$B$9,Paramètres!$A$1:$I$89,7,0))</f>
        <v>0.43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31.831606840230396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31.831606840230396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200.65000000000012</v>
      </c>
      <c r="AJ47" s="13">
        <f>AI47*VLOOKUP('Données projet'!$B$10,Paramètres!$A$1:$I$89,3,0)*VLOOKUP('Données projet'!$B$10,Paramètres!$A$1:$I$89,5,0)</f>
        <v>203.45910000000012</v>
      </c>
      <c r="AK47" s="13">
        <f t="shared" si="35"/>
        <v>50.503612867997838</v>
      </c>
      <c r="AL47" s="20">
        <f t="shared" si="4"/>
        <v>442.31839157842978</v>
      </c>
      <c r="AM47" s="59">
        <f t="shared" si="5"/>
        <v>726.73872334677208</v>
      </c>
      <c r="AN47" s="59">
        <f ca="1">AVERAGE(OFFSET($AM$3,0,0,'Données projet'!$E$10+1,1))-AVERAGE(OFFSET($H$3,0,0,'Données projet'!$E$10+1,1))</f>
        <v>596.64394969449609</v>
      </c>
      <c r="AO47" s="59">
        <f t="shared" si="36"/>
        <v>312.55704723516362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49.596561724837144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49.596561724837144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646.98887372599029</v>
      </c>
      <c r="BI47" s="59">
        <f ca="1">AVERAGE(OFFSET($BH$3,0,0,'Données projet'!$E$11+1,1))-AVERAGE(OFFSET($H$3,0,0,'Données projet'!$E$11+1,1))</f>
        <v>360.53625471540249</v>
      </c>
      <c r="BJ47" s="59">
        <f t="shared" si="38"/>
        <v>326.66299410556076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19.740059358333273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19.740059358333273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686.94230659712275</v>
      </c>
      <c r="CD47" s="59">
        <f ca="1">AVERAGE(OFFSET($CC$3,0,0,'Données projet'!$E$12+1,1))-AVERAGE(OFFSET($H$3,0,0,'Données projet'!$E$12+1,1))</f>
        <v>358.39045200457502</v>
      </c>
      <c r="CE47" s="59">
        <f t="shared" si="40"/>
        <v>349.48764057925109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28.723826682587664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28.723826682587664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147.43589743589743</v>
      </c>
      <c r="CR47" s="12">
        <f>VLOOKUP(A47,'Données projet'!$A$139:$I$159,9,0)</f>
        <v>7.1428571428571432</v>
      </c>
      <c r="CS47" s="12">
        <f t="array" ref="CS47">INDEX(CR:CR,MIN(IF(ISNUMBER(CR47:CR243),ROW(CR47:CR243),"")))</f>
        <v>7.1428571428571432</v>
      </c>
      <c r="CT47" s="12">
        <f>IF('Données projet'!$A$140&gt;35,CT46+CS47-DB46,IF(A47&lt;'Données projet'!$A$140,$CQ$205^A47,IF(A47='Données projet'!$A$140,'Données projet'!$B$140,CT46+CS47-DB46)))</f>
        <v>147.43589743589746</v>
      </c>
      <c r="CU47" s="17">
        <f>CT47*VLOOKUP('Données projet'!$B$13,Paramètres!$A$1:$I$89,3,0)*VLOOKUP('Données projet'!$B$13,Paramètres!$A$1:$I$89,5,0)</f>
        <v>115.00000000000003</v>
      </c>
      <c r="CV47" s="13">
        <f t="shared" si="41"/>
        <v>30.505958604729159</v>
      </c>
      <c r="CW47" s="20">
        <f t="shared" si="13"/>
        <v>253.42287790323667</v>
      </c>
      <c r="CX47" s="59">
        <f t="shared" si="14"/>
        <v>537.84320967157896</v>
      </c>
      <c r="CY47" s="59">
        <f ca="1">AVERAGE(OFFSET($CX$3,0,0,'Données projet'!$E$13+1,1))-AVERAGE(OFFSET($H$3,0,0,'Données projet'!$E$13+1,1))</f>
        <v>201.71903756761543</v>
      </c>
      <c r="CZ47" s="59">
        <f t="shared" si="42"/>
        <v>200.66422845182711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27.564102564102562</v>
      </c>
      <c r="DC47" s="16">
        <f>IF(ISNA(VLOOKUP(A47,'Données projet'!$A$139:$I$159,5,0)),0%,VLOOKUP(A47,'Données projet'!$A$139:$I$159,5,0)*VLOOKUP('Données projet'!$B$13,Paramètres!$A$1:$I$89,7,0))</f>
        <v>0.43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24.282994920301345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24.282994920301345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201.77</v>
      </c>
      <c r="DM47" s="12">
        <f>VLOOKUP(A47,'Données projet'!$A$165:$I$185,9,0)</f>
        <v>8.147490842142858</v>
      </c>
      <c r="DN47" s="12">
        <f t="array" ref="DN47">INDEX(DM:DM,MIN(IF(ISNUMBER(DM47:DM243),ROW(DM47:DM243),"")))</f>
        <v>8.147490842142858</v>
      </c>
      <c r="DO47" s="12">
        <f>IF('Données projet'!$A$166&gt;35,DO46+DN47-DW46,IF(A47&lt;'Données projet'!$A$166,$DL$205^A47,IF(A47='Données projet'!$A$166,'Données projet'!$B$166,DO46+DN47-DW46)))</f>
        <v>201.77000000000015</v>
      </c>
      <c r="DP47" s="17">
        <f>DO47*VLOOKUP('Données projet'!$B$14,Paramètres!$A$1:$I$89,3,0)*VLOOKUP('Données projet'!$B$14,Paramètres!$A$1:$I$89,5,0)</f>
        <v>192.00433200000015</v>
      </c>
      <c r="DQ47" s="13">
        <f t="shared" si="43"/>
        <v>47.982811197556309</v>
      </c>
      <c r="DR47" s="20">
        <f t="shared" si="16"/>
        <v>417.97760773574419</v>
      </c>
      <c r="DS47" s="59">
        <f t="shared" si="17"/>
        <v>702.39793950408648</v>
      </c>
      <c r="DT47" s="59">
        <f ca="1">AVERAGE(OFFSET($DS$3,0,0,'Données projet'!$E$14+1,1))-AVERAGE(OFFSET($H$3,0,0,'Données projet'!$E$14+1,1))</f>
        <v>502.4879901989737</v>
      </c>
      <c r="DU47" s="59">
        <f t="shared" si="44"/>
        <v>226.06453328626355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74.010000000000005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33.478069263000926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33.478069263000926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-5.6843418860808015E-14</v>
      </c>
      <c r="EK47" s="17">
        <f>EJ47*VLOOKUP('Données projet'!$B$15,Paramètres!$A$1:$I$89,3,0)*VLOOKUP('Données projet'!$B$15,Paramètres!$A$1:$I$89,5,0)</f>
        <v>-3.2543994166189806E-14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192.76157155207764</v>
      </c>
      <c r="EP47" s="59">
        <f t="shared" si="46"/>
        <v>413.66427458788348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56.40010901001687</v>
      </c>
      <c r="EW47" s="21">
        <f>EXP(-LN(2)/25)*EW46+(1-EXP(-LN(2)/25))/(LN(2)/25)*Calculateur!ER47*Calculateur!ET47*VLOOKUP('Données projet'!$B$15,Paramètres!$A$1:$I$89,3,0)*0.475*44/12</f>
        <v>12.668550513207043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69.068659523223914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67.569181391366058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1.05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3.85</v>
      </c>
      <c r="H48" s="66">
        <f t="shared" si="1"/>
        <v>241.26666666666665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9.2985714285714263</v>
      </c>
      <c r="N48" s="13">
        <f>IF('Données projet'!$A$36&gt;35,N47+M48-V47,IF(A48&lt;'Données projet'!$A$36,$K$205^A48,IF(A48='Données projet'!$A$36,'Données projet'!$B$36,N47+M48-V47)))</f>
        <v>137.05857142857155</v>
      </c>
      <c r="O48" s="13">
        <f>N48*VLOOKUP('Données projet'!$B$9,Paramètres!$A$1:$I$89,3,0)*VLOOKUP('Données projet'!$B$9,Paramètres!$A$1:$I$89,5,0)</f>
        <v>124.01059542857155</v>
      </c>
      <c r="P48" s="13">
        <f t="shared" si="33"/>
        <v>32.60860756039709</v>
      </c>
      <c r="Q48" s="20">
        <f t="shared" si="53"/>
        <v>272.77844520578708</v>
      </c>
      <c r="R48" s="59">
        <f t="shared" si="0"/>
        <v>557.35339762479566</v>
      </c>
      <c r="S48" s="59">
        <f ca="1">AVERAGE(OFFSET($R$3,0,0,'Données projet'!$E$9+1,1))-AVERAGE(OFFSET($H$3,0,0,'Données projet'!$E$9+1,1))</f>
        <v>480.34707165277229</v>
      </c>
      <c r="T48" s="59">
        <f t="shared" si="34"/>
        <v>217.17128038304531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31.207408445456544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31.207408445456544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213.71000000000012</v>
      </c>
      <c r="AJ48" s="13">
        <f>AI48*VLOOKUP('Données projet'!$B$10,Paramètres!$A$1:$I$89,3,0)*VLOOKUP('Données projet'!$B$10,Paramètres!$A$1:$I$89,5,0)</f>
        <v>216.70194000000012</v>
      </c>
      <c r="AK48" s="13">
        <f t="shared" si="35"/>
        <v>53.397439744331798</v>
      </c>
      <c r="AL48" s="20">
        <f t="shared" si="4"/>
        <v>470.42308638804479</v>
      </c>
      <c r="AM48" s="59">
        <f t="shared" si="5"/>
        <v>754.99803880705326</v>
      </c>
      <c r="AN48" s="59">
        <f ca="1">AVERAGE(OFFSET($AM$3,0,0,'Données projet'!$E$10+1,1))-AVERAGE(OFFSET($H$3,0,0,'Données projet'!$E$10+1,1))</f>
        <v>596.64394969449609</v>
      </c>
      <c r="AO48" s="59">
        <f t="shared" si="36"/>
        <v>312.55704723516362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48.624003400328711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48.624003400328711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662.04281371386878</v>
      </c>
      <c r="BI48" s="59">
        <f ca="1">AVERAGE(OFFSET($BH$3,0,0,'Données projet'!$E$11+1,1))-AVERAGE(OFFSET($H$3,0,0,'Données projet'!$E$11+1,1))</f>
        <v>360.53625471540249</v>
      </c>
      <c r="BJ48" s="59">
        <f t="shared" si="38"/>
        <v>326.66299410556076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30.149929999964328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30.149929999964328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703.68128774675631</v>
      </c>
      <c r="CD48" s="59">
        <f ca="1">AVERAGE(OFFSET($CC$3,0,0,'Données projet'!$E$12+1,1))-AVERAGE(OFFSET($H$3,0,0,'Données projet'!$E$12+1,1))</f>
        <v>358.39045200457502</v>
      </c>
      <c r="CE48" s="59">
        <f t="shared" si="40"/>
        <v>349.48764057925109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39.34796557707206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39.34796557707206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6.6506410256410255</v>
      </c>
      <c r="CT48" s="12">
        <f>IF('Données projet'!$A$140&gt;35,CT47+CS48-DB47,IF(A48&lt;'Données projet'!$A$140,$CQ$205^A48,IF(A48='Données projet'!$A$140,'Données projet'!$B$140,CT47+CS48-DB47)))</f>
        <v>126.52243589743591</v>
      </c>
      <c r="CU48" s="17">
        <f>CT48*VLOOKUP('Données projet'!$B$13,Paramètres!$A$1:$I$89,3,0)*VLOOKUP('Données projet'!$B$13,Paramètres!$A$1:$I$89,5,0)</f>
        <v>98.687500000000014</v>
      </c>
      <c r="CV48" s="13">
        <f t="shared" si="41"/>
        <v>26.649072495226527</v>
      </c>
      <c r="CW48" s="20">
        <f t="shared" si="13"/>
        <v>218.29453042918621</v>
      </c>
      <c r="CX48" s="59">
        <f t="shared" si="14"/>
        <v>502.86948284819471</v>
      </c>
      <c r="CY48" s="59">
        <f ca="1">AVERAGE(OFFSET($CX$3,0,0,'Données projet'!$E$13+1,1))-AVERAGE(OFFSET($H$3,0,0,'Données projet'!$E$13+1,1))</f>
        <v>201.71903756761543</v>
      </c>
      <c r="CZ48" s="59">
        <f t="shared" si="42"/>
        <v>200.66422845182711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23.806820201078654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23.806820201078654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9.2985714285714263</v>
      </c>
      <c r="DO48" s="12">
        <f>IF('Données projet'!$A$166&gt;35,DO47+DN48-DW47,IF(A48&lt;'Données projet'!$A$166,$DL$205^A48,IF(A48='Données projet'!$A$166,'Données projet'!$B$166,DO47+DN48-DW47)))</f>
        <v>137.05857142857155</v>
      </c>
      <c r="DP48" s="17">
        <f>DO48*VLOOKUP('Données projet'!$B$14,Paramètres!$A$1:$I$89,3,0)*VLOOKUP('Données projet'!$B$14,Paramètres!$A$1:$I$89,5,0)</f>
        <v>130.42493657142867</v>
      </c>
      <c r="DQ48" s="13">
        <f t="shared" si="43"/>
        <v>34.094531040428201</v>
      </c>
      <c r="DR48" s="20">
        <f t="shared" si="16"/>
        <v>286.53807275731737</v>
      </c>
      <c r="DS48" s="59">
        <f t="shared" si="17"/>
        <v>571.11302517632589</v>
      </c>
      <c r="DT48" s="59">
        <f ca="1">AVERAGE(OFFSET($DS$3,0,0,'Données projet'!$E$14+1,1))-AVERAGE(OFFSET($H$3,0,0,'Données projet'!$E$14+1,1))</f>
        <v>502.4879901989737</v>
      </c>
      <c r="DU48" s="59">
        <f t="shared" si="44"/>
        <v>226.06453328626355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32.821584744359463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32.821584744359463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-5.6843418860808015E-14</v>
      </c>
      <c r="EK48" s="17">
        <f>EJ48*VLOOKUP('Données projet'!$B$15,Paramètres!$A$1:$I$89,3,0)*VLOOKUP('Données projet'!$B$15,Paramètres!$A$1:$I$89,5,0)</f>
        <v>-3.2543994166189806E-14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192.76157155207764</v>
      </c>
      <c r="EP48" s="59">
        <f t="shared" si="46"/>
        <v>413.66427458788348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55.294137273000153</v>
      </c>
      <c r="EW48" s="21">
        <f>EXP(-LN(2)/25)*EW47+(1-EXP(-LN(2)/25))/(LN(2)/25)*Calculateur!ER48*Calculateur!ET48*VLOOKUP('Données projet'!$B$15,Paramètres!$A$1:$I$89,3,0)*0.475*44/12</f>
        <v>12.322128333213278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67.616265606213432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67.611350659729595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1.05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3.85</v>
      </c>
      <c r="H49" s="66">
        <f t="shared" si="1"/>
        <v>241.26666666666665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9.2985714285714263</v>
      </c>
      <c r="N49" s="13">
        <f>IF('Données projet'!$A$36&gt;35,N48+M49-V48,IF(A49&lt;'Données projet'!$A$36,$K$205^A49,IF(A49='Données projet'!$A$36,'Données projet'!$B$36,N48+M49-V48)))</f>
        <v>146.35714285714297</v>
      </c>
      <c r="O49" s="13">
        <f>N49*VLOOKUP('Données projet'!$B$9,Paramètres!$A$1:$I$89,3,0)*VLOOKUP('Données projet'!$B$9,Paramètres!$A$1:$I$89,5,0)</f>
        <v>132.42394285714295</v>
      </c>
      <c r="P49" s="13">
        <f t="shared" si="33"/>
        <v>34.555857722375251</v>
      </c>
      <c r="Q49" s="20">
        <f t="shared" si="53"/>
        <v>290.82315267599421</v>
      </c>
      <c r="R49" s="59">
        <f t="shared" si="0"/>
        <v>575.55004342305995</v>
      </c>
      <c r="S49" s="59">
        <f ca="1">AVERAGE(OFFSET($R$3,0,0,'Données projet'!$E$9+1,1))-AVERAGE(OFFSET($H$3,0,0,'Données projet'!$E$9+1,1))</f>
        <v>480.34707165277229</v>
      </c>
      <c r="T49" s="59">
        <f t="shared" si="34"/>
        <v>217.17128038304531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30.595450200480776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30.595450200480776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226.77000000000012</v>
      </c>
      <c r="AJ49" s="13">
        <f>AI49*VLOOKUP('Données projet'!$B$10,Paramètres!$A$1:$I$89,3,0)*VLOOKUP('Données projet'!$B$10,Paramètres!$A$1:$I$89,5,0)</f>
        <v>229.94478000000012</v>
      </c>
      <c r="AK49" s="13">
        <f t="shared" si="35"/>
        <v>56.270741509246001</v>
      </c>
      <c r="AL49" s="20">
        <f t="shared" si="4"/>
        <v>498.49203329527023</v>
      </c>
      <c r="AM49" s="59">
        <f t="shared" si="5"/>
        <v>783.21892404233597</v>
      </c>
      <c r="AN49" s="59">
        <f ca="1">AVERAGE(OFFSET($AM$3,0,0,'Données projet'!$E$10+1,1))-AVERAGE(OFFSET($H$3,0,0,'Données projet'!$E$10+1,1))</f>
        <v>596.64394969449609</v>
      </c>
      <c r="AO49" s="59">
        <f t="shared" si="36"/>
        <v>312.55704723516362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47.670516351361883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47.670516351361883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627.53308146194649</v>
      </c>
      <c r="BI49" s="59">
        <f ca="1">AVERAGE(OFFSET($BH$3,0,0,'Données projet'!$E$11+1,1))-AVERAGE(OFFSET($H$3,0,0,'Données projet'!$E$11+1,1))</f>
        <v>360.53625471540249</v>
      </c>
      <c r="BJ49" s="59">
        <f t="shared" si="38"/>
        <v>326.66299410556076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29.558708262306503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29.558708262306503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677.76548744363186</v>
      </c>
      <c r="CD49" s="59">
        <f ca="1">AVERAGE(OFFSET($CC$3,0,0,'Données projet'!$E$12+1,1))-AVERAGE(OFFSET($H$3,0,0,'Données projet'!$E$12+1,1))</f>
        <v>358.39045200457502</v>
      </c>
      <c r="CE49" s="59">
        <f t="shared" si="40"/>
        <v>349.48764057925109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38.576375971994885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38.576375971994885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6.6506410256410255</v>
      </c>
      <c r="CT49" s="12">
        <f>IF('Données projet'!$A$140&gt;35,CT48+CS49-DB48,IF(A49&lt;'Données projet'!$A$140,$CQ$205^A49,IF(A49='Données projet'!$A$140,'Données projet'!$B$140,CT48+CS49-DB48)))</f>
        <v>133.17307692307693</v>
      </c>
      <c r="CU49" s="17">
        <f>CT49*VLOOKUP('Données projet'!$B$13,Paramètres!$A$1:$I$89,3,0)*VLOOKUP('Données projet'!$B$13,Paramètres!$A$1:$I$89,5,0)</f>
        <v>103.87500000000001</v>
      </c>
      <c r="CV49" s="13">
        <f t="shared" si="41"/>
        <v>27.883110316110333</v>
      </c>
      <c r="CW49" s="20">
        <f t="shared" si="13"/>
        <v>229.47870880055882</v>
      </c>
      <c r="CX49" s="59">
        <f t="shared" si="14"/>
        <v>514.20559954762462</v>
      </c>
      <c r="CY49" s="59">
        <f ca="1">AVERAGE(OFFSET($CX$3,0,0,'Données projet'!$E$13+1,1))-AVERAGE(OFFSET($H$3,0,0,'Données projet'!$E$13+1,1))</f>
        <v>201.71903756761543</v>
      </c>
      <c r="CZ49" s="59">
        <f t="shared" si="42"/>
        <v>200.66422845182711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23.339982977662022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23.339982977662022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9.2985714285714263</v>
      </c>
      <c r="DO49" s="12">
        <f>IF('Données projet'!$A$166&gt;35,DO48+DN49-DW48,IF(A49&lt;'Données projet'!$A$166,$DL$205^A49,IF(A49='Données projet'!$A$166,'Données projet'!$B$166,DO48+DN49-DW48)))</f>
        <v>146.35714285714297</v>
      </c>
      <c r="DP49" s="17">
        <f>DO49*VLOOKUP('Données projet'!$B$14,Paramètres!$A$1:$I$89,3,0)*VLOOKUP('Données projet'!$B$14,Paramètres!$A$1:$I$89,5,0)</f>
        <v>139.27345714285727</v>
      </c>
      <c r="DQ49" s="13">
        <f t="shared" si="43"/>
        <v>36.130514360724156</v>
      </c>
      <c r="DR49" s="20">
        <f t="shared" si="16"/>
        <v>305.49525036873763</v>
      </c>
      <c r="DS49" s="59">
        <f t="shared" si="17"/>
        <v>590.22214111580342</v>
      </c>
      <c r="DT49" s="59">
        <f ca="1">AVERAGE(OFFSET($DS$3,0,0,'Données projet'!$E$14+1,1))-AVERAGE(OFFSET($H$3,0,0,'Données projet'!$E$14+1,1))</f>
        <v>502.4879901989737</v>
      </c>
      <c r="DU49" s="59">
        <f t="shared" si="44"/>
        <v>226.06453328626355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32.177973486712538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32.177973486712538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-5.6843418860808015E-14</v>
      </c>
      <c r="EK49" s="17">
        <f>EJ49*VLOOKUP('Données projet'!$B$15,Paramètres!$A$1:$I$89,3,0)*VLOOKUP('Données projet'!$B$15,Paramètres!$A$1:$I$89,5,0)</f>
        <v>-3.2543994166189806E-14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192.76157155207764</v>
      </c>
      <c r="EP49" s="59">
        <f t="shared" si="46"/>
        <v>413.66427458788348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54.209852967170178</v>
      </c>
      <c r="EW49" s="21">
        <f>EXP(-LN(2)/25)*EW48+(1-EXP(-LN(2)/25))/(LN(2)/25)*Calculateur!ER49*Calculateur!ET49*VLOOKUP('Données projet'!$B$15,Paramètres!$A$1:$I$89,3,0)*0.475*44/12</f>
        <v>11.985179085948994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66.195032053119178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67.652788385563383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1.05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3.85</v>
      </c>
      <c r="H50" s="66">
        <f t="shared" si="1"/>
        <v>241.26666666666665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9.2985714285714263</v>
      </c>
      <c r="N50" s="13">
        <f>IF('Données projet'!$A$36&gt;35,N49+M50-V49,IF(A50&lt;'Données projet'!$A$36,$K$205^A50,IF(A50='Données projet'!$A$36,'Données projet'!$B$36,N49+M50-V49)))</f>
        <v>155.6557142857144</v>
      </c>
      <c r="O50" s="13">
        <f>N50*VLOOKUP('Données projet'!$B$9,Paramètres!$A$1:$I$89,3,0)*VLOOKUP('Données projet'!$B$9,Paramètres!$A$1:$I$89,5,0)</f>
        <v>140.83729028571437</v>
      </c>
      <c r="P50" s="13">
        <f t="shared" si="33"/>
        <v>36.488750325482997</v>
      </c>
      <c r="Q50" s="20">
        <f t="shared" si="53"/>
        <v>308.84285406450209</v>
      </c>
      <c r="R50" s="59">
        <f t="shared" si="0"/>
        <v>593.7190473493165</v>
      </c>
      <c r="S50" s="59">
        <f ca="1">AVERAGE(OFFSET($R$3,0,0,'Données projet'!$E$9+1,1))-AVERAGE(OFFSET($H$3,0,0,'Données projet'!$E$9+1,1))</f>
        <v>480.34707165277229</v>
      </c>
      <c r="T50" s="59">
        <f t="shared" si="34"/>
        <v>217.17128038304531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29.995492083431312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29.995492083431312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239.83000000000013</v>
      </c>
      <c r="AJ50" s="13">
        <f>AI50*VLOOKUP('Données projet'!$B$10,Paramètres!$A$1:$I$89,3,0)*VLOOKUP('Données projet'!$B$10,Paramètres!$A$1:$I$89,5,0)</f>
        <v>243.18762000000015</v>
      </c>
      <c r="AK50" s="13">
        <f t="shared" si="35"/>
        <v>59.124834908752511</v>
      </c>
      <c r="AL50" s="20">
        <f t="shared" si="4"/>
        <v>526.52752563274419</v>
      </c>
      <c r="AM50" s="59">
        <f t="shared" si="5"/>
        <v>811.40371891755854</v>
      </c>
      <c r="AN50" s="59">
        <f ca="1">AVERAGE(OFFSET($AM$3,0,0,'Données projet'!$E$10+1,1))-AVERAGE(OFFSET($H$3,0,0,'Données projet'!$E$10+1,1))</f>
        <v>596.64394969449609</v>
      </c>
      <c r="AO50" s="59">
        <f t="shared" si="36"/>
        <v>312.55704723516362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46.735726601855617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46.735726601855617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641.48129028588983</v>
      </c>
      <c r="BI50" s="59">
        <f ca="1">AVERAGE(OFFSET($BH$3,0,0,'Données projet'!$E$11+1,1))-AVERAGE(OFFSET($H$3,0,0,'Données projet'!$E$11+1,1))</f>
        <v>360.53625471540249</v>
      </c>
      <c r="BJ50" s="59">
        <f t="shared" si="38"/>
        <v>326.66299410556076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28.979080022314495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28.979080022314495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692.47655323819822</v>
      </c>
      <c r="CD50" s="59">
        <f ca="1">AVERAGE(OFFSET($CC$3,0,0,'Données projet'!$E$12+1,1))-AVERAGE(OFFSET($H$3,0,0,'Données projet'!$E$12+1,1))</f>
        <v>358.39045200457502</v>
      </c>
      <c r="CE50" s="59">
        <f t="shared" si="40"/>
        <v>349.48764057925109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37.819916768450085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37.819916768450085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6.6506410256410255</v>
      </c>
      <c r="CT50" s="12">
        <f>IF('Données projet'!$A$140&gt;35,CT49+CS50-DB49,IF(A50&lt;'Données projet'!$A$140,$CQ$205^A50,IF(A50='Données projet'!$A$140,'Données projet'!$B$140,CT49+CS50-DB49)))</f>
        <v>139.82371794871796</v>
      </c>
      <c r="CU50" s="17">
        <f>CT50*VLOOKUP('Données projet'!$B$13,Paramètres!$A$1:$I$89,3,0)*VLOOKUP('Données projet'!$B$13,Paramètres!$A$1:$I$89,5,0)</f>
        <v>109.06250000000001</v>
      </c>
      <c r="CV50" s="13">
        <f t="shared" si="41"/>
        <v>29.10999234861896</v>
      </c>
      <c r="CW50" s="20">
        <f t="shared" si="13"/>
        <v>240.6504241738447</v>
      </c>
      <c r="CX50" s="59">
        <f t="shared" si="14"/>
        <v>525.52661745865908</v>
      </c>
      <c r="CY50" s="59">
        <f ca="1">AVERAGE(OFFSET($CX$3,0,0,'Données projet'!$E$13+1,1))-AVERAGE(OFFSET($H$3,0,0,'Données projet'!$E$13+1,1))</f>
        <v>201.71903756761543</v>
      </c>
      <c r="CZ50" s="59">
        <f t="shared" si="42"/>
        <v>200.66422845182711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22.882300147454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22.882300147454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9.2985714285714263</v>
      </c>
      <c r="DO50" s="12">
        <f>IF('Données projet'!$A$166&gt;35,DO49+DN50-DW49,IF(A50&lt;'Données projet'!$A$166,$DL$205^A50,IF(A50='Données projet'!$A$166,'Données projet'!$B$166,DO49+DN50-DW49)))</f>
        <v>155.6557142857144</v>
      </c>
      <c r="DP50" s="17">
        <f>DO50*VLOOKUP('Données projet'!$B$14,Paramètres!$A$1:$I$89,3,0)*VLOOKUP('Données projet'!$B$14,Paramètres!$A$1:$I$89,5,0)</f>
        <v>148.1219777142858</v>
      </c>
      <c r="DQ50" s="13">
        <f t="shared" si="43"/>
        <v>38.151485870544363</v>
      </c>
      <c r="DR50" s="20">
        <f t="shared" si="16"/>
        <v>324.42628241024585</v>
      </c>
      <c r="DS50" s="59">
        <f t="shared" si="17"/>
        <v>609.30247569506025</v>
      </c>
      <c r="DT50" s="59">
        <f ca="1">AVERAGE(OFFSET($DS$3,0,0,'Données projet'!$E$14+1,1))-AVERAGE(OFFSET($H$3,0,0,'Données projet'!$E$14+1,1))</f>
        <v>502.4879901989737</v>
      </c>
      <c r="DU50" s="59">
        <f t="shared" si="44"/>
        <v>226.06453328626355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31.546983053263965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31.546983053263965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-5.6843418860808015E-14</v>
      </c>
      <c r="EK50" s="17">
        <f>EJ50*VLOOKUP('Données projet'!$B$15,Paramètres!$A$1:$I$89,3,0)*VLOOKUP('Données projet'!$B$15,Paramètres!$A$1:$I$89,5,0)</f>
        <v>-3.2543994166189806E-14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192.76157155207764</v>
      </c>
      <c r="EP50" s="59">
        <f t="shared" si="46"/>
        <v>413.66427458788348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53.146830815229407</v>
      </c>
      <c r="EW50" s="21">
        <f>EXP(-LN(2)/25)*EW49+(1-EXP(-LN(2)/25))/(LN(2)/25)*Calculateur!ER50*Calculateur!ET50*VLOOKUP('Données projet'!$B$15,Paramètres!$A$1:$I$89,3,0)*0.475*44/12</f>
        <v>11.657443733570544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64.804274548799953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67.693507259494837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1.05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3.85</v>
      </c>
      <c r="H51" s="66">
        <f t="shared" si="1"/>
        <v>241.26666666666665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9.2985714285714263</v>
      </c>
      <c r="N51" s="13">
        <f>IF('Données projet'!$A$36&gt;35,N50+M51-V50,IF(A51&lt;'Données projet'!$A$36,$K$205^A51,IF(A51='Données projet'!$A$36,'Données projet'!$B$36,N50+M51-V50)))</f>
        <v>164.95428571428582</v>
      </c>
      <c r="O51" s="13">
        <f>N51*VLOOKUP('Données projet'!$B$9,Paramètres!$A$1:$I$89,3,0)*VLOOKUP('Données projet'!$B$9,Paramètres!$A$1:$I$89,5,0)</f>
        <v>149.2506377142858</v>
      </c>
      <c r="P51" s="13">
        <f t="shared" si="33"/>
        <v>38.408240746359731</v>
      </c>
      <c r="Q51" s="20">
        <f t="shared" si="53"/>
        <v>326.8392133189576</v>
      </c>
      <c r="R51" s="59">
        <f t="shared" si="0"/>
        <v>611.86211907628115</v>
      </c>
      <c r="S51" s="59">
        <f ca="1">AVERAGE(OFFSET($R$3,0,0,'Données projet'!$E$9+1,1))-AVERAGE(OFFSET($H$3,0,0,'Données projet'!$E$9+1,1))</f>
        <v>480.34707165277229</v>
      </c>
      <c r="T51" s="59">
        <f t="shared" si="34"/>
        <v>217.17128038304531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29.407298779118872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29.407298779118872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252.89000000000013</v>
      </c>
      <c r="AJ51" s="13">
        <f>AI51*VLOOKUP('Données projet'!$B$10,Paramètres!$A$1:$I$89,3,0)*VLOOKUP('Données projet'!$B$10,Paramètres!$A$1:$I$89,5,0)</f>
        <v>256.43046000000015</v>
      </c>
      <c r="AK51" s="13">
        <f t="shared" si="35"/>
        <v>61.960885182060892</v>
      </c>
      <c r="AL51" s="20">
        <f t="shared" si="4"/>
        <v>554.53159285875631</v>
      </c>
      <c r="AM51" s="59">
        <f t="shared" si="5"/>
        <v>839.55449861607985</v>
      </c>
      <c r="AN51" s="59">
        <f ca="1">AVERAGE(OFFSET($AM$3,0,0,'Données projet'!$E$10+1,1))-AVERAGE(OFFSET($H$3,0,0,'Données projet'!$E$10+1,1))</f>
        <v>596.64394969449609</v>
      </c>
      <c r="AO51" s="59">
        <f t="shared" si="36"/>
        <v>312.55704723516362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75.279547260479177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75.279547260479177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655.41522206756486</v>
      </c>
      <c r="BI51" s="59">
        <f ca="1">AVERAGE(OFFSET($BH$3,0,0,'Données projet'!$E$11+1,1))-AVERAGE(OFFSET($H$3,0,0,'Données projet'!$E$11+1,1))</f>
        <v>360.53625471540249</v>
      </c>
      <c r="BJ51" s="59">
        <f t="shared" si="38"/>
        <v>326.66299410556076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28.41081793857041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28.41081793857041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707.1737927962065</v>
      </c>
      <c r="CD51" s="59">
        <f ca="1">AVERAGE(OFFSET($CC$3,0,0,'Données projet'!$E$12+1,1))-AVERAGE(OFFSET($H$3,0,0,'Données projet'!$E$12+1,1))</f>
        <v>358.39045200457502</v>
      </c>
      <c r="CE51" s="59">
        <f t="shared" si="40"/>
        <v>349.48764057925109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37.078291268492244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37.078291268492244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6.6506410256410255</v>
      </c>
      <c r="CT51" s="12">
        <f>IF('Données projet'!$A$140&gt;35,CT50+CS51-DB50,IF(A51&lt;'Données projet'!$A$140,$CQ$205^A51,IF(A51='Données projet'!$A$140,'Données projet'!$B$140,CT50+CS51-DB50)))</f>
        <v>146.47435897435898</v>
      </c>
      <c r="CU51" s="17">
        <f>CT51*VLOOKUP('Données projet'!$B$13,Paramètres!$A$1:$I$89,3,0)*VLOOKUP('Données projet'!$B$13,Paramètres!$A$1:$I$89,5,0)</f>
        <v>114.25</v>
      </c>
      <c r="CV51" s="13">
        <f t="shared" si="41"/>
        <v>30.330097814653229</v>
      </c>
      <c r="CW51" s="20">
        <f t="shared" si="13"/>
        <v>251.81033702718767</v>
      </c>
      <c r="CX51" s="59">
        <f t="shared" si="14"/>
        <v>536.83324278451119</v>
      </c>
      <c r="CY51" s="59">
        <f ca="1">AVERAGE(OFFSET($CX$3,0,0,'Données projet'!$E$13+1,1))-AVERAGE(OFFSET($H$3,0,0,'Données projet'!$E$13+1,1))</f>
        <v>201.71903756761543</v>
      </c>
      <c r="CZ51" s="59">
        <f t="shared" si="42"/>
        <v>200.66422845182711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22.433592198387394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22.433592198387394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9.2985714285714263</v>
      </c>
      <c r="DO51" s="12">
        <f>IF('Données projet'!$A$166&gt;35,DO50+DN51-DW50,IF(A51&lt;'Données projet'!$A$166,$DL$205^A51,IF(A51='Données projet'!$A$166,'Données projet'!$B$166,DO50+DN51-DW50)))</f>
        <v>164.95428571428582</v>
      </c>
      <c r="DP51" s="17">
        <f>DO51*VLOOKUP('Données projet'!$B$14,Paramètres!$A$1:$I$89,3,0)*VLOOKUP('Données projet'!$B$14,Paramètres!$A$1:$I$89,5,0)</f>
        <v>156.9704982857144</v>
      </c>
      <c r="DQ51" s="13">
        <f t="shared" si="43"/>
        <v>40.158444481554447</v>
      </c>
      <c r="DR51" s="20">
        <f t="shared" si="16"/>
        <v>343.33290865299324</v>
      </c>
      <c r="DS51" s="59">
        <f t="shared" si="17"/>
        <v>628.35581441031673</v>
      </c>
      <c r="DT51" s="59">
        <f ca="1">AVERAGE(OFFSET($DS$3,0,0,'Données projet'!$E$14+1,1))-AVERAGE(OFFSET($H$3,0,0,'Données projet'!$E$14+1,1))</f>
        <v>502.4879901989737</v>
      </c>
      <c r="DU51" s="59">
        <f t="shared" si="44"/>
        <v>226.06453328626355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30.928365957349154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30.928365957349154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-5.6843418860808015E-14</v>
      </c>
      <c r="EK51" s="17">
        <f>EJ51*VLOOKUP('Données projet'!$B$15,Paramètres!$A$1:$I$89,3,0)*VLOOKUP('Données projet'!$B$15,Paramètres!$A$1:$I$89,5,0)</f>
        <v>-3.2543994166189806E-14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192.76157155207764</v>
      </c>
      <c r="EP51" s="59">
        <f t="shared" si="46"/>
        <v>413.66427458788348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52.104653879308707</v>
      </c>
      <c r="EW51" s="21">
        <f>EXP(-LN(2)/25)*EW50+(1-EXP(-LN(2)/25))/(LN(2)/25)*Calculateur!ER51*Calculateur!ET51*VLOOKUP('Données projet'!$B$15,Paramètres!$A$1:$I$89,3,0)*0.475*44/12</f>
        <v>11.338670321637734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63.443324200946442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67.733519751997335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1.05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3.85</v>
      </c>
      <c r="H52" s="66">
        <f t="shared" si="1"/>
        <v>241.26666666666665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9.2985714285714263</v>
      </c>
      <c r="N52" s="13">
        <f>IF('Données projet'!$A$36&gt;35,N51+M52-V51,IF(A52&lt;'Données projet'!$A$36,$K$205^A52,IF(A52='Données projet'!$A$36,'Données projet'!$B$36,N51+M52-V51)))</f>
        <v>174.25285714285724</v>
      </c>
      <c r="O52" s="13">
        <f>N52*VLOOKUP('Données projet'!$B$9,Paramètres!$A$1:$I$89,3,0)*VLOOKUP('Données projet'!$B$9,Paramètres!$A$1:$I$89,5,0)</f>
        <v>157.66398514285723</v>
      </c>
      <c r="P52" s="13">
        <f t="shared" si="33"/>
        <v>40.315170567798205</v>
      </c>
      <c r="Q52" s="20">
        <f t="shared" si="53"/>
        <v>344.81369619605817</v>
      </c>
      <c r="R52" s="59">
        <f t="shared" si="0"/>
        <v>629.98076929249282</v>
      </c>
      <c r="S52" s="59">
        <f ca="1">AVERAGE(OFFSET($R$3,0,0,'Données projet'!$E$9+1,1))-AVERAGE(OFFSET($H$3,0,0,'Données projet'!$E$9+1,1))</f>
        <v>480.34707165277229</v>
      </c>
      <c r="T52" s="59">
        <f t="shared" si="34"/>
        <v>217.17128038304531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28.830639586741505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28.830639586741505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204.0414285714287</v>
      </c>
      <c r="AJ52" s="13">
        <f>AI52*VLOOKUP('Données projet'!$B$10,Paramètres!$A$1:$I$89,3,0)*VLOOKUP('Données projet'!$B$10,Paramètres!$A$1:$I$89,5,0)</f>
        <v>206.89800857142873</v>
      </c>
      <c r="AK52" s="13">
        <f t="shared" si="35"/>
        <v>51.257136542136692</v>
      </c>
      <c r="AL52" s="20">
        <f t="shared" si="4"/>
        <v>449.6202110727931</v>
      </c>
      <c r="AM52" s="59">
        <f t="shared" si="5"/>
        <v>734.78728416922775</v>
      </c>
      <c r="AN52" s="59">
        <f ca="1">AVERAGE(OFFSET($AM$3,0,0,'Données projet'!$E$10+1,1))-AVERAGE(OFFSET($H$3,0,0,'Données projet'!$E$10+1,1))</f>
        <v>596.64394969449609</v>
      </c>
      <c r="AO52" s="59">
        <f t="shared" si="36"/>
        <v>312.55704723516362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73.803361254691183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73.803361254691183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669.33541805193136</v>
      </c>
      <c r="BI52" s="59">
        <f ca="1">AVERAGE(OFFSET($BH$3,0,0,'Données projet'!$E$11+1,1))-AVERAGE(OFFSET($H$3,0,0,'Données projet'!$E$11+1,1))</f>
        <v>360.53625471540249</v>
      </c>
      <c r="BJ52" s="59">
        <f t="shared" si="38"/>
        <v>326.66299410556076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27.853699127682901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27.853699127682901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721.85769281803653</v>
      </c>
      <c r="CD52" s="59">
        <f ca="1">AVERAGE(OFFSET($CC$3,0,0,'Données projet'!$E$12+1,1))-AVERAGE(OFFSET($H$3,0,0,'Données projet'!$E$12+1,1))</f>
        <v>358.39045200457502</v>
      </c>
      <c r="CE52" s="59">
        <f t="shared" si="40"/>
        <v>349.48764057925109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36.35120859224169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36.35120859224169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6.6506410256410255</v>
      </c>
      <c r="CT52" s="12">
        <f>IF('Données projet'!$A$140&gt;35,CT51+CS52-DB51,IF(A52&lt;'Données projet'!$A$140,$CQ$205^A52,IF(A52='Données projet'!$A$140,'Données projet'!$B$140,CT51+CS52-DB51)))</f>
        <v>153.125</v>
      </c>
      <c r="CU52" s="17">
        <f>CT52*VLOOKUP('Données projet'!$B$13,Paramètres!$A$1:$I$89,3,0)*VLOOKUP('Données projet'!$B$13,Paramètres!$A$1:$I$89,5,0)</f>
        <v>119.4375</v>
      </c>
      <c r="CV52" s="13">
        <f t="shared" si="41"/>
        <v>31.5437695525004</v>
      </c>
      <c r="CW52" s="20">
        <f t="shared" si="13"/>
        <v>262.95904447060485</v>
      </c>
      <c r="CX52" s="59">
        <f t="shared" si="14"/>
        <v>548.1261175670395</v>
      </c>
      <c r="CY52" s="59">
        <f ca="1">AVERAGE(OFFSET($CX$3,0,0,'Données projet'!$E$13+1,1))-AVERAGE(OFFSET($H$3,0,0,'Données projet'!$E$13+1,1))</f>
        <v>201.71903756761543</v>
      </c>
      <c r="CZ52" s="59">
        <f t="shared" si="42"/>
        <v>200.66422845182711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21.993683138517159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21.993683138517159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9.2985714285714263</v>
      </c>
      <c r="DO52" s="12">
        <f>IF('Données projet'!$A$166&gt;35,DO51+DN52-DW51,IF(A52&lt;'Données projet'!$A$166,$DL$205^A52,IF(A52='Données projet'!$A$166,'Données projet'!$B$166,DO51+DN52-DW51)))</f>
        <v>174.25285714285724</v>
      </c>
      <c r="DP52" s="17">
        <f>DO52*VLOOKUP('Données projet'!$B$14,Paramètres!$A$1:$I$89,3,0)*VLOOKUP('Données projet'!$B$14,Paramètres!$A$1:$I$89,5,0)</f>
        <v>165.81901885714296</v>
      </c>
      <c r="DQ52" s="13">
        <f t="shared" si="43"/>
        <v>42.152270126164687</v>
      </c>
      <c r="DR52" s="20">
        <f t="shared" si="16"/>
        <v>362.21666164592745</v>
      </c>
      <c r="DS52" s="59">
        <f t="shared" si="17"/>
        <v>647.38373474236209</v>
      </c>
      <c r="DT52" s="59">
        <f ca="1">AVERAGE(OFFSET($DS$3,0,0,'Données projet'!$E$14+1,1))-AVERAGE(OFFSET($H$3,0,0,'Données projet'!$E$14+1,1))</f>
        <v>502.4879901989737</v>
      </c>
      <c r="DU52" s="59">
        <f t="shared" si="44"/>
        <v>226.06453328626355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30.321879565366061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30.321879565366061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-5.6843418860808015E-14</v>
      </c>
      <c r="EK52" s="17">
        <f>EJ52*VLOOKUP('Données projet'!$B$15,Paramètres!$A$1:$I$89,3,0)*VLOOKUP('Données projet'!$B$15,Paramètres!$A$1:$I$89,5,0)</f>
        <v>-3.2543994166189806E-14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192.76157155207764</v>
      </c>
      <c r="EP52" s="59">
        <f t="shared" si="46"/>
        <v>413.66427458788348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51.082913397436243</v>
      </c>
      <c r="EW52" s="21">
        <f>EXP(-LN(2)/25)*EW51+(1-EXP(-LN(2)/25))/(LN(2)/25)*Calculateur!ER52*Calculateur!ET52*VLOOKUP('Données projet'!$B$15,Paramètres!$A$1:$I$89,3,0)*0.475*44/12</f>
        <v>11.028613785417793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62.111527182854033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67.772838117209446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1.05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3.85</v>
      </c>
      <c r="H53" s="66">
        <f t="shared" si="1"/>
        <v>241.26666666666665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9.2985714285714263</v>
      </c>
      <c r="N53" s="13">
        <f>IF('Données projet'!$A$36&gt;35,N52+M53-V52,IF(A53&lt;'Données projet'!$A$36,$K$205^A53,IF(A53='Données projet'!$A$36,'Données projet'!$B$36,N52+M53-V52)))</f>
        <v>183.55142857142866</v>
      </c>
      <c r="O53" s="13">
        <f>N53*VLOOKUP('Données projet'!$B$9,Paramètres!$A$1:$I$89,3,0)*VLOOKUP('Données projet'!$B$9,Paramètres!$A$1:$I$89,5,0)</f>
        <v>166.07733257142866</v>
      </c>
      <c r="P53" s="13">
        <f t="shared" si="33"/>
        <v>42.210286481847923</v>
      </c>
      <c r="Q53" s="20">
        <f t="shared" si="53"/>
        <v>362.76760318445668</v>
      </c>
      <c r="R53" s="59">
        <f t="shared" si="0"/>
        <v>648.07634263897876</v>
      </c>
      <c r="S53" s="59">
        <f ca="1">AVERAGE(OFFSET($R$3,0,0,'Données projet'!$E$9+1,1))-AVERAGE(OFFSET($H$3,0,0,'Données projet'!$E$9+1,1))</f>
        <v>480.34707165277229</v>
      </c>
      <c r="T53" s="59">
        <f t="shared" si="34"/>
        <v>217.17128038304531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28.265288329399283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28.265288329399283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216.31285714285727</v>
      </c>
      <c r="AJ53" s="13">
        <f>AI53*VLOOKUP('Données projet'!$B$10,Paramètres!$A$1:$I$89,3,0)*VLOOKUP('Données projet'!$B$10,Paramètres!$A$1:$I$89,5,0)</f>
        <v>219.34123714285727</v>
      </c>
      <c r="AK53" s="13">
        <f t="shared" si="35"/>
        <v>53.971681888398933</v>
      </c>
      <c r="AL53" s="20">
        <f t="shared" si="4"/>
        <v>476.02000064610456</v>
      </c>
      <c r="AM53" s="59">
        <f t="shared" si="5"/>
        <v>761.32874010062665</v>
      </c>
      <c r="AN53" s="59">
        <f ca="1">AVERAGE(OFFSET($AM$3,0,0,'Données projet'!$E$10+1,1))-AVERAGE(OFFSET($H$3,0,0,'Données projet'!$E$10+1,1))</f>
        <v>596.64394969449609</v>
      </c>
      <c r="AO53" s="59">
        <f t="shared" si="36"/>
        <v>312.55704723516362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72.356122356092129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72.356122356092129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683.24238020410712</v>
      </c>
      <c r="BI53" s="59">
        <f ca="1">AVERAGE(OFFSET($BH$3,0,0,'Données projet'!$E$11+1,1))-AVERAGE(OFFSET($H$3,0,0,'Données projet'!$E$11+1,1))</f>
        <v>360.53625471540249</v>
      </c>
      <c r="BJ53" s="59">
        <f t="shared" si="38"/>
        <v>326.66299410556076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37.273930768007027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37.273930768007027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736.52870741219533</v>
      </c>
      <c r="CD53" s="59">
        <f ca="1">AVERAGE(OFFSET($CC$3,0,0,'Données projet'!$E$12+1,1))-AVERAGE(OFFSET($H$3,0,0,'Données projet'!$E$12+1,1))</f>
        <v>358.39045200457502</v>
      </c>
      <c r="CE53" s="59">
        <f t="shared" si="40"/>
        <v>349.48764057925109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44.495071759736859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44.495071759736859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6.6506410256410255</v>
      </c>
      <c r="CT53" s="12">
        <f>IF('Données projet'!$A$140&gt;35,CT52+CS53-DB52,IF(A53&lt;'Données projet'!$A$140,$CQ$205^A53,IF(A53='Données projet'!$A$140,'Données projet'!$B$140,CT52+CS53-DB52)))</f>
        <v>159.77564102564102</v>
      </c>
      <c r="CU53" s="17">
        <f>CT53*VLOOKUP('Données projet'!$B$13,Paramètres!$A$1:$I$89,3,0)*VLOOKUP('Données projet'!$B$13,Paramètres!$A$1:$I$89,5,0)</f>
        <v>124.625</v>
      </c>
      <c r="CV53" s="13">
        <f t="shared" si="41"/>
        <v>32.751318935498368</v>
      </c>
      <c r="CW53" s="20">
        <f t="shared" si="13"/>
        <v>274.09708881265965</v>
      </c>
      <c r="CX53" s="59">
        <f t="shared" si="14"/>
        <v>559.40582826718173</v>
      </c>
      <c r="CY53" s="59">
        <f ca="1">AVERAGE(OFFSET($CX$3,0,0,'Données projet'!$E$13+1,1))-AVERAGE(OFFSET($H$3,0,0,'Données projet'!$E$13+1,1))</f>
        <v>201.71903756761543</v>
      </c>
      <c r="CZ53" s="59">
        <f t="shared" si="42"/>
        <v>200.66422845182711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21.562400426992948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21.562400426992948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9.2985714285714263</v>
      </c>
      <c r="DO53" s="12">
        <f>IF('Données projet'!$A$166&gt;35,DO52+DN53-DW52,IF(A53&lt;'Données projet'!$A$166,$DL$205^A53,IF(A53='Données projet'!$A$166,'Données projet'!$B$166,DO52+DN53-DW52)))</f>
        <v>183.55142857142866</v>
      </c>
      <c r="DP53" s="17">
        <f>DO53*VLOOKUP('Données projet'!$B$14,Paramètres!$A$1:$I$89,3,0)*VLOOKUP('Données projet'!$B$14,Paramètres!$A$1:$I$89,5,0)</f>
        <v>174.6675394285715</v>
      </c>
      <c r="DQ53" s="13">
        <f t="shared" si="43"/>
        <v>44.133743522018911</v>
      </c>
      <c r="DR53" s="20">
        <f t="shared" si="16"/>
        <v>381.0789011389449</v>
      </c>
      <c r="DS53" s="59">
        <f t="shared" si="17"/>
        <v>666.38764059346693</v>
      </c>
      <c r="DT53" s="59">
        <f ca="1">AVERAGE(OFFSET($DS$3,0,0,'Données projet'!$E$14+1,1))-AVERAGE(OFFSET($H$3,0,0,'Données projet'!$E$14+1,1))</f>
        <v>502.4879901989737</v>
      </c>
      <c r="DU53" s="59">
        <f t="shared" si="44"/>
        <v>226.06453328626355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29.727286001609585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29.727286001609585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-5.6843418860808015E-14</v>
      </c>
      <c r="EK53" s="17">
        <f>EJ53*VLOOKUP('Données projet'!$B$15,Paramètres!$A$1:$I$89,3,0)*VLOOKUP('Données projet'!$B$15,Paramètres!$A$1:$I$89,5,0)</f>
        <v>-3.2543994166189806E-14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192.76157155207764</v>
      </c>
      <c r="EP53" s="59">
        <f t="shared" si="46"/>
        <v>413.66427458788348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50.081208623213143</v>
      </c>
      <c r="EW53" s="21">
        <f>EXP(-LN(2)/25)*EW52+(1-EXP(-LN(2)/25))/(LN(2)/25)*Calculateur!ER53*Calculateur!ET53*VLOOKUP('Données projet'!$B$15,Paramètres!$A$1:$I$89,3,0)*0.475*44/12</f>
        <v>10.727035761485951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60.808244384699094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67.811474396687828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1.05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3.85</v>
      </c>
      <c r="H54" s="66">
        <f t="shared" si="1"/>
        <v>241.26666666666665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192.85</v>
      </c>
      <c r="L54" s="12">
        <f>VLOOKUP(A54,'Données projet'!$A$35:$I$55,9,0)</f>
        <v>9.2985714285714263</v>
      </c>
      <c r="M54" s="12">
        <f t="array" ref="M54">INDEX(L:L,MIN(IF(ISNUMBER(L54:L250),ROW(L54:L250),"")))</f>
        <v>9.2985714285714263</v>
      </c>
      <c r="N54" s="13">
        <f>IF('Données projet'!$A$36&gt;35,N53+M54-V53,IF(A54&lt;'Données projet'!$A$36,$K$205^A54,IF(A54='Données projet'!$A$36,'Données projet'!$B$36,N53+M54-V53)))</f>
        <v>192.85000000000008</v>
      </c>
      <c r="O54" s="13">
        <f>N54*VLOOKUP('Données projet'!$B$9,Paramètres!$A$1:$I$89,3,0)*VLOOKUP('Données projet'!$B$9,Paramètres!$A$1:$I$89,5,0)</f>
        <v>174.49068000000005</v>
      </c>
      <c r="P54" s="13">
        <f t="shared" si="33"/>
        <v>44.094255253499078</v>
      </c>
      <c r="Q54" s="20">
        <f t="shared" si="53"/>
        <v>380.70209556651093</v>
      </c>
      <c r="R54" s="59">
        <f t="shared" si="0"/>
        <v>666.15004378452613</v>
      </c>
      <c r="S54" s="59">
        <f ca="1">AVERAGE(OFFSET($R$3,0,0,'Données projet'!$E$9+1,1))-AVERAGE(OFFSET($H$3,0,0,'Données projet'!$E$9+1,1))</f>
        <v>480.34707165277229</v>
      </c>
      <c r="T54" s="59">
        <f t="shared" si="34"/>
        <v>217.17128038304531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46.13</v>
      </c>
      <c r="W54" s="16">
        <f>IF(ISNA(VLOOKUP(A54,'Données projet'!$A$35:$I$55,5,0)),0%,VLOOKUP(A54,'Données projet'!$A$35:$I$55,5,0)*VLOOKUP('Données projet'!$B$9,Paramètres!$A$1:$I$89,7,0))</f>
        <v>0.43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47.551477576149814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47.551477576149814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228.58428571428584</v>
      </c>
      <c r="AJ54" s="13">
        <f>AI54*VLOOKUP('Données projet'!$B$10,Paramètres!$A$1:$I$89,3,0)*VLOOKUP('Données projet'!$B$10,Paramètres!$A$1:$I$89,5,0)</f>
        <v>231.78446571428586</v>
      </c>
      <c r="AK54" s="13">
        <f t="shared" si="35"/>
        <v>56.668351013857453</v>
      </c>
      <c r="AL54" s="20">
        <f t="shared" si="4"/>
        <v>502.38865580151622</v>
      </c>
      <c r="AM54" s="59">
        <f t="shared" si="5"/>
        <v>787.83660401953136</v>
      </c>
      <c r="AN54" s="59">
        <f ca="1">AVERAGE(OFFSET($AM$3,0,0,'Données projet'!$E$10+1,1))-AVERAGE(OFFSET($H$3,0,0,'Données projet'!$E$10+1,1))</f>
        <v>596.64394969449609</v>
      </c>
      <c r="AO54" s="59">
        <f t="shared" si="36"/>
        <v>312.55704723516362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70.937262929566046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70.937262929566046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650.99740620390185</v>
      </c>
      <c r="BI54" s="59">
        <f ca="1">AVERAGE(OFFSET($BH$3,0,0,'Données projet'!$E$11+1,1))-AVERAGE(OFFSET($H$3,0,0,'Données projet'!$E$11+1,1))</f>
        <v>360.53625471540249</v>
      </c>
      <c r="BJ54" s="59">
        <f t="shared" si="38"/>
        <v>326.66299410556076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36.543011720499294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36.543011720499294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717.06776788132606</v>
      </c>
      <c r="CD54" s="59">
        <f ca="1">AVERAGE(OFFSET($CC$3,0,0,'Données projet'!$E$12+1,1))-AVERAGE(OFFSET($H$3,0,0,'Données projet'!$E$12+1,1))</f>
        <v>358.39045200457502</v>
      </c>
      <c r="CE54" s="59">
        <f t="shared" si="40"/>
        <v>349.48764057925109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43.622550541842408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43.622550541842408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6.6506410256410255</v>
      </c>
      <c r="CT54" s="12">
        <f>IF('Données projet'!$A$140&gt;35,CT53+CS54-DB53,IF(A54&lt;'Données projet'!$A$140,$CQ$205^A54,IF(A54='Données projet'!$A$140,'Données projet'!$B$140,CT53+CS54-DB53)))</f>
        <v>166.42628205128204</v>
      </c>
      <c r="CU54" s="17">
        <f>CT54*VLOOKUP('Données projet'!$B$13,Paramètres!$A$1:$I$89,3,0)*VLOOKUP('Données projet'!$B$13,Paramètres!$A$1:$I$89,5,0)</f>
        <v>129.8125</v>
      </c>
      <c r="CV54" s="13">
        <f t="shared" si="41"/>
        <v>33.953029948668728</v>
      </c>
      <c r="CW54" s="20">
        <f t="shared" si="13"/>
        <v>285.224964660598</v>
      </c>
      <c r="CX54" s="59">
        <f t="shared" si="14"/>
        <v>570.67291287861315</v>
      </c>
      <c r="CY54" s="59">
        <f ca="1">AVERAGE(OFFSET($CX$3,0,0,'Données projet'!$E$13+1,1))-AVERAGE(OFFSET($H$3,0,0,'Données projet'!$E$13+1,1))</f>
        <v>201.71903756761543</v>
      </c>
      <c r="CZ54" s="59">
        <f t="shared" si="42"/>
        <v>200.66422845182711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21.139574906385249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21.139574906385249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192.85</v>
      </c>
      <c r="DM54" s="12">
        <f>VLOOKUP(A54,'Données projet'!$A$165:$I$185,9,0)</f>
        <v>9.2985714285714263</v>
      </c>
      <c r="DN54" s="12">
        <f t="array" ref="DN54">INDEX(DM:DM,MIN(IF(ISNUMBER(DM54:DM250),ROW(DM54:DM250),"")))</f>
        <v>9.2985714285714263</v>
      </c>
      <c r="DO54" s="12">
        <f>IF('Données projet'!$A$166&gt;35,DO53+DN54-DW53,IF(A54&lt;'Données projet'!$A$166,$DL$205^A54,IF(A54='Données projet'!$A$166,'Données projet'!$B$166,DO53+DN54-DW53)))</f>
        <v>192.85000000000008</v>
      </c>
      <c r="DP54" s="17">
        <f>DO54*VLOOKUP('Données projet'!$B$14,Paramètres!$A$1:$I$89,3,0)*VLOOKUP('Données projet'!$B$14,Paramètres!$A$1:$I$89,5,0)</f>
        <v>183.5160600000001</v>
      </c>
      <c r="DQ54" s="13">
        <f t="shared" si="43"/>
        <v>46.103561817549824</v>
      </c>
      <c r="DR54" s="20">
        <f t="shared" si="16"/>
        <v>399.92084133223278</v>
      </c>
      <c r="DS54" s="59">
        <f t="shared" si="17"/>
        <v>685.36878955024793</v>
      </c>
      <c r="DT54" s="59">
        <f ca="1">AVERAGE(OFFSET($DS$3,0,0,'Données projet'!$E$14+1,1))-AVERAGE(OFFSET($H$3,0,0,'Données projet'!$E$14+1,1))</f>
        <v>502.4879901989737</v>
      </c>
      <c r="DU54" s="59">
        <f t="shared" si="44"/>
        <v>226.06453328626355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46.13</v>
      </c>
      <c r="DX54" s="16">
        <f>IF(ISNA(VLOOKUP(A54,'Données projet'!$A$165:$I$185,5,0)),0%,VLOOKUP(A54,'Données projet'!$A$165:$I$185,5,0)*VLOOKUP('Données projet'!$B$14,Paramètres!$A$1:$I$89,7,0))</f>
        <v>0.43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50.01103676112308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50.01103676112308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-5.6843418860808015E-14</v>
      </c>
      <c r="EK54" s="17">
        <f>EJ54*VLOOKUP('Données projet'!$B$15,Paramètres!$A$1:$I$89,3,0)*VLOOKUP('Données projet'!$B$15,Paramètres!$A$1:$I$89,5,0)</f>
        <v>-3.2543994166189806E-14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192.76157155207764</v>
      </c>
      <c r="EP54" s="59">
        <f t="shared" si="46"/>
        <v>413.66427458788348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49.099146668632976</v>
      </c>
      <c r="EW54" s="21">
        <f>EXP(-LN(2)/25)*EW53+(1-EXP(-LN(2)/25))/(LN(2)/25)*Calculateur!ER54*Calculateur!ET54*VLOOKUP('Données projet'!$B$15,Paramètres!$A$1:$I$89,3,0)*0.475*44/12</f>
        <v>10.433704404477824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59.532851073110798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67.849440423095047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1.05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3.85</v>
      </c>
      <c r="H55" s="66">
        <f t="shared" si="1"/>
        <v>241.26666666666665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8.8225000000000016</v>
      </c>
      <c r="N55" s="13">
        <f>IF('Données projet'!$A$36&gt;35,N54+M55-V54,IF(A55&lt;'Données projet'!$A$36,$K$205^A55,IF(A55='Données projet'!$A$36,'Données projet'!$B$36,N54+M55-V54)))</f>
        <v>155.54250000000008</v>
      </c>
      <c r="O55" s="13">
        <f>N55*VLOOKUP('Données projet'!$B$9,Paramètres!$A$1:$I$89,3,0)*VLOOKUP('Données projet'!$B$9,Paramètres!$A$1:$I$89,5,0)</f>
        <v>140.73485400000007</v>
      </c>
      <c r="P55" s="13">
        <f t="shared" si="33"/>
        <v>36.465298899909563</v>
      </c>
      <c r="Q55" s="20">
        <f t="shared" si="53"/>
        <v>308.62359963400928</v>
      </c>
      <c r="R55" s="59">
        <f t="shared" si="0"/>
        <v>594.20834165469512</v>
      </c>
      <c r="S55" s="59">
        <f ca="1">AVERAGE(OFFSET($R$3,0,0,'Données projet'!$E$9+1,1))-AVERAGE(OFFSET($H$3,0,0,'Données projet'!$E$9+1,1))</f>
        <v>480.34707165277229</v>
      </c>
      <c r="T55" s="59">
        <f t="shared" si="34"/>
        <v>217.17128038304531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46.619022104418974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46.619022104418974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240.85571428571441</v>
      </c>
      <c r="AJ55" s="13">
        <f>AI55*VLOOKUP('Données projet'!$B$10,Paramètres!$A$1:$I$89,3,0)*VLOOKUP('Données projet'!$B$10,Paramètres!$A$1:$I$89,5,0)</f>
        <v>244.22769428571442</v>
      </c>
      <c r="AK55" s="13">
        <f t="shared" si="35"/>
        <v>59.348213013679157</v>
      </c>
      <c r="AL55" s="20">
        <f t="shared" si="4"/>
        <v>528.72803854644383</v>
      </c>
      <c r="AM55" s="59">
        <f t="shared" si="5"/>
        <v>814.31278056712972</v>
      </c>
      <c r="AN55" s="59">
        <f ca="1">AVERAGE(OFFSET($AM$3,0,0,'Données projet'!$E$10+1,1))-AVERAGE(OFFSET($H$3,0,0,'Données projet'!$E$10+1,1))</f>
        <v>596.64394969449609</v>
      </c>
      <c r="AO55" s="59">
        <f t="shared" si="36"/>
        <v>312.55704723516362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69.546226470975341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69.546226470975341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663.42491990232008</v>
      </c>
      <c r="BI55" s="59">
        <f ca="1">AVERAGE(OFFSET($BH$3,0,0,'Données projet'!$E$11+1,1))-AVERAGE(OFFSET($H$3,0,0,'Données projet'!$E$11+1,1))</f>
        <v>360.53625471540249</v>
      </c>
      <c r="BJ55" s="59">
        <f t="shared" si="38"/>
        <v>326.66299410556076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35.826425549696594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35.826425549696594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729.71025448067132</v>
      </c>
      <c r="CD55" s="59">
        <f ca="1">AVERAGE(OFFSET($CC$3,0,0,'Données projet'!$E$12+1,1))-AVERAGE(OFFSET($H$3,0,0,'Données projet'!$E$12+1,1))</f>
        <v>358.39045200457502</v>
      </c>
      <c r="CE55" s="59">
        <f t="shared" si="40"/>
        <v>349.48764057925109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42.767138932845469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42.767138932845469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173.07692307692307</v>
      </c>
      <c r="CR55" s="12">
        <f>VLOOKUP(A55,'Données projet'!$A$139:$I$159,9,0)</f>
        <v>6.6506410256410255</v>
      </c>
      <c r="CS55" s="12">
        <f t="array" ref="CS55">INDEX(CR:CR,MIN(IF(ISNUMBER(CR55:CR251),ROW(CR55:CR251),"")))</f>
        <v>6.6506410256410255</v>
      </c>
      <c r="CT55" s="12">
        <f>IF('Données projet'!$A$140&gt;35,CT54+CS55-DB54,IF(A55&lt;'Données projet'!$A$140,$CQ$205^A55,IF(A55='Données projet'!$A$140,'Données projet'!$B$140,CT54+CS55-DB54)))</f>
        <v>173.07692307692307</v>
      </c>
      <c r="CU55" s="17">
        <f>CT55*VLOOKUP('Données projet'!$B$13,Paramètres!$A$1:$I$89,3,0)*VLOOKUP('Données projet'!$B$13,Paramètres!$A$1:$I$89,5,0)</f>
        <v>135</v>
      </c>
      <c r="CV55" s="13">
        <f t="shared" si="41"/>
        <v>35.149162595374243</v>
      </c>
      <c r="CW55" s="20">
        <f t="shared" si="13"/>
        <v>296.34312485361016</v>
      </c>
      <c r="CX55" s="59">
        <f t="shared" si="14"/>
        <v>581.927866874296</v>
      </c>
      <c r="CY55" s="59">
        <f ca="1">AVERAGE(OFFSET($CX$3,0,0,'Données projet'!$E$13+1,1))-AVERAGE(OFFSET($H$3,0,0,'Données projet'!$E$13+1,1))</f>
        <v>201.71903756761543</v>
      </c>
      <c r="CZ55" s="59">
        <f t="shared" si="42"/>
        <v>200.66422845182711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30.769230769230766</v>
      </c>
      <c r="DC55" s="16">
        <f>IF(ISNA(VLOOKUP(A55,'Données projet'!$A$139:$I$159,5,0)),0%,VLOOKUP(A55,'Données projet'!$A$139:$I$159,5,0)*VLOOKUP('Données projet'!$B$13,Paramètres!$A$1:$I$89,7,0))</f>
        <v>0.43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32.133495053118608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32.133495053118608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8.8225000000000016</v>
      </c>
      <c r="DO55" s="12">
        <f>IF('Données projet'!$A$166&gt;35,DO54+DN55-DW54,IF(A55&lt;'Données projet'!$A$166,$DL$205^A55,IF(A55='Données projet'!$A$166,'Données projet'!$B$166,DO54+DN55-DW54)))</f>
        <v>155.54250000000008</v>
      </c>
      <c r="DP55" s="17">
        <f>DO55*VLOOKUP('Données projet'!$B$14,Paramètres!$A$1:$I$89,3,0)*VLOOKUP('Données projet'!$B$14,Paramètres!$A$1:$I$89,5,0)</f>
        <v>148.01424300000008</v>
      </c>
      <c r="DQ55" s="13">
        <f t="shared" si="43"/>
        <v>38.126965800017707</v>
      </c>
      <c r="DR55" s="20">
        <f t="shared" si="16"/>
        <v>324.19593866003095</v>
      </c>
      <c r="DS55" s="59">
        <f t="shared" si="17"/>
        <v>609.78068068071684</v>
      </c>
      <c r="DT55" s="59">
        <f ca="1">AVERAGE(OFFSET($DS$3,0,0,'Données projet'!$E$14+1,1))-AVERAGE(OFFSET($H$3,0,0,'Données projet'!$E$14+1,1))</f>
        <v>502.4879901989737</v>
      </c>
      <c r="DU55" s="59">
        <f t="shared" si="44"/>
        <v>226.06453328626355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49.03035083395789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49.03035083395789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-5.6843418860808015E-14</v>
      </c>
      <c r="EK55" s="17">
        <f>EJ55*VLOOKUP('Données projet'!$B$15,Paramètres!$A$1:$I$89,3,0)*VLOOKUP('Données projet'!$B$15,Paramètres!$A$1:$I$89,5,0)</f>
        <v>-3.2543994166189806E-14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192.76157155207764</v>
      </c>
      <c r="EP55" s="59">
        <f t="shared" si="46"/>
        <v>413.66427458788348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48.136342349983479</v>
      </c>
      <c r="EW55" s="21">
        <f>EXP(-LN(2)/25)*EW54+(1-EXP(-LN(2)/25))/(LN(2)/25)*Calculateur!ER55*Calculateur!ET55*VLOOKUP('Données projet'!$B$15,Paramètres!$A$1:$I$89,3,0)*0.475*44/12</f>
        <v>10.148394208852711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58.284736558836187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67.886747823823413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1.05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3.85</v>
      </c>
      <c r="H56" s="66">
        <f t="shared" si="1"/>
        <v>241.26666666666665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8.8225000000000016</v>
      </c>
      <c r="N56" s="13">
        <f>IF('Données projet'!$A$36&gt;35,N55+M56-V55,IF(A56&lt;'Données projet'!$A$36,$K$205^A56,IF(A56='Données projet'!$A$36,'Données projet'!$B$36,N55+M56-V55)))</f>
        <v>164.36500000000007</v>
      </c>
      <c r="O56" s="13">
        <f>N56*VLOOKUP('Données projet'!$B$9,Paramètres!$A$1:$I$89,3,0)*VLOOKUP('Données projet'!$B$9,Paramètres!$A$1:$I$89,5,0)</f>
        <v>148.71745200000004</v>
      </c>
      <c r="P56" s="13">
        <f t="shared" si="33"/>
        <v>38.286976481359083</v>
      </c>
      <c r="Q56" s="20">
        <f t="shared" si="53"/>
        <v>325.69937960503381</v>
      </c>
      <c r="R56" s="59">
        <f t="shared" si="0"/>
        <v>611.41854236173913</v>
      </c>
      <c r="S56" s="59">
        <f ca="1">AVERAGE(OFFSET($R$3,0,0,'Données projet'!$E$9+1,1))-AVERAGE(OFFSET($H$3,0,0,'Données projet'!$E$9+1,1))</f>
        <v>480.34707165277229</v>
      </c>
      <c r="T56" s="59">
        <f t="shared" si="34"/>
        <v>217.17128038304531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45.704851515747102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45.704851515747102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253.12714285714299</v>
      </c>
      <c r="AJ56" s="13">
        <f>AI56*VLOOKUP('Données projet'!$B$10,Paramètres!$A$1:$I$89,3,0)*VLOOKUP('Données projet'!$B$10,Paramètres!$A$1:$I$89,5,0)</f>
        <v>256.67092285714301</v>
      </c>
      <c r="AK56" s="13">
        <f t="shared" si="35"/>
        <v>62.012221890308474</v>
      </c>
      <c r="AL56" s="20">
        <f t="shared" si="4"/>
        <v>555.03981043514466</v>
      </c>
      <c r="AM56" s="59">
        <f t="shared" si="5"/>
        <v>840.75897319184992</v>
      </c>
      <c r="AN56" s="59">
        <f ca="1">AVERAGE(OFFSET($AM$3,0,0,'Données projet'!$E$10+1,1))-AVERAGE(OFFSET($H$3,0,0,'Données projet'!$E$10+1,1))</f>
        <v>596.64394969449609</v>
      </c>
      <c r="AO56" s="59">
        <f t="shared" si="36"/>
        <v>312.55704723516362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68.182467388889137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68.182467388889137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675.8413596007922</v>
      </c>
      <c r="BI56" s="59">
        <f ca="1">AVERAGE(OFFSET($BH$3,0,0,'Données projet'!$E$11+1,1))-AVERAGE(OFFSET($H$3,0,0,'Données projet'!$E$11+1,1))</f>
        <v>360.53625471540249</v>
      </c>
      <c r="BJ56" s="59">
        <f t="shared" si="38"/>
        <v>326.66299410556076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35.123891196628925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35.123891196628925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742.34282678173895</v>
      </c>
      <c r="CD56" s="59">
        <f ca="1">AVERAGE(OFFSET($CC$3,0,0,'Données projet'!$E$12+1,1))-AVERAGE(OFFSET($H$3,0,0,'Données projet'!$E$12+1,1))</f>
        <v>358.39045200457502</v>
      </c>
      <c r="CE56" s="59">
        <f t="shared" si="40"/>
        <v>349.48764057925109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41.928501423751399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41.928501423751399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6.0096153846153868</v>
      </c>
      <c r="CT56" s="12">
        <f>IF('Données projet'!$A$140&gt;35,CT55+CS56-DB55,IF(A56&lt;'Données projet'!$A$140,$CQ$205^A56,IF(A56='Données projet'!$A$140,'Données projet'!$B$140,CT55+CS56-DB55)))</f>
        <v>148.31730769230768</v>
      </c>
      <c r="CU56" s="17">
        <f>CT56*VLOOKUP('Données projet'!$B$13,Paramètres!$A$1:$I$89,3,0)*VLOOKUP('Données projet'!$B$13,Paramètres!$A$1:$I$89,5,0)</f>
        <v>115.6875</v>
      </c>
      <c r="CV56" s="13">
        <f t="shared" si="41"/>
        <v>30.667047071789558</v>
      </c>
      <c r="CW56" s="20">
        <f t="shared" si="13"/>
        <v>254.90083615003348</v>
      </c>
      <c r="CX56" s="59">
        <f t="shared" si="14"/>
        <v>540.61999890673883</v>
      </c>
      <c r="CY56" s="59">
        <f ca="1">AVERAGE(OFFSET($CX$3,0,0,'Données projet'!$E$13+1,1))-AVERAGE(OFFSET($H$3,0,0,'Données projet'!$E$13+1,1))</f>
        <v>201.71903756761543</v>
      </c>
      <c r="CZ56" s="59">
        <f t="shared" si="42"/>
        <v>200.66422845182711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31.503376814623646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31.503376814623646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8.8225000000000016</v>
      </c>
      <c r="DO56" s="12">
        <f>IF('Données projet'!$A$166&gt;35,DO55+DN56-DW55,IF(A56&lt;'Données projet'!$A$166,$DL$205^A56,IF(A56='Données projet'!$A$166,'Données projet'!$B$166,DO55+DN56-DW55)))</f>
        <v>164.36500000000007</v>
      </c>
      <c r="DP56" s="17">
        <f>DO56*VLOOKUP('Données projet'!$B$14,Paramètres!$A$1:$I$89,3,0)*VLOOKUP('Données projet'!$B$14,Paramètres!$A$1:$I$89,5,0)</f>
        <v>156.40973400000007</v>
      </c>
      <c r="DQ56" s="13">
        <f t="shared" si="43"/>
        <v>40.031654392787154</v>
      </c>
      <c r="DR56" s="20">
        <f t="shared" si="16"/>
        <v>342.13541811743772</v>
      </c>
      <c r="DS56" s="59">
        <f t="shared" si="17"/>
        <v>627.85458087414304</v>
      </c>
      <c r="DT56" s="59">
        <f ca="1">AVERAGE(OFFSET($DS$3,0,0,'Données projet'!$E$14+1,1))-AVERAGE(OFFSET($H$3,0,0,'Données projet'!$E$14+1,1))</f>
        <v>502.4879901989737</v>
      </c>
      <c r="DU56" s="59">
        <f t="shared" si="44"/>
        <v>226.06453328626355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48.068895559665059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48.068895559665059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-5.6843418860808015E-14</v>
      </c>
      <c r="EK56" s="17">
        <f>EJ56*VLOOKUP('Données projet'!$B$15,Paramètres!$A$1:$I$89,3,0)*VLOOKUP('Données projet'!$B$15,Paramètres!$A$1:$I$89,5,0)</f>
        <v>-3.2543994166189806E-14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192.76157155207764</v>
      </c>
      <c r="EP56" s="59">
        <f t="shared" si="46"/>
        <v>413.66427458788348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47.19241803677005</v>
      </c>
      <c r="EW56" s="21">
        <f>EXP(-LN(2)/25)*EW55+(1-EXP(-LN(2)/25))/(LN(2)/25)*Calculateur!ER56*Calculateur!ET56*VLOOKUP('Données projet'!$B$15,Paramètres!$A$1:$I$89,3,0)*0.475*44/12</f>
        <v>9.8708858355307765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57.063303872300828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67.923408024555997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1.05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3.85</v>
      </c>
      <c r="H57" s="66">
        <f t="shared" si="1"/>
        <v>241.26666666666665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8.8225000000000016</v>
      </c>
      <c r="N57" s="13">
        <f>IF('Données projet'!$A$36&gt;35,N56+M57-V56,IF(A57&lt;'Données projet'!$A$36,$K$205^A57,IF(A57='Données projet'!$A$36,'Données projet'!$B$36,N56+M57-V56)))</f>
        <v>173.18750000000006</v>
      </c>
      <c r="O57" s="13">
        <f>N57*VLOOKUP('Données projet'!$B$9,Paramètres!$A$1:$I$89,3,0)*VLOOKUP('Données projet'!$B$9,Paramètres!$A$1:$I$89,5,0)</f>
        <v>156.70005000000006</v>
      </c>
      <c r="P57" s="13">
        <f t="shared" si="33"/>
        <v>40.097302098748379</v>
      </c>
      <c r="Q57" s="20">
        <f t="shared" si="53"/>
        <v>342.7553882386535</v>
      </c>
      <c r="R57" s="59">
        <f t="shared" si="0"/>
        <v>628.60663983212817</v>
      </c>
      <c r="S57" s="59">
        <f ca="1">AVERAGE(OFFSET($R$3,0,0,'Données projet'!$E$9+1,1))-AVERAGE(OFFSET($H$3,0,0,'Données projet'!$E$9+1,1))</f>
        <v>480.34707165277229</v>
      </c>
      <c r="T57" s="59">
        <f t="shared" si="34"/>
        <v>217.17128038304531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44.808607254730077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44.808607254730077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265.39857142857159</v>
      </c>
      <c r="AJ57" s="13">
        <f>AI57*VLOOKUP('Données projet'!$B$10,Paramètres!$A$1:$I$89,3,0)*VLOOKUP('Données projet'!$B$10,Paramètres!$A$1:$I$89,5,0)</f>
        <v>269.11415142857157</v>
      </c>
      <c r="AK57" s="13">
        <f t="shared" si="35"/>
        <v>64.661233921346607</v>
      </c>
      <c r="AL57" s="20">
        <f t="shared" si="4"/>
        <v>581.32546281777411</v>
      </c>
      <c r="AM57" s="59">
        <f t="shared" si="5"/>
        <v>867.17671441124867</v>
      </c>
      <c r="AN57" s="59">
        <f ca="1">AVERAGE(OFFSET($AM$3,0,0,'Données projet'!$E$10+1,1))-AVERAGE(OFFSET($H$3,0,0,'Données projet'!$E$10+1,1))</f>
        <v>596.64394969449609</v>
      </c>
      <c r="AO57" s="59">
        <f t="shared" si="36"/>
        <v>312.55704723516362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66.845450790591727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66.845450790591727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688.2470790300174</v>
      </c>
      <c r="BI57" s="59">
        <f ca="1">AVERAGE(OFFSET($BH$3,0,0,'Données projet'!$E$11+1,1))-AVERAGE(OFFSET($H$3,0,0,'Données projet'!$E$11+1,1))</f>
        <v>360.53625471540249</v>
      </c>
      <c r="BJ57" s="59">
        <f t="shared" si="38"/>
        <v>326.66299410556076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34.435133113721271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34.435133113721271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754.96576143967286</v>
      </c>
      <c r="CD57" s="59">
        <f ca="1">AVERAGE(OFFSET($CC$3,0,0,'Données projet'!$E$12+1,1))-AVERAGE(OFFSET($H$3,0,0,'Données projet'!$E$12+1,1))</f>
        <v>358.39045200457502</v>
      </c>
      <c r="CE57" s="59">
        <f t="shared" si="40"/>
        <v>349.48764057925109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41.106309084692292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41.106309084692292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6.0096153846153868</v>
      </c>
      <c r="CT57" s="12">
        <f>IF('Données projet'!$A$140&gt;35,CT56+CS57-DB56,IF(A57&lt;'Données projet'!$A$140,$CQ$205^A57,IF(A57='Données projet'!$A$140,'Données projet'!$B$140,CT56+CS57-DB56)))</f>
        <v>154.32692307692307</v>
      </c>
      <c r="CU57" s="17">
        <f>CT57*VLOOKUP('Données projet'!$B$13,Paramètres!$A$1:$I$89,3,0)*VLOOKUP('Données projet'!$B$13,Paramètres!$A$1:$I$89,5,0)</f>
        <v>120.375</v>
      </c>
      <c r="CV57" s="13">
        <f t="shared" si="41"/>
        <v>31.762445997133341</v>
      </c>
      <c r="CW57" s="20">
        <f t="shared" si="13"/>
        <v>264.97271844500727</v>
      </c>
      <c r="CX57" s="59">
        <f t="shared" si="14"/>
        <v>550.82397003848189</v>
      </c>
      <c r="CY57" s="59">
        <f ca="1">AVERAGE(OFFSET($CX$3,0,0,'Données projet'!$E$13+1,1))-AVERAGE(OFFSET($H$3,0,0,'Données projet'!$E$13+1,1))</f>
        <v>201.71903756761543</v>
      </c>
      <c r="CZ57" s="59">
        <f t="shared" si="42"/>
        <v>200.66422845182711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30.885614810451393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30.885614810451393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8.8225000000000016</v>
      </c>
      <c r="DO57" s="12">
        <f>IF('Données projet'!$A$166&gt;35,DO56+DN57-DW56,IF(A57&lt;'Données projet'!$A$166,$DL$205^A57,IF(A57='Données projet'!$A$166,'Données projet'!$B$166,DO56+DN57-DW56)))</f>
        <v>173.18750000000006</v>
      </c>
      <c r="DP57" s="17">
        <f>DO57*VLOOKUP('Données projet'!$B$14,Paramètres!$A$1:$I$89,3,0)*VLOOKUP('Données projet'!$B$14,Paramètres!$A$1:$I$89,5,0)</f>
        <v>164.80522500000006</v>
      </c>
      <c r="DQ57" s="13">
        <f t="shared" si="43"/>
        <v>41.924473730167357</v>
      </c>
      <c r="DR57" s="20">
        <f t="shared" si="16"/>
        <v>360.05422528837494</v>
      </c>
      <c r="DS57" s="59">
        <f t="shared" si="17"/>
        <v>645.90547688184961</v>
      </c>
      <c r="DT57" s="59">
        <f ca="1">AVERAGE(OFFSET($DS$3,0,0,'Données projet'!$E$14+1,1))-AVERAGE(OFFSET($H$3,0,0,'Données projet'!$E$14+1,1))</f>
        <v>502.4879901989737</v>
      </c>
      <c r="DU57" s="59">
        <f t="shared" si="44"/>
        <v>226.06453328626355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47.126293836871298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47.126293836871298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-5.6843418860808015E-14</v>
      </c>
      <c r="EK57" s="17">
        <f>EJ57*VLOOKUP('Données projet'!$B$15,Paramètres!$A$1:$I$89,3,0)*VLOOKUP('Données projet'!$B$15,Paramètres!$A$1:$I$89,5,0)</f>
        <v>-3.2543994166189806E-14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192.76157155207764</v>
      </c>
      <c r="EP57" s="59">
        <f t="shared" si="46"/>
        <v>413.66427458788348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46.267003503601757</v>
      </c>
      <c r="EW57" s="21">
        <f>EXP(-LN(2)/25)*EW56+(1-EXP(-LN(2)/25))/(LN(2)/25)*Calculateur!ER57*Calculateur!ET57*VLOOKUP('Données projet'!$B$15,Paramètres!$A$1:$I$89,3,0)*0.475*44/12</f>
        <v>9.6009659432708609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55.867969446872621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67.959432252765794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1.05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3.85</v>
      </c>
      <c r="H58" s="66">
        <f t="shared" si="1"/>
        <v>241.26666666666665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8.8225000000000016</v>
      </c>
      <c r="N58" s="13">
        <f>IF('Données projet'!$A$36&gt;35,N57+M58-V57,IF(A58&lt;'Données projet'!$A$36,$K$205^A58,IF(A58='Données projet'!$A$36,'Données projet'!$B$36,N57+M58-V57)))</f>
        <v>182.01000000000005</v>
      </c>
      <c r="O58" s="13">
        <f>N58*VLOOKUP('Données projet'!$B$9,Paramètres!$A$1:$I$89,3,0)*VLOOKUP('Données projet'!$B$9,Paramètres!$A$1:$I$89,5,0)</f>
        <v>164.68264800000006</v>
      </c>
      <c r="P58" s="13">
        <f t="shared" si="33"/>
        <v>41.896920016391412</v>
      </c>
      <c r="Q58" s="20">
        <f t="shared" si="53"/>
        <v>359.79274762854851</v>
      </c>
      <c r="R58" s="59">
        <f t="shared" si="0"/>
        <v>645.77379661278087</v>
      </c>
      <c r="S58" s="59">
        <f ca="1">AVERAGE(OFFSET($R$3,0,0,'Données projet'!$E$9+1,1))-AVERAGE(OFFSET($H$3,0,0,'Données projet'!$E$9+1,1))</f>
        <v>480.34707165277229</v>
      </c>
      <c r="T58" s="59">
        <f t="shared" si="34"/>
        <v>217.17128038304531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43.929937797016578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43.929937797016578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277.67000000000019</v>
      </c>
      <c r="AJ58" s="13">
        <f>AI58*VLOOKUP('Données projet'!$B$10,Paramètres!$A$1:$I$89,3,0)*VLOOKUP('Données projet'!$B$10,Paramètres!$A$1:$I$89,5,0)</f>
        <v>281.55738000000019</v>
      </c>
      <c r="AK58" s="13">
        <f t="shared" si="35"/>
        <v>67.296021724351561</v>
      </c>
      <c r="AL58" s="20">
        <f t="shared" si="4"/>
        <v>607.58634133657927</v>
      </c>
      <c r="AM58" s="59">
        <f t="shared" si="5"/>
        <v>893.56739032081157</v>
      </c>
      <c r="AN58" s="59">
        <f ca="1">AVERAGE(OFFSET($AM$3,0,0,'Données projet'!$E$10+1,1))-AVERAGE(OFFSET($H$3,0,0,'Données projet'!$E$10+1,1))</f>
        <v>596.64394969449609</v>
      </c>
      <c r="AO58" s="59">
        <f t="shared" si="36"/>
        <v>312.55704723516362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93.606751302328988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93.606751302328988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700.64241058124935</v>
      </c>
      <c r="BI58" s="59">
        <f ca="1">AVERAGE(OFFSET($BH$3,0,0,'Données projet'!$E$11+1,1))-AVERAGE(OFFSET($H$3,0,0,'Données projet'!$E$11+1,1))</f>
        <v>360.53625471540249</v>
      </c>
      <c r="BJ58" s="59">
        <f t="shared" si="38"/>
        <v>326.66299410556076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43.311039110726739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43.311039110726739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767.57932083288779</v>
      </c>
      <c r="CD58" s="59">
        <f ca="1">AVERAGE(OFFSET($CC$3,0,0,'Données projet'!$E$12+1,1))-AVERAGE(OFFSET($H$3,0,0,'Données projet'!$E$12+1,1))</f>
        <v>358.39045200457502</v>
      </c>
      <c r="CE58" s="59">
        <f t="shared" si="40"/>
        <v>349.48764057925109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47.758503179864732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47.758503179864732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6.0096153846153868</v>
      </c>
      <c r="CT58" s="12">
        <f>IF('Données projet'!$A$140&gt;35,CT57+CS58-DB57,IF(A58&lt;'Données projet'!$A$140,$CQ$205^A58,IF(A58='Données projet'!$A$140,'Données projet'!$B$140,CT57+CS58-DB57)))</f>
        <v>160.33653846153845</v>
      </c>
      <c r="CU58" s="17">
        <f>CT58*VLOOKUP('Données projet'!$B$13,Paramètres!$A$1:$I$89,3,0)*VLOOKUP('Données projet'!$B$13,Paramètres!$A$1:$I$89,5,0)</f>
        <v>125.0625</v>
      </c>
      <c r="CV58" s="13">
        <f t="shared" si="41"/>
        <v>32.852889709555718</v>
      </c>
      <c r="CW58" s="20">
        <f t="shared" si="13"/>
        <v>275.03597041080951</v>
      </c>
      <c r="CX58" s="59">
        <f t="shared" si="14"/>
        <v>561.01701939504187</v>
      </c>
      <c r="CY58" s="59">
        <f ca="1">AVERAGE(OFFSET($CX$3,0,0,'Données projet'!$E$13+1,1))-AVERAGE(OFFSET($H$3,0,0,'Données projet'!$E$13+1,1))</f>
        <v>201.71903756761543</v>
      </c>
      <c r="CZ58" s="59">
        <f t="shared" si="42"/>
        <v>200.66422845182711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30.279966742383341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30.279966742383341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8.8225000000000016</v>
      </c>
      <c r="DO58" s="12">
        <f>IF('Données projet'!$A$166&gt;35,DO57+DN58-DW57,IF(A58&lt;'Données projet'!$A$166,$DL$205^A58,IF(A58='Données projet'!$A$166,'Données projet'!$B$166,DO57+DN58-DW57)))</f>
        <v>182.01000000000005</v>
      </c>
      <c r="DP58" s="17">
        <f>DO58*VLOOKUP('Données projet'!$B$14,Paramètres!$A$1:$I$89,3,0)*VLOOKUP('Données projet'!$B$14,Paramètres!$A$1:$I$89,5,0)</f>
        <v>173.20071600000006</v>
      </c>
      <c r="DQ58" s="13">
        <f t="shared" si="43"/>
        <v>43.806097434594101</v>
      </c>
      <c r="DR58" s="20">
        <f t="shared" si="16"/>
        <v>377.9535333985848</v>
      </c>
      <c r="DS58" s="59">
        <f t="shared" si="17"/>
        <v>663.9345823828171</v>
      </c>
      <c r="DT58" s="59">
        <f ca="1">AVERAGE(OFFSET($DS$3,0,0,'Données projet'!$E$14+1,1))-AVERAGE(OFFSET($H$3,0,0,'Données projet'!$E$14+1,1))</f>
        <v>502.4879901989737</v>
      </c>
      <c r="DU58" s="59">
        <f t="shared" si="44"/>
        <v>226.06453328626355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46.202175958931235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46.202175958931235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-5.6843418860808015E-14</v>
      </c>
      <c r="EK58" s="17">
        <f>EJ58*VLOOKUP('Données projet'!$B$15,Paramètres!$A$1:$I$89,3,0)*VLOOKUP('Données projet'!$B$15,Paramètres!$A$1:$I$89,5,0)</f>
        <v>-3.2543994166189806E-14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192.76157155207764</v>
      </c>
      <c r="EP58" s="59">
        <f t="shared" si="46"/>
        <v>413.66427458788348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45.359735784981758</v>
      </c>
      <c r="EW58" s="21">
        <f>EXP(-LN(2)/25)*EW57+(1-EXP(-LN(2)/25))/(LN(2)/25)*Calculateur!ER58*Calculateur!ET58*VLOOKUP('Données projet'!$B$15,Paramètres!$A$1:$I$89,3,0)*0.475*44/12</f>
        <v>9.3384270246592642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54.698162809641019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67.994831541154269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1.05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3.85</v>
      </c>
      <c r="H59" s="66">
        <f t="shared" si="1"/>
        <v>241.26666666666665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8.8225000000000016</v>
      </c>
      <c r="N59" s="13">
        <f>IF('Données projet'!$A$36&gt;35,N58+M59-V58,IF(A59&lt;'Données projet'!$A$36,$K$205^A59,IF(A59='Données projet'!$A$36,'Données projet'!$B$36,N58+M59-V58)))</f>
        <v>190.83250000000004</v>
      </c>
      <c r="O59" s="13">
        <f>N59*VLOOKUP('Données projet'!$B$9,Paramètres!$A$1:$I$89,3,0)*VLOOKUP('Données projet'!$B$9,Paramètres!$A$1:$I$89,5,0)</f>
        <v>172.66524600000002</v>
      </c>
      <c r="P59" s="13">
        <f t="shared" si="33"/>
        <v>43.686408511417334</v>
      </c>
      <c r="Q59" s="20">
        <f t="shared" si="53"/>
        <v>376.8124649407186</v>
      </c>
      <c r="R59" s="59">
        <f t="shared" si="0"/>
        <v>662.9210596211625</v>
      </c>
      <c r="S59" s="59">
        <f ca="1">AVERAGE(OFFSET($R$3,0,0,'Données projet'!$E$9+1,1))-AVERAGE(OFFSET($H$3,0,0,'Données projet'!$E$9+1,1))</f>
        <v>480.34707165277229</v>
      </c>
      <c r="T59" s="59">
        <f t="shared" si="34"/>
        <v>217.17128038304531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43.06849851143339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43.06849851143339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231.07500000000016</v>
      </c>
      <c r="AJ59" s="13">
        <f>AI59*VLOOKUP('Données projet'!$B$10,Paramètres!$A$1:$I$89,3,0)*VLOOKUP('Données projet'!$B$10,Paramètres!$A$1:$I$89,5,0)</f>
        <v>234.31005000000016</v>
      </c>
      <c r="AK59" s="13">
        <f t="shared" si="35"/>
        <v>57.21360573376716</v>
      </c>
      <c r="AL59" s="20">
        <f t="shared" si="4"/>
        <v>507.73703373631139</v>
      </c>
      <c r="AM59" s="59">
        <f t="shared" si="5"/>
        <v>793.84562841675529</v>
      </c>
      <c r="AN59" s="59">
        <f ca="1">AVERAGE(OFFSET($AM$3,0,0,'Données projet'!$E$10+1,1))-AVERAGE(OFFSET($H$3,0,0,'Données projet'!$E$10+1,1))</f>
        <v>596.64394969449609</v>
      </c>
      <c r="AO59" s="59">
        <f t="shared" si="36"/>
        <v>312.55704723516362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91.771180003770993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91.771180003770993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669.16037009115621</v>
      </c>
      <c r="BI59" s="59">
        <f ca="1">AVERAGE(OFFSET($BH$3,0,0,'Données projet'!$E$11+1,1))-AVERAGE(OFFSET($H$3,0,0,'Données projet'!$E$11+1,1))</f>
        <v>360.53625471540249</v>
      </c>
      <c r="BJ59" s="59">
        <f t="shared" si="38"/>
        <v>326.66299410556076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42.461736050890771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42.461736050890771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751.17280603459858</v>
      </c>
      <c r="CD59" s="59">
        <f ca="1">AVERAGE(OFFSET($CC$3,0,0,'Données projet'!$E$12+1,1))-AVERAGE(OFFSET($H$3,0,0,'Données projet'!$E$12+1,1))</f>
        <v>358.39045200457502</v>
      </c>
      <c r="CE59" s="59">
        <f t="shared" si="40"/>
        <v>349.48764057925109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46.821988062318198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46.821988062318198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6.0096153846153868</v>
      </c>
      <c r="CT59" s="12">
        <f>IF('Données projet'!$A$140&gt;35,CT58+CS59-DB58,IF(A59&lt;'Données projet'!$A$140,$CQ$205^A59,IF(A59='Données projet'!$A$140,'Données projet'!$B$140,CT58+CS59-DB58)))</f>
        <v>166.34615384615384</v>
      </c>
      <c r="CU59" s="17">
        <f>CT59*VLOOKUP('Données projet'!$B$13,Paramètres!$A$1:$I$89,3,0)*VLOOKUP('Données projet'!$B$13,Paramètres!$A$1:$I$89,5,0)</f>
        <v>129.75</v>
      </c>
      <c r="CV59" s="13">
        <f t="shared" si="41"/>
        <v>33.938585202364465</v>
      </c>
      <c r="CW59" s="20">
        <f t="shared" si="13"/>
        <v>285.09095256078473</v>
      </c>
      <c r="CX59" s="59">
        <f t="shared" si="14"/>
        <v>571.19954724122863</v>
      </c>
      <c r="CY59" s="59">
        <f ca="1">AVERAGE(OFFSET($CX$3,0,0,'Données projet'!$E$13+1,1))-AVERAGE(OFFSET($H$3,0,0,'Données projet'!$E$13+1,1))</f>
        <v>201.71903756761543</v>
      </c>
      <c r="CZ59" s="59">
        <f t="shared" si="42"/>
        <v>200.66422845182711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29.686195063521257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29.686195063521257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8.8225000000000016</v>
      </c>
      <c r="DO59" s="12">
        <f>IF('Données projet'!$A$166&gt;35,DO58+DN59-DW58,IF(A59&lt;'Données projet'!$A$166,$DL$205^A59,IF(A59='Données projet'!$A$166,'Données projet'!$B$166,DO58+DN59-DW58)))</f>
        <v>190.83250000000004</v>
      </c>
      <c r="DP59" s="17">
        <f>DO59*VLOOKUP('Données projet'!$B$14,Paramètres!$A$1:$I$89,3,0)*VLOOKUP('Données projet'!$B$14,Paramètres!$A$1:$I$89,5,0)</f>
        <v>181.59620700000002</v>
      </c>
      <c r="DQ59" s="13">
        <f t="shared" si="43"/>
        <v>45.677130134384925</v>
      </c>
      <c r="DR59" s="20">
        <f t="shared" si="16"/>
        <v>395.83439550905376</v>
      </c>
      <c r="DS59" s="59">
        <f t="shared" si="17"/>
        <v>681.94299018949766</v>
      </c>
      <c r="DT59" s="59">
        <f ca="1">AVERAGE(OFFSET($DS$3,0,0,'Données projet'!$E$14+1,1))-AVERAGE(OFFSET($H$3,0,0,'Données projet'!$E$14+1,1))</f>
        <v>502.4879901989737</v>
      </c>
      <c r="DU59" s="59">
        <f t="shared" si="44"/>
        <v>226.06453328626355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45.296179468921331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45.296179468921331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-5.6843418860808015E-14</v>
      </c>
      <c r="EK59" s="17">
        <f>EJ59*VLOOKUP('Données projet'!$B$15,Paramètres!$A$1:$I$89,3,0)*VLOOKUP('Données projet'!$B$15,Paramètres!$A$1:$I$89,5,0)</f>
        <v>-3.2543994166189806E-14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192.76157155207764</v>
      </c>
      <c r="EP59" s="59">
        <f t="shared" si="46"/>
        <v>413.66427458788348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44.470259032945236</v>
      </c>
      <c r="EW59" s="21">
        <f>EXP(-LN(2)/25)*EW58+(1-EXP(-LN(2)/25))/(LN(2)/25)*Calculateur!ER59*Calculateur!ET59*VLOOKUP('Données projet'!$B$15,Paramètres!$A$1:$I$89,3,0)*0.475*44/12</f>
        <v>9.0830672465834219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53.553326279528662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68.02961673103016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1.05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3.85</v>
      </c>
      <c r="H60" s="66">
        <f t="shared" si="1"/>
        <v>241.26666666666665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8.8225000000000016</v>
      </c>
      <c r="N60" s="13">
        <f>IF('Données projet'!$A$36&gt;35,N59+M60-V59,IF(A60&lt;'Données projet'!$A$36,$K$205^A60,IF(A60='Données projet'!$A$36,'Données projet'!$B$36,N59+M60-V59)))</f>
        <v>199.65500000000003</v>
      </c>
      <c r="O60" s="13">
        <f>N60*VLOOKUP('Données projet'!$B$9,Paramètres!$A$1:$I$89,3,0)*VLOOKUP('Données projet'!$B$9,Paramètres!$A$1:$I$89,5,0)</f>
        <v>180.64784400000002</v>
      </c>
      <c r="P60" s="13">
        <f t="shared" si="33"/>
        <v>45.466289369556691</v>
      </c>
      <c r="Q60" s="20">
        <f t="shared" si="53"/>
        <v>393.81544895197794</v>
      </c>
      <c r="R60" s="59">
        <f t="shared" si="0"/>
        <v>680.04937669595358</v>
      </c>
      <c r="S60" s="59">
        <f ca="1">AVERAGE(OFFSET($R$3,0,0,'Données projet'!$E$9+1,1))-AVERAGE(OFFSET($H$3,0,0,'Données projet'!$E$9+1,1))</f>
        <v>480.34707165277229</v>
      </c>
      <c r="T60" s="59">
        <f t="shared" si="34"/>
        <v>217.17128038304531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42.223951524814403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42.223951524814403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242.72000000000014</v>
      </c>
      <c r="AJ60" s="13">
        <f>AI60*VLOOKUP('Données projet'!$B$10,Paramètres!$A$1:$I$89,3,0)*VLOOKUP('Données projet'!$B$10,Paramètres!$A$1:$I$89,5,0)</f>
        <v>246.11808000000013</v>
      </c>
      <c r="AK60" s="13">
        <f t="shared" si="35"/>
        <v>59.753930518932897</v>
      </c>
      <c r="AL60" s="20">
        <f t="shared" si="4"/>
        <v>532.72708498714167</v>
      </c>
      <c r="AM60" s="59">
        <f t="shared" si="5"/>
        <v>818.96101273111731</v>
      </c>
      <c r="AN60" s="59">
        <f ca="1">AVERAGE(OFFSET($AM$3,0,0,'Données projet'!$E$10+1,1))-AVERAGE(OFFSET($H$3,0,0,'Données projet'!$E$10+1,1))</f>
        <v>596.64394969449609</v>
      </c>
      <c r="AO60" s="59">
        <f t="shared" si="36"/>
        <v>312.55704723516362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89.971603138789789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89.971603138789789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680.44825200533023</v>
      </c>
      <c r="BI60" s="59">
        <f ca="1">AVERAGE(OFFSET($BH$3,0,0,'Données projet'!$E$11+1,1))-AVERAGE(OFFSET($H$3,0,0,'Données projet'!$E$11+1,1))</f>
        <v>360.53625471540249</v>
      </c>
      <c r="BJ60" s="59">
        <f t="shared" si="38"/>
        <v>326.66299410556076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41.629087306034471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41.629087306034471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761.75988942843242</v>
      </c>
      <c r="CD60" s="59">
        <f ca="1">AVERAGE(OFFSET($CC$3,0,0,'Données projet'!$E$12+1,1))-AVERAGE(OFFSET($H$3,0,0,'Données projet'!$E$12+1,1))</f>
        <v>358.39045200457502</v>
      </c>
      <c r="CE60" s="59">
        <f t="shared" si="40"/>
        <v>349.48764057925109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45.903837435008931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45.903837435008931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6.0096153846153868</v>
      </c>
      <c r="CT60" s="12">
        <f>IF('Données projet'!$A$140&gt;35,CT59+CS60-DB59,IF(A60&lt;'Données projet'!$A$140,$CQ$205^A60,IF(A60='Données projet'!$A$140,'Données projet'!$B$140,CT59+CS60-DB59)))</f>
        <v>172.35576923076923</v>
      </c>
      <c r="CU60" s="17">
        <f>CT60*VLOOKUP('Données projet'!$B$13,Paramètres!$A$1:$I$89,3,0)*VLOOKUP('Données projet'!$B$13,Paramètres!$A$1:$I$89,5,0)</f>
        <v>134.4375</v>
      </c>
      <c r="CV60" s="13">
        <f t="shared" si="41"/>
        <v>35.019723665000747</v>
      </c>
      <c r="CW60" s="20">
        <f t="shared" si="13"/>
        <v>295.13799788320961</v>
      </c>
      <c r="CX60" s="59">
        <f t="shared" si="14"/>
        <v>581.37192562718519</v>
      </c>
      <c r="CY60" s="59">
        <f ca="1">AVERAGE(OFFSET($CX$3,0,0,'Données projet'!$E$13+1,1))-AVERAGE(OFFSET($H$3,0,0,'Données projet'!$E$13+1,1))</f>
        <v>201.71903756761543</v>
      </c>
      <c r="CZ60" s="59">
        <f t="shared" si="42"/>
        <v>200.66422845182711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29.104066885116698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29.104066885116698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8.8225000000000016</v>
      </c>
      <c r="DO60" s="12">
        <f>IF('Données projet'!$A$166&gt;35,DO59+DN60-DW59,IF(A60&lt;'Données projet'!$A$166,$DL$205^A60,IF(A60='Données projet'!$A$166,'Données projet'!$B$166,DO59+DN60-DW59)))</f>
        <v>199.65500000000003</v>
      </c>
      <c r="DP60" s="17">
        <f>DO60*VLOOKUP('Données projet'!$B$14,Paramètres!$A$1:$I$89,3,0)*VLOOKUP('Données projet'!$B$14,Paramètres!$A$1:$I$89,5,0)</f>
        <v>189.99169800000004</v>
      </c>
      <c r="DQ60" s="13">
        <f t="shared" si="43"/>
        <v>47.538117392233929</v>
      </c>
      <c r="DR60" s="20">
        <f t="shared" si="16"/>
        <v>413.6977618081408</v>
      </c>
      <c r="DS60" s="59">
        <f t="shared" si="17"/>
        <v>699.9316895521165</v>
      </c>
      <c r="DT60" s="59">
        <f ca="1">AVERAGE(OFFSET($DS$3,0,0,'Données projet'!$E$14+1,1))-AVERAGE(OFFSET($H$3,0,0,'Données projet'!$E$14+1,1))</f>
        <v>502.4879901989737</v>
      </c>
      <c r="DU60" s="59">
        <f t="shared" si="44"/>
        <v>226.06453328626355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44.407949017477229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44.407949017477229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-5.6843418860808015E-14</v>
      </c>
      <c r="EK60" s="17">
        <f>EJ60*VLOOKUP('Données projet'!$B$15,Paramètres!$A$1:$I$89,3,0)*VLOOKUP('Données projet'!$B$15,Paramètres!$A$1:$I$89,5,0)</f>
        <v>-3.2543994166189806E-14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192.76157155207764</v>
      </c>
      <c r="EP60" s="59">
        <f t="shared" si="46"/>
        <v>413.66427458788348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43.598224377488897</v>
      </c>
      <c r="EW60" s="21">
        <f>EXP(-LN(2)/25)*EW59+(1-EXP(-LN(2)/25))/(LN(2)/25)*Calculateur!ER60*Calculateur!ET60*VLOOKUP('Données projet'!$B$15,Paramètres!$A$1:$I$89,3,0)*0.475*44/12</f>
        <v>8.8346902950678512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52.432914672556748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68.063798475629724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1.05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3.85</v>
      </c>
      <c r="H61" s="66">
        <f t="shared" si="1"/>
        <v>241.26666666666665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8.8225000000000016</v>
      </c>
      <c r="N61" s="13">
        <f>IF('Données projet'!$A$36&gt;35,N60+M61-V60,IF(A61&lt;'Données projet'!$A$36,$K$205^A61,IF(A61='Données projet'!$A$36,'Données projet'!$B$36,N60+M61-V60)))</f>
        <v>208.47750000000002</v>
      </c>
      <c r="O61" s="13">
        <f>N61*VLOOKUP('Données projet'!$B$9,Paramètres!$A$1:$I$89,3,0)*VLOOKUP('Données projet'!$B$9,Paramètres!$A$1:$I$89,5,0)</f>
        <v>188.63044200000002</v>
      </c>
      <c r="P61" s="13">
        <f t="shared" si="33"/>
        <v>47.237035655112237</v>
      </c>
      <c r="Q61" s="20">
        <f t="shared" si="53"/>
        <v>410.80252358265381</v>
      </c>
      <c r="R61" s="59">
        <f t="shared" si="0"/>
        <v>697.15961014171171</v>
      </c>
      <c r="S61" s="59">
        <f ca="1">AVERAGE(OFFSET($R$3,0,0,'Données projet'!$E$9+1,1))-AVERAGE(OFFSET($H$3,0,0,'Données projet'!$E$9+1,1))</f>
        <v>480.34707165277229</v>
      </c>
      <c r="T61" s="59">
        <f t="shared" si="34"/>
        <v>217.17128038304531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41.39596558948022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41.39596558948022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254.36500000000012</v>
      </c>
      <c r="AJ61" s="13">
        <f>AI61*VLOOKUP('Données projet'!$B$10,Paramètres!$A$1:$I$89,3,0)*VLOOKUP('Données projet'!$B$10,Paramètres!$A$1:$I$89,5,0)</f>
        <v>257.92611000000016</v>
      </c>
      <c r="AK61" s="13">
        <f t="shared" si="35"/>
        <v>62.280102581244591</v>
      </c>
      <c r="AL61" s="20">
        <f t="shared" si="4"/>
        <v>557.69248691233463</v>
      </c>
      <c r="AM61" s="59">
        <f t="shared" si="5"/>
        <v>844.04957347139248</v>
      </c>
      <c r="AN61" s="59">
        <f ca="1">AVERAGE(OFFSET($AM$3,0,0,'Données projet'!$E$10+1,1))-AVERAGE(OFFSET($H$3,0,0,'Données projet'!$E$10+1,1))</f>
        <v>596.64394969449609</v>
      </c>
      <c r="AO61" s="59">
        <f t="shared" si="36"/>
        <v>312.55704723516362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88.207314878497357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88.207314878497357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691.72710960597033</v>
      </c>
      <c r="BI61" s="59">
        <f ca="1">AVERAGE(OFFSET($BH$3,0,0,'Données projet'!$E$11+1,1))-AVERAGE(OFFSET($H$3,0,0,'Données projet'!$E$11+1,1))</f>
        <v>360.53625471540249</v>
      </c>
      <c r="BJ61" s="59">
        <f t="shared" si="38"/>
        <v>326.66299410556076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40.812766295199218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40.812766295199218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772.3399026947468</v>
      </c>
      <c r="CD61" s="59">
        <f ca="1">AVERAGE(OFFSET($CC$3,0,0,'Données projet'!$E$12+1,1))-AVERAGE(OFFSET($H$3,0,0,'Données projet'!$E$12+1,1))</f>
        <v>358.39045200457502</v>
      </c>
      <c r="CE61" s="59">
        <f t="shared" si="40"/>
        <v>349.48764057925109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45.003691181484612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45.003691181484612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6.0096153846153868</v>
      </c>
      <c r="CT61" s="12">
        <f>IF('Données projet'!$A$140&gt;35,CT60+CS61-DB60,IF(A61&lt;'Données projet'!$A$140,$CQ$205^A61,IF(A61='Données projet'!$A$140,'Données projet'!$B$140,CT60+CS61-DB60)))</f>
        <v>178.36538461538461</v>
      </c>
      <c r="CU61" s="17">
        <f>CT61*VLOOKUP('Données projet'!$B$13,Paramètres!$A$1:$I$89,3,0)*VLOOKUP('Données projet'!$B$13,Paramètres!$A$1:$I$89,5,0)</f>
        <v>139.125</v>
      </c>
      <c r="CV61" s="13">
        <f t="shared" si="41"/>
        <v>36.096482198248644</v>
      </c>
      <c r="CW61" s="20">
        <f t="shared" si="13"/>
        <v>305.17741482861635</v>
      </c>
      <c r="CX61" s="59">
        <f t="shared" si="14"/>
        <v>591.53450138767425</v>
      </c>
      <c r="CY61" s="59">
        <f ca="1">AVERAGE(OFFSET($CX$3,0,0,'Données projet'!$E$13+1,1))-AVERAGE(OFFSET($H$3,0,0,'Données projet'!$E$13+1,1))</f>
        <v>201.71903756761543</v>
      </c>
      <c r="CZ61" s="59">
        <f t="shared" si="42"/>
        <v>200.66422845182711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28.533353885227523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28.533353885227523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8.8225000000000016</v>
      </c>
      <c r="DO61" s="12">
        <f>IF('Données projet'!$A$166&gt;35,DO60+DN61-DW60,IF(A61&lt;'Données projet'!$A$166,$DL$205^A61,IF(A61='Données projet'!$A$166,'Données projet'!$B$166,DO60+DN61-DW60)))</f>
        <v>208.47750000000002</v>
      </c>
      <c r="DP61" s="17">
        <f>DO61*VLOOKUP('Données projet'!$B$14,Paramètres!$A$1:$I$89,3,0)*VLOOKUP('Données projet'!$B$14,Paramètres!$A$1:$I$89,5,0)</f>
        <v>198.38718900000001</v>
      </c>
      <c r="DQ61" s="13">
        <f t="shared" si="43"/>
        <v>49.389553829247454</v>
      </c>
      <c r="DR61" s="20">
        <f t="shared" si="16"/>
        <v>431.5444937609393</v>
      </c>
      <c r="DS61" s="59">
        <f t="shared" si="17"/>
        <v>717.90158031999727</v>
      </c>
      <c r="DT61" s="59">
        <f ca="1">AVERAGE(OFFSET($DS$3,0,0,'Données projet'!$E$14+1,1))-AVERAGE(OFFSET($H$3,0,0,'Données projet'!$E$14+1,1))</f>
        <v>502.4879901989737</v>
      </c>
      <c r="DU61" s="59">
        <f t="shared" si="44"/>
        <v>226.06453328626355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43.537136223418862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43.537136223418862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-5.6843418860808015E-14</v>
      </c>
      <c r="EK61" s="17">
        <f>EJ61*VLOOKUP('Données projet'!$B$15,Paramètres!$A$1:$I$89,3,0)*VLOOKUP('Données projet'!$B$15,Paramètres!$A$1:$I$89,5,0)</f>
        <v>-3.2543994166189806E-14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192.76157155207764</v>
      </c>
      <c r="EP61" s="59">
        <f t="shared" si="46"/>
        <v>413.66427458788348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42.743289789737439</v>
      </c>
      <c r="EW61" s="21">
        <f>EXP(-LN(2)/25)*EW60+(1-EXP(-LN(2)/25))/(LN(2)/25)*Calculateur!ER61*Calculateur!ET61*VLOOKUP('Données projet'!$B$15,Paramètres!$A$1:$I$89,3,0)*0.475*44/12</f>
        <v>8.5931052243530495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51.336395014090485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68.09738724337943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1.05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3.85</v>
      </c>
      <c r="H62" s="66">
        <f t="shared" si="1"/>
        <v>241.26666666666665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217.3</v>
      </c>
      <c r="L62" s="12">
        <f>VLOOKUP(A62,'Données projet'!$A$35:$I$55,9,0)</f>
        <v>8.8225000000000016</v>
      </c>
      <c r="M62" s="12">
        <f t="array" ref="M62">INDEX(L:L,MIN(IF(ISNUMBER(L62:L258),ROW(L62:L258),"")))</f>
        <v>8.8225000000000016</v>
      </c>
      <c r="N62" s="13">
        <f>IF('Données projet'!$A$36&gt;35,N61+M62-V61,IF(A62&lt;'Données projet'!$A$36,$K$205^A62,IF(A62='Données projet'!$A$36,'Données projet'!$B$36,N61+M62-V61)))</f>
        <v>217.3</v>
      </c>
      <c r="O62" s="13">
        <f>N62*VLOOKUP('Données projet'!$B$9,Paramètres!$A$1:$I$89,3,0)*VLOOKUP('Données projet'!$B$9,Paramètres!$A$1:$I$89,5,0)</f>
        <v>196.61303999999998</v>
      </c>
      <c r="P62" s="13">
        <f t="shared" si="33"/>
        <v>48.999078128589645</v>
      </c>
      <c r="Q62" s="20">
        <f t="shared" si="53"/>
        <v>427.77443907396031</v>
      </c>
      <c r="R62" s="59">
        <f t="shared" si="0"/>
        <v>714.25254791800057</v>
      </c>
      <c r="S62" s="59">
        <f ca="1">AVERAGE(OFFSET($R$3,0,0,'Données projet'!$E$9+1,1))-AVERAGE(OFFSET($H$3,0,0,'Données projet'!$E$9+1,1))</f>
        <v>480.34707165277229</v>
      </c>
      <c r="T62" s="59">
        <f t="shared" si="34"/>
        <v>217.17128038304531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48.96</v>
      </c>
      <c r="W62" s="16">
        <f>IF(ISNA(VLOOKUP(A62,'Données projet'!$A$35:$I$55,5,0)),0%,VLOOKUP(A62,'Données projet'!$A$35:$I$55,5,0)*VLOOKUP('Données projet'!$B$9,Paramètres!$A$1:$I$89,7,0))</f>
        <v>0.43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61.641849663594456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61.641849663594456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266.0100000000001</v>
      </c>
      <c r="AJ62" s="13">
        <f>AI62*VLOOKUP('Données projet'!$B$10,Paramètres!$A$1:$I$89,3,0)*VLOOKUP('Données projet'!$B$10,Paramètres!$A$1:$I$89,5,0)</f>
        <v>269.73414000000014</v>
      </c>
      <c r="AK62" s="13">
        <f t="shared" si="35"/>
        <v>64.792843851376162</v>
      </c>
      <c r="AL62" s="20">
        <f t="shared" si="4"/>
        <v>582.63449687448042</v>
      </c>
      <c r="AM62" s="59">
        <f t="shared" si="5"/>
        <v>869.11260571852074</v>
      </c>
      <c r="AN62" s="59">
        <f ca="1">AVERAGE(OFFSET($AM$3,0,0,'Données projet'!$E$10+1,1))-AVERAGE(OFFSET($H$3,0,0,'Données projet'!$E$10+1,1))</f>
        <v>596.64394969449609</v>
      </c>
      <c r="AO62" s="59">
        <f t="shared" si="36"/>
        <v>312.55704723516362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86.477623234879673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86.477623234879673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702.99719573636173</v>
      </c>
      <c r="BI62" s="59">
        <f ca="1">AVERAGE(OFFSET($BH$3,0,0,'Données projet'!$E$11+1,1))-AVERAGE(OFFSET($H$3,0,0,'Données projet'!$E$11+1,1))</f>
        <v>360.53625471540249</v>
      </c>
      <c r="BJ62" s="59">
        <f t="shared" si="38"/>
        <v>326.66299410556076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40.012452841479792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40.012452841479792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782.91300375731225</v>
      </c>
      <c r="CD62" s="59">
        <f ca="1">AVERAGE(OFFSET($CC$3,0,0,'Données projet'!$E$12+1,1))-AVERAGE(OFFSET($H$3,0,0,'Données projet'!$E$12+1,1))</f>
        <v>358.39045200457502</v>
      </c>
      <c r="CE62" s="59">
        <f t="shared" si="40"/>
        <v>349.48764057925109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44.121196246956906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44.121196246956906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6.0096153846153868</v>
      </c>
      <c r="CT62" s="12">
        <f>IF('Données projet'!$A$140&gt;35,CT61+CS62-DB61,IF(A62&lt;'Données projet'!$A$140,$CQ$205^A62,IF(A62='Données projet'!$A$140,'Données projet'!$B$140,CT61+CS62-DB61)))</f>
        <v>184.375</v>
      </c>
      <c r="CU62" s="17">
        <f>CT62*VLOOKUP('Données projet'!$B$13,Paramètres!$A$1:$I$89,3,0)*VLOOKUP('Données projet'!$B$13,Paramètres!$A$1:$I$89,5,0)</f>
        <v>143.8125</v>
      </c>
      <c r="CV62" s="13">
        <f t="shared" si="41"/>
        <v>37.169025291790518</v>
      </c>
      <c r="CW62" s="20">
        <f t="shared" si="13"/>
        <v>315.2094898832018</v>
      </c>
      <c r="CX62" s="59">
        <f t="shared" si="14"/>
        <v>601.68759872724218</v>
      </c>
      <c r="CY62" s="59">
        <f ca="1">AVERAGE(OFFSET($CX$3,0,0,'Données projet'!$E$13+1,1))-AVERAGE(OFFSET($H$3,0,0,'Données projet'!$E$13+1,1))</f>
        <v>201.71903756761543</v>
      </c>
      <c r="CZ62" s="59">
        <f t="shared" si="42"/>
        <v>200.66422845182711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27.973832219165615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27.973832219165615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217.3</v>
      </c>
      <c r="DM62" s="12">
        <f>VLOOKUP(A62,'Données projet'!$A$165:$I$185,9,0)</f>
        <v>8.8225000000000016</v>
      </c>
      <c r="DN62" s="12">
        <f t="array" ref="DN62">INDEX(DM:DM,MIN(IF(ISNUMBER(DM62:DM258),ROW(DM62:DM258),"")))</f>
        <v>8.8225000000000016</v>
      </c>
      <c r="DO62" s="12">
        <f>IF('Données projet'!$A$166&gt;35,DO61+DN62-DW61,IF(A62&lt;'Données projet'!$A$166,$DL$205^A62,IF(A62='Données projet'!$A$166,'Données projet'!$B$166,DO61+DN62-DW61)))</f>
        <v>217.3</v>
      </c>
      <c r="DP62" s="17">
        <f>DO62*VLOOKUP('Données projet'!$B$14,Paramètres!$A$1:$I$89,3,0)*VLOOKUP('Données projet'!$B$14,Paramètres!$A$1:$I$89,5,0)</f>
        <v>206.78268</v>
      </c>
      <c r="DQ62" s="13">
        <f t="shared" si="43"/>
        <v>51.231889835017043</v>
      </c>
      <c r="DR62" s="20">
        <f t="shared" si="16"/>
        <v>449.37537579598796</v>
      </c>
      <c r="DS62" s="59">
        <f t="shared" si="17"/>
        <v>735.85348464002823</v>
      </c>
      <c r="DT62" s="59">
        <f ca="1">AVERAGE(OFFSET($DS$3,0,0,'Données projet'!$E$14+1,1))-AVERAGE(OFFSET($H$3,0,0,'Données projet'!$E$14+1,1))</f>
        <v>502.4879901989737</v>
      </c>
      <c r="DU62" s="59">
        <f t="shared" si="44"/>
        <v>226.06453328626355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48.96</v>
      </c>
      <c r="DX62" s="16">
        <f>IF(ISNA(VLOOKUP(A62,'Données projet'!$A$165:$I$185,5,0)),0%,VLOOKUP(A62,'Données projet'!$A$165:$I$185,5,0)*VLOOKUP('Données projet'!$B$14,Paramètres!$A$1:$I$89,7,0))</f>
        <v>0.43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64.83022119791832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64.83022119791832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-5.6843418860808015E-14</v>
      </c>
      <c r="EK62" s="17">
        <f>EJ62*VLOOKUP('Données projet'!$B$15,Paramètres!$A$1:$I$89,3,0)*VLOOKUP('Données projet'!$B$15,Paramètres!$A$1:$I$89,5,0)</f>
        <v>-3.2543994166189806E-14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192.76157155207764</v>
      </c>
      <c r="EP62" s="59">
        <f t="shared" si="46"/>
        <v>413.66427458788348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41.905119947793182</v>
      </c>
      <c r="EW62" s="21">
        <f>EXP(-LN(2)/25)*EW61+(1-EXP(-LN(2)/25))/(LN(2)/25)*Calculateur!ER62*Calculateur!ET62*VLOOKUP('Données projet'!$B$15,Paramètres!$A$1:$I$89,3,0)*0.475*44/12</f>
        <v>8.3581263101013512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50.263246257894536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68.130393321101906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1.05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3.85</v>
      </c>
      <c r="H63" s="66">
        <f t="shared" si="1"/>
        <v>241.26666666666665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8.0925000000000011</v>
      </c>
      <c r="N63" s="13">
        <f>IF('Données projet'!$A$36&gt;35,N62+M63-V62,IF(A63&lt;'Données projet'!$A$36,$K$205^A63,IF(A63='Données projet'!$A$36,'Données projet'!$B$36,N62+M63-V62)))</f>
        <v>176.4325</v>
      </c>
      <c r="O63" s="13">
        <f>N63*VLOOKUP('Données projet'!$B$9,Paramètres!$A$1:$I$89,3,0)*VLOOKUP('Données projet'!$B$9,Paramètres!$A$1:$I$89,5,0)</f>
        <v>159.63612599999999</v>
      </c>
      <c r="P63" s="13">
        <f t="shared" si="33"/>
        <v>40.760431738010503</v>
      </c>
      <c r="Q63" s="20">
        <f t="shared" si="53"/>
        <v>349.02400472703494</v>
      </c>
      <c r="R63" s="59">
        <f t="shared" si="0"/>
        <v>635.6210363899786</v>
      </c>
      <c r="S63" s="59">
        <f ca="1">AVERAGE(OFFSET($R$3,0,0,'Données projet'!$E$9+1,1))-AVERAGE(OFFSET($H$3,0,0,'Données projet'!$E$9+1,1))</f>
        <v>480.34707165277229</v>
      </c>
      <c r="T63" s="59">
        <f t="shared" si="34"/>
        <v>217.17128038304531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60.433090589507188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60.433090589507188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277.65500000000009</v>
      </c>
      <c r="AJ63" s="13">
        <f>AI63*VLOOKUP('Données projet'!$B$10,Paramètres!$A$1:$I$89,3,0)*VLOOKUP('Données projet'!$B$10,Paramètres!$A$1:$I$89,5,0)</f>
        <v>281.54217000000011</v>
      </c>
      <c r="AK63" s="13">
        <f t="shared" si="35"/>
        <v>67.292809478605577</v>
      </c>
      <c r="AL63" s="20">
        <f t="shared" si="4"/>
        <v>607.55425592523818</v>
      </c>
      <c r="AM63" s="59">
        <f t="shared" si="5"/>
        <v>894.15128758818173</v>
      </c>
      <c r="AN63" s="59">
        <f ca="1">AVERAGE(OFFSET($AM$3,0,0,'Données projet'!$E$10+1,1))-AVERAGE(OFFSET($H$3,0,0,'Données projet'!$E$10+1,1))</f>
        <v>596.64394969449609</v>
      </c>
      <c r="AO63" s="59">
        <f t="shared" si="36"/>
        <v>312.55704723516362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84.781849789385603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84.781849789385603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714.25875012690858</v>
      </c>
      <c r="BI63" s="59">
        <f ca="1">AVERAGE(OFFSET($BH$3,0,0,'Données projet'!$E$11+1,1))-AVERAGE(OFFSET($H$3,0,0,'Données projet'!$E$11+1,1))</f>
        <v>360.53625471540249</v>
      </c>
      <c r="BJ63" s="59">
        <f t="shared" si="38"/>
        <v>326.66299410556076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47.948455526191459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47.948455526191459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793.47934441063239</v>
      </c>
      <c r="CD63" s="59">
        <f ca="1">AVERAGE(OFFSET($CC$3,0,0,'Données projet'!$E$12+1,1))-AVERAGE(OFFSET($H$3,0,0,'Données projet'!$E$12+1,1))</f>
        <v>358.39045200457502</v>
      </c>
      <c r="CE63" s="59">
        <f t="shared" si="40"/>
        <v>349.48764057925109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49.781987275783123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49.781987275783123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190.38461538461539</v>
      </c>
      <c r="CR63" s="12">
        <f>VLOOKUP(A63,'Données projet'!$A$139:$I$159,9,0)</f>
        <v>6.0096153846153868</v>
      </c>
      <c r="CS63" s="12">
        <f t="array" ref="CS63">INDEX(CR:CR,MIN(IF(ISNUMBER(CR63:CR259),ROW(CR63:CR259),"")))</f>
        <v>6.0096153846153868</v>
      </c>
      <c r="CT63" s="12">
        <f>IF('Données projet'!$A$140&gt;35,CT62+CS63-DB62,IF(A63&lt;'Données projet'!$A$140,$CQ$205^A63,IF(A63='Données projet'!$A$140,'Données projet'!$B$140,CT62+CS63-DB62)))</f>
        <v>190.38461538461539</v>
      </c>
      <c r="CU63" s="17">
        <f>CT63*VLOOKUP('Données projet'!$B$13,Paramètres!$A$1:$I$89,3,0)*VLOOKUP('Données projet'!$B$13,Paramètres!$A$1:$I$89,5,0)</f>
        <v>148.5</v>
      </c>
      <c r="CV63" s="13">
        <f t="shared" si="41"/>
        <v>38.237506103710217</v>
      </c>
      <c r="CW63" s="20">
        <f t="shared" si="13"/>
        <v>325.23448979729528</v>
      </c>
      <c r="CX63" s="59">
        <f t="shared" si="14"/>
        <v>611.83152146023895</v>
      </c>
      <c r="CY63" s="59">
        <f ca="1">AVERAGE(OFFSET($CX$3,0,0,'Données projet'!$E$13+1,1))-AVERAGE(OFFSET($H$3,0,0,'Données projet'!$E$13+1,1))</f>
        <v>201.71903756761543</v>
      </c>
      <c r="CZ63" s="59">
        <f t="shared" si="42"/>
        <v>200.66422845182711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30.128205128205128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38.596060616881118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38.596060616881118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8.0925000000000011</v>
      </c>
      <c r="DO63" s="12">
        <f>IF('Données projet'!$A$166&gt;35,DO62+DN63-DW62,IF(A63&lt;'Données projet'!$A$166,$DL$205^A63,IF(A63='Données projet'!$A$166,'Données projet'!$B$166,DO62+DN63-DW62)))</f>
        <v>176.4325</v>
      </c>
      <c r="DP63" s="17">
        <f>DO63*VLOOKUP('Données projet'!$B$14,Paramètres!$A$1:$I$89,3,0)*VLOOKUP('Données projet'!$B$14,Paramètres!$A$1:$I$89,5,0)</f>
        <v>167.89316700000001</v>
      </c>
      <c r="DQ63" s="13">
        <f t="shared" si="43"/>
        <v>42.617821154701673</v>
      </c>
      <c r="DR63" s="20">
        <f t="shared" si="16"/>
        <v>366.63997103610541</v>
      </c>
      <c r="DS63" s="59">
        <f t="shared" si="17"/>
        <v>653.23700269904907</v>
      </c>
      <c r="DT63" s="59">
        <f ca="1">AVERAGE(OFFSET($DS$3,0,0,'Données projet'!$E$14+1,1))-AVERAGE(OFFSET($H$3,0,0,'Données projet'!$E$14+1,1))</f>
        <v>502.4879901989737</v>
      </c>
      <c r="DU63" s="59">
        <f t="shared" si="44"/>
        <v>226.06453328626355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63.558940102757575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63.558940102757575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-5.6843418860808015E-14</v>
      </c>
      <c r="EK63" s="17">
        <f>EJ63*VLOOKUP('Données projet'!$B$15,Paramètres!$A$1:$I$89,3,0)*VLOOKUP('Données projet'!$B$15,Paramètres!$A$1:$I$89,5,0)</f>
        <v>-3.2543994166189806E-14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192.76157155207764</v>
      </c>
      <c r="EP63" s="59">
        <f t="shared" si="46"/>
        <v>413.66427458788348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41.083386105216327</v>
      </c>
      <c r="EW63" s="21">
        <f>EXP(-LN(2)/25)*EW62+(1-EXP(-LN(2)/25))/(LN(2)/25)*Calculateur!ER63*Calculateur!ET63*VLOOKUP('Données projet'!$B$15,Paramètres!$A$1:$I$89,3,0)*0.475*44/12</f>
        <v>8.12957290661687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49.212959011833199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68.162826817166433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1.05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3.85</v>
      </c>
      <c r="H64" s="66">
        <f t="shared" si="1"/>
        <v>241.26666666666665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8.0925000000000011</v>
      </c>
      <c r="N64" s="13">
        <f>IF('Données projet'!$A$36&gt;35,N63+M64-V63,IF(A64&lt;'Données projet'!$A$36,$K$205^A64,IF(A64='Données projet'!$A$36,'Données projet'!$B$36,N63+M64-V63)))</f>
        <v>184.52500000000001</v>
      </c>
      <c r="O64" s="13">
        <f>N64*VLOOKUP('Données projet'!$B$9,Paramètres!$A$1:$I$89,3,0)*VLOOKUP('Données projet'!$B$9,Paramètres!$A$1:$I$89,5,0)</f>
        <v>166.95821999999998</v>
      </c>
      <c r="P64" s="13">
        <f t="shared" si="33"/>
        <v>42.408051847144591</v>
      </c>
      <c r="Q64" s="20">
        <f t="shared" si="53"/>
        <v>364.64625680044338</v>
      </c>
      <c r="R64" s="59">
        <f t="shared" si="0"/>
        <v>651.36014823725384</v>
      </c>
      <c r="S64" s="59">
        <f ca="1">AVERAGE(OFFSET($R$3,0,0,'Données projet'!$E$9+1,1))-AVERAGE(OFFSET($H$3,0,0,'Données projet'!$E$9+1,1))</f>
        <v>480.34707165277229</v>
      </c>
      <c r="T64" s="59">
        <f t="shared" si="34"/>
        <v>217.17128038304531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59.248034543592532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59.248034543592532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289.30000000000007</v>
      </c>
      <c r="AJ64" s="13">
        <f>AI64*VLOOKUP('Données projet'!$B$10,Paramètres!$A$1:$I$89,3,0)*VLOOKUP('Données projet'!$B$10,Paramètres!$A$1:$I$89,5,0)</f>
        <v>293.35020000000009</v>
      </c>
      <c r="AK64" s="13">
        <f t="shared" si="35"/>
        <v>69.780596548704324</v>
      </c>
      <c r="AL64" s="20">
        <f t="shared" si="4"/>
        <v>632.45280398899365</v>
      </c>
      <c r="AM64" s="59">
        <f t="shared" si="5"/>
        <v>919.16669542580416</v>
      </c>
      <c r="AN64" s="59">
        <f ca="1">AVERAGE(OFFSET($AM$3,0,0,'Données projet'!$E$10+1,1))-AVERAGE(OFFSET($H$3,0,0,'Données projet'!$E$10+1,1))</f>
        <v>596.64394969449609</v>
      </c>
      <c r="AO64" s="59">
        <f t="shared" si="36"/>
        <v>312.55704723516362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83.119329426838007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83.119329426838007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685.76317995572174</v>
      </c>
      <c r="BI64" s="59">
        <f ca="1">AVERAGE(OFFSET($BH$3,0,0,'Données projet'!$E$11+1,1))-AVERAGE(OFFSET($H$3,0,0,'Données projet'!$E$11+1,1))</f>
        <v>360.53625471540249</v>
      </c>
      <c r="BJ64" s="59">
        <f t="shared" si="38"/>
        <v>326.66299410556076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47.008215558992944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47.008215558992944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778.76623048985084</v>
      </c>
      <c r="CD64" s="59">
        <f ca="1">AVERAGE(OFFSET($CC$3,0,0,'Données projet'!$E$12+1,1))-AVERAGE(OFFSET($H$3,0,0,'Données projet'!$E$12+1,1))</f>
        <v>358.39045200457502</v>
      </c>
      <c r="CE64" s="59">
        <f t="shared" si="40"/>
        <v>349.48764057925109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48.805792869319056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48.805792869319056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5.5555555555555554</v>
      </c>
      <c r="CT64" s="12">
        <f>IF('Données projet'!$A$140&gt;35,CT63+CS64-DB63,IF(A64&lt;'Données projet'!$A$140,$CQ$205^A64,IF(A64='Données projet'!$A$140,'Données projet'!$B$140,CT63+CS64-DB63)))</f>
        <v>165.81196581196579</v>
      </c>
      <c r="CU64" s="17">
        <f>CT64*VLOOKUP('Données projet'!$B$13,Paramètres!$A$1:$I$89,3,0)*VLOOKUP('Données projet'!$B$13,Paramètres!$A$1:$I$89,5,0)</f>
        <v>129.33333333333331</v>
      </c>
      <c r="CV64" s="13">
        <f t="shared" si="41"/>
        <v>33.84226617438533</v>
      </c>
      <c r="CW64" s="20">
        <f t="shared" si="13"/>
        <v>284.19750247594328</v>
      </c>
      <c r="CX64" s="59">
        <f t="shared" si="14"/>
        <v>570.91139391275374</v>
      </c>
      <c r="CY64" s="59">
        <f ca="1">AVERAGE(OFFSET($CX$3,0,0,'Données projet'!$E$13+1,1))-AVERAGE(OFFSET($H$3,0,0,'Données projet'!$E$13+1,1))</f>
        <v>201.71903756761543</v>
      </c>
      <c r="CZ64" s="59">
        <f t="shared" si="42"/>
        <v>200.66422845182711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37.83921540945655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37.83921540945655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8.0925000000000011</v>
      </c>
      <c r="DO64" s="12">
        <f>IF('Données projet'!$A$166&gt;35,DO63+DN64-DW63,IF(A64&lt;'Données projet'!$A$166,$DL$205^A64,IF(A64='Données projet'!$A$166,'Données projet'!$B$166,DO63+DN64-DW63)))</f>
        <v>184.52500000000001</v>
      </c>
      <c r="DP64" s="17">
        <f>DO64*VLOOKUP('Données projet'!$B$14,Paramètres!$A$1:$I$89,3,0)*VLOOKUP('Données projet'!$B$14,Paramètres!$A$1:$I$89,5,0)</f>
        <v>175.59398999999999</v>
      </c>
      <c r="DQ64" s="13">
        <f t="shared" si="43"/>
        <v>44.34052074712244</v>
      </c>
      <c r="DR64" s="20">
        <f t="shared" si="16"/>
        <v>383.05260621790489</v>
      </c>
      <c r="DS64" s="59">
        <f t="shared" si="17"/>
        <v>669.76649765471529</v>
      </c>
      <c r="DT64" s="59">
        <f ca="1">AVERAGE(OFFSET($DS$3,0,0,'Données projet'!$E$14+1,1))-AVERAGE(OFFSET($H$3,0,0,'Données projet'!$E$14+1,1))</f>
        <v>502.4879901989737</v>
      </c>
      <c r="DU64" s="59">
        <f t="shared" si="44"/>
        <v>226.06453328626355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62.312588054468023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62.312588054468023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-5.6843418860808015E-14</v>
      </c>
      <c r="EK64" s="17">
        <f>EJ64*VLOOKUP('Données projet'!$B$15,Paramètres!$A$1:$I$89,3,0)*VLOOKUP('Données projet'!$B$15,Paramètres!$A$1:$I$89,5,0)</f>
        <v>-3.2543994166189806E-14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192.76157155207764</v>
      </c>
      <c r="EP64" s="59">
        <f t="shared" si="46"/>
        <v>413.66427458788348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40.277765962084246</v>
      </c>
      <c r="EW64" s="21">
        <f>EXP(-LN(2)/25)*EW63+(1-EXP(-LN(2)/25))/(LN(2)/25)*Calculateur!ER64*Calculateur!ET64*VLOOKUP('Données projet'!$B$15,Paramètres!$A$1:$I$89,3,0)*0.475*44/12</f>
        <v>7.9072693079697727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48.185035270054016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68.19469766458468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1.05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3.85</v>
      </c>
      <c r="H65" s="66">
        <f t="shared" si="1"/>
        <v>241.26666666666665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8.0925000000000011</v>
      </c>
      <c r="N65" s="13">
        <f>IF('Données projet'!$A$36&gt;35,N64+M65-V64,IF(A65&lt;'Données projet'!$A$36,$K$205^A65,IF(A65='Données projet'!$A$36,'Données projet'!$B$36,N64+M65-V64)))</f>
        <v>192.61750000000001</v>
      </c>
      <c r="O65" s="13">
        <f>N65*VLOOKUP('Données projet'!$B$9,Paramètres!$A$1:$I$89,3,0)*VLOOKUP('Données projet'!$B$9,Paramètres!$A$1:$I$89,5,0)</f>
        <v>174.280314</v>
      </c>
      <c r="P65" s="13">
        <f t="shared" si="33"/>
        <v>44.047279741928541</v>
      </c>
      <c r="Q65" s="20">
        <f t="shared" si="53"/>
        <v>380.25389243385894</v>
      </c>
      <c r="R65" s="59">
        <f t="shared" si="0"/>
        <v>667.08261638871909</v>
      </c>
      <c r="S65" s="59">
        <f ca="1">AVERAGE(OFFSET($R$3,0,0,'Données projet'!$E$9+1,1))-AVERAGE(OFFSET($H$3,0,0,'Données projet'!$E$9+1,1))</f>
        <v>480.34707165277229</v>
      </c>
      <c r="T65" s="59">
        <f t="shared" si="34"/>
        <v>217.17128038304531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58.086216723925446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58.086216723925446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300.94500000000005</v>
      </c>
      <c r="AJ65" s="13">
        <f>AI65*VLOOKUP('Données projet'!$B$10,Paramètres!$A$1:$I$89,3,0)*VLOOKUP('Données projet'!$B$10,Paramètres!$A$1:$I$89,5,0)</f>
        <v>305.15823000000006</v>
      </c>
      <c r="AK65" s="13">
        <f t="shared" si="35"/>
        <v>72.256751358648415</v>
      </c>
      <c r="AL65" s="20">
        <f t="shared" si="4"/>
        <v>657.33109253297937</v>
      </c>
      <c r="AM65" s="59">
        <f t="shared" si="5"/>
        <v>944.15981648783952</v>
      </c>
      <c r="AN65" s="59">
        <f ca="1">AVERAGE(OFFSET($AM$3,0,0,'Données projet'!$E$10+1,1))-AVERAGE(OFFSET($H$3,0,0,'Données projet'!$E$10+1,1))</f>
        <v>596.64394969449609</v>
      </c>
      <c r="AO65" s="59">
        <f t="shared" si="36"/>
        <v>312.55704723516362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81.48941007456267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81.48941007456267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696.28749649066049</v>
      </c>
      <c r="BI65" s="59">
        <f ca="1">AVERAGE(OFFSET($BH$3,0,0,'Données projet'!$E$11+1,1))-AVERAGE(OFFSET($H$3,0,0,'Données projet'!$E$11+1,1))</f>
        <v>360.53625471540249</v>
      </c>
      <c r="BJ65" s="59">
        <f t="shared" si="38"/>
        <v>326.66299410556076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46.086413124061444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46.086413124061444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787.64535512371549</v>
      </c>
      <c r="CD65" s="59">
        <f ca="1">AVERAGE(OFFSET($CC$3,0,0,'Données projet'!$E$12+1,1))-AVERAGE(OFFSET($H$3,0,0,'Données projet'!$E$12+1,1))</f>
        <v>358.39045200457502</v>
      </c>
      <c r="CE65" s="59">
        <f t="shared" si="40"/>
        <v>349.48764057925109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47.848741039745953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47.848741039745953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5.5555555555555554</v>
      </c>
      <c r="CT65" s="12">
        <f>IF('Données projet'!$A$140&gt;35,CT64+CS65-DB64,IF(A65&lt;'Données projet'!$A$140,$CQ$205^A65,IF(A65='Données projet'!$A$140,'Données projet'!$B$140,CT64+CS65-DB64)))</f>
        <v>171.36752136752133</v>
      </c>
      <c r="CU65" s="17">
        <f>CT65*VLOOKUP('Données projet'!$B$13,Paramètres!$A$1:$I$89,3,0)*VLOOKUP('Données projet'!$B$13,Paramètres!$A$1:$I$89,5,0)</f>
        <v>133.66666666666666</v>
      </c>
      <c r="CV65" s="13">
        <f t="shared" si="41"/>
        <v>34.842241918705284</v>
      </c>
      <c r="CW65" s="20">
        <f t="shared" si="13"/>
        <v>293.4863491195228</v>
      </c>
      <c r="CX65" s="59">
        <f t="shared" si="14"/>
        <v>580.31507307438301</v>
      </c>
      <c r="CY65" s="59">
        <f ca="1">AVERAGE(OFFSET($CX$3,0,0,'Données projet'!$E$13+1,1))-AVERAGE(OFFSET($H$3,0,0,'Données projet'!$E$13+1,1))</f>
        <v>201.71903756761543</v>
      </c>
      <c r="CZ65" s="59">
        <f t="shared" si="42"/>
        <v>200.66422845182711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37.097211474919582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37.097211474919582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8.0925000000000011</v>
      </c>
      <c r="DO65" s="12">
        <f>IF('Données projet'!$A$166&gt;35,DO64+DN65-DW64,IF(A65&lt;'Données projet'!$A$166,$DL$205^A65,IF(A65='Données projet'!$A$166,'Données projet'!$B$166,DO64+DN65-DW64)))</f>
        <v>192.61750000000001</v>
      </c>
      <c r="DP65" s="17">
        <f>DO65*VLOOKUP('Données projet'!$B$14,Paramètres!$A$1:$I$89,3,0)*VLOOKUP('Données projet'!$B$14,Paramètres!$A$1:$I$89,5,0)</f>
        <v>183.294813</v>
      </c>
      <c r="DQ65" s="13">
        <f t="shared" si="43"/>
        <v>46.054445705050568</v>
      </c>
      <c r="DR65" s="20">
        <f t="shared" si="16"/>
        <v>399.44995891129639</v>
      </c>
      <c r="DS65" s="59">
        <f t="shared" si="17"/>
        <v>686.27868286615649</v>
      </c>
      <c r="DT65" s="59">
        <f ca="1">AVERAGE(OFFSET($DS$3,0,0,'Données projet'!$E$14+1,1))-AVERAGE(OFFSET($H$3,0,0,'Données projet'!$E$14+1,1))</f>
        <v>502.4879901989737</v>
      </c>
      <c r="DU65" s="59">
        <f t="shared" si="44"/>
        <v>226.06453328626355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61.090676209645743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61.090676209645743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-5.6843418860808015E-14</v>
      </c>
      <c r="EK65" s="17">
        <f>EJ65*VLOOKUP('Données projet'!$B$15,Paramètres!$A$1:$I$89,3,0)*VLOOKUP('Données projet'!$B$15,Paramètres!$A$1:$I$89,5,0)</f>
        <v>-3.2543994166189806E-14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192.76157155207764</v>
      </c>
      <c r="EP65" s="59">
        <f t="shared" si="46"/>
        <v>413.66427458788348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39.487943538579216</v>
      </c>
      <c r="EW65" s="21">
        <f>EXP(-LN(2)/25)*EW64+(1-EXP(-LN(2)/25))/(LN(2)/25)*Calculateur!ER65*Calculateur!ET65*VLOOKUP('Données projet'!$B$15,Paramètres!$A$1:$I$89,3,0)*0.475*44/12</f>
        <v>7.6910446129181187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47.178988151497336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68.226015624052764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1.05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3.85</v>
      </c>
      <c r="H66" s="66">
        <f t="shared" si="1"/>
        <v>241.26666666666665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8.0925000000000011</v>
      </c>
      <c r="N66" s="13">
        <f>IF('Données projet'!$A$36&gt;35,N65+M66-V65,IF(A66&lt;'Données projet'!$A$36,$K$205^A66,IF(A66='Données projet'!$A$36,'Données projet'!$B$36,N65+M66-V65)))</f>
        <v>200.71</v>
      </c>
      <c r="O66" s="13">
        <f>N66*VLOOKUP('Données projet'!$B$9,Paramètres!$A$1:$I$89,3,0)*VLOOKUP('Données projet'!$B$9,Paramètres!$A$1:$I$89,5,0)</f>
        <v>181.602408</v>
      </c>
      <c r="P66" s="13">
        <f t="shared" si="33"/>
        <v>45.678508322853858</v>
      </c>
      <c r="Q66" s="20">
        <f t="shared" si="53"/>
        <v>395.84759592897041</v>
      </c>
      <c r="R66" s="59">
        <f t="shared" si="0"/>
        <v>682.78916031441906</v>
      </c>
      <c r="S66" s="59">
        <f ca="1">AVERAGE(OFFSET($R$3,0,0,'Données projet'!$E$9+1,1))-AVERAGE(OFFSET($H$3,0,0,'Données projet'!$E$9+1,1))</f>
        <v>480.34707165277229</v>
      </c>
      <c r="T66" s="59">
        <f t="shared" si="34"/>
        <v>217.17128038304531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56.947181443063137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56.947181443063137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312.59000000000003</v>
      </c>
      <c r="AJ66" s="13">
        <f>AI66*VLOOKUP('Données projet'!$B$10,Paramètres!$A$1:$I$89,3,0)*VLOOKUP('Données projet'!$B$10,Paramètres!$A$1:$I$89,5,0)</f>
        <v>316.96626000000009</v>
      </c>
      <c r="AK66" s="13">
        <f t="shared" si="35"/>
        <v>74.721775533682376</v>
      </c>
      <c r="AL66" s="20">
        <f t="shared" si="4"/>
        <v>682.18999522116349</v>
      </c>
      <c r="AM66" s="59">
        <f t="shared" si="5"/>
        <v>969.1315596066122</v>
      </c>
      <c r="AN66" s="59">
        <f ca="1">AVERAGE(OFFSET($AM$3,0,0,'Données projet'!$E$10+1,1))-AVERAGE(OFFSET($H$3,0,0,'Données projet'!$E$10+1,1))</f>
        <v>596.64394969449609</v>
      </c>
      <c r="AO66" s="59">
        <f t="shared" si="36"/>
        <v>312.55704723516362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106.02106248129212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106.02106248129212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706.80410722420675</v>
      </c>
      <c r="BI66" s="59">
        <f ca="1">AVERAGE(OFFSET($BH$3,0,0,'Données projet'!$E$11+1,1))-AVERAGE(OFFSET($H$3,0,0,'Données projet'!$E$11+1,1))</f>
        <v>360.53625471540249</v>
      </c>
      <c r="BJ66" s="59">
        <f t="shared" si="38"/>
        <v>326.66299410556076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45.182686672634979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45.182686672634979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796.51924185046573</v>
      </c>
      <c r="CD66" s="59">
        <f ca="1">AVERAGE(OFFSET($CC$3,0,0,'Données projet'!$E$12+1,1))-AVERAGE(OFFSET($H$3,0,0,'Données projet'!$E$12+1,1))</f>
        <v>358.39045200457502</v>
      </c>
      <c r="CE66" s="59">
        <f t="shared" si="40"/>
        <v>349.48764057925109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46.910456412806802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46.910456412806802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5.5555555555555554</v>
      </c>
      <c r="CT66" s="12">
        <f>IF('Données projet'!$A$140&gt;35,CT65+CS66-DB65,IF(A66&lt;'Données projet'!$A$140,$CQ$205^A66,IF(A66='Données projet'!$A$140,'Données projet'!$B$140,CT65+CS66-DB65)))</f>
        <v>176.92307692307688</v>
      </c>
      <c r="CU66" s="17">
        <f>CT66*VLOOKUP('Données projet'!$B$13,Paramètres!$A$1:$I$89,3,0)*VLOOKUP('Données projet'!$B$13,Paramètres!$A$1:$I$89,5,0)</f>
        <v>137.99999999999997</v>
      </c>
      <c r="CV66" s="13">
        <f t="shared" si="41"/>
        <v>35.838450602130571</v>
      </c>
      <c r="CW66" s="20">
        <f t="shared" si="13"/>
        <v>302.76863479871071</v>
      </c>
      <c r="CX66" s="59">
        <f t="shared" si="14"/>
        <v>589.71019918415936</v>
      </c>
      <c r="CY66" s="59">
        <f ca="1">AVERAGE(OFFSET($CX$3,0,0,'Données projet'!$E$13+1,1))-AVERAGE(OFFSET($H$3,0,0,'Données projet'!$E$13+1,1))</f>
        <v>201.71903756761543</v>
      </c>
      <c r="CZ66" s="59">
        <f t="shared" si="42"/>
        <v>200.66422845182711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36.369757784961173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36.369757784961173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8.0925000000000011</v>
      </c>
      <c r="DO66" s="12">
        <f>IF('Données projet'!$A$166&gt;35,DO65+DN66-DW65,IF(A66&lt;'Données projet'!$A$166,$DL$205^A66,IF(A66='Données projet'!$A$166,'Données projet'!$B$166,DO65+DN66-DW65)))</f>
        <v>200.71</v>
      </c>
      <c r="DP66" s="17">
        <f>DO66*VLOOKUP('Données projet'!$B$14,Paramètres!$A$1:$I$89,3,0)*VLOOKUP('Données projet'!$B$14,Paramètres!$A$1:$I$89,5,0)</f>
        <v>190.99563599999999</v>
      </c>
      <c r="DQ66" s="13">
        <f t="shared" si="43"/>
        <v>47.760006832841128</v>
      </c>
      <c r="DR66" s="20">
        <f t="shared" si="16"/>
        <v>415.83274460053161</v>
      </c>
      <c r="DS66" s="59">
        <f t="shared" si="17"/>
        <v>702.77430898598027</v>
      </c>
      <c r="DT66" s="59">
        <f ca="1">AVERAGE(OFFSET($DS$3,0,0,'Données projet'!$E$14+1,1))-AVERAGE(OFFSET($H$3,0,0,'Données projet'!$E$14+1,1))</f>
        <v>502.4879901989737</v>
      </c>
      <c r="DU66" s="59">
        <f t="shared" si="44"/>
        <v>226.06453328626355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59.892725310807798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59.892725310807798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-5.6843418860808015E-14</v>
      </c>
      <c r="EK66" s="17">
        <f>EJ66*VLOOKUP('Données projet'!$B$15,Paramètres!$A$1:$I$89,3,0)*VLOOKUP('Données projet'!$B$15,Paramètres!$A$1:$I$89,5,0)</f>
        <v>-3.2543994166189806E-14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192.76157155207764</v>
      </c>
      <c r="EP66" s="59">
        <f t="shared" si="46"/>
        <v>413.66427458788348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38.713609051055016</v>
      </c>
      <c r="EW66" s="21">
        <f>EXP(-LN(2)/25)*EW65+(1-EXP(-LN(2)/25))/(LN(2)/25)*Calculateur!ER66*Calculateur!ET66*VLOOKUP('Données projet'!$B$15,Paramètres!$A$1:$I$89,3,0)*0.475*44/12</f>
        <v>7.480732593523415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46.194341644578429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68.256790286940543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1.05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3.85</v>
      </c>
      <c r="H67" s="66">
        <f t="shared" si="1"/>
        <v>241.26666666666665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8.0925000000000011</v>
      </c>
      <c r="N67" s="13">
        <f>IF('Données projet'!$A$36&gt;35,N66+M67-V66,IF(A67&lt;'Données projet'!$A$36,$K$205^A67,IF(A67='Données projet'!$A$36,'Données projet'!$B$36,N66+M67-V66)))</f>
        <v>208.80250000000001</v>
      </c>
      <c r="O67" s="13">
        <f>N67*VLOOKUP('Données projet'!$B$9,Paramètres!$A$1:$I$89,3,0)*VLOOKUP('Données projet'!$B$9,Paramètres!$A$1:$I$89,5,0)</f>
        <v>188.92450199999999</v>
      </c>
      <c r="P67" s="13">
        <f t="shared" si="33"/>
        <v>47.302097014229012</v>
      </c>
      <c r="Q67" s="20">
        <f t="shared" ref="Q67:Q98" si="54">(O67+P67)*0.475*44/12</f>
        <v>411.42799328311548</v>
      </c>
      <c r="R67" s="59">
        <f t="shared" ref="R67:R130" si="55">Q67+(I67+J67)*44/12</f>
        <v>698.48044056995536</v>
      </c>
      <c r="S67" s="59">
        <f ca="1">AVERAGE(OFFSET($R$3,0,0,'Données projet'!$E$9+1,1))-AVERAGE(OFFSET($H$3,0,0,'Données projet'!$E$9+1,1))</f>
        <v>480.34707165277229</v>
      </c>
      <c r="T67" s="59">
        <f t="shared" si="34"/>
        <v>217.17128038304531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55.830481949315619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55.830481949315619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269.66875000000005</v>
      </c>
      <c r="AJ67" s="13">
        <f>AI67*VLOOKUP('Données projet'!$B$10,Paramètres!$A$1:$I$89,3,0)*VLOOKUP('Données projet'!$B$10,Paramètres!$A$1:$I$89,5,0)</f>
        <v>273.44411250000007</v>
      </c>
      <c r="AK67" s="13">
        <f t="shared" si="35"/>
        <v>65.579656803641214</v>
      </c>
      <c r="AL67" s="20">
        <f t="shared" si="4"/>
        <v>590.46639820384189</v>
      </c>
      <c r="AM67" s="59">
        <f t="shared" si="5"/>
        <v>877.51884549068177</v>
      </c>
      <c r="AN67" s="59">
        <f ca="1">AVERAGE(OFFSET($AM$3,0,0,'Données projet'!$E$10+1,1))-AVERAGE(OFFSET($H$3,0,0,'Données projet'!$E$10+1,1))</f>
        <v>596.64394969449609</v>
      </c>
      <c r="AO67" s="59">
        <f t="shared" si="36"/>
        <v>312.55704723516362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103.94205411249681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103.94205411249681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717.31320829201786</v>
      </c>
      <c r="BI67" s="59">
        <f ca="1">AVERAGE(OFFSET($BH$3,0,0,'Données projet'!$E$11+1,1))-AVERAGE(OFFSET($H$3,0,0,'Données projet'!$E$11+1,1))</f>
        <v>360.53625471540249</v>
      </c>
      <c r="BJ67" s="59">
        <f t="shared" si="38"/>
        <v>326.66299410556076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44.29668174570228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44.29668174570228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805.38798891432907</v>
      </c>
      <c r="CD67" s="59">
        <f ca="1">AVERAGE(OFFSET($CC$3,0,0,'Données projet'!$E$12+1,1))-AVERAGE(OFFSET($H$3,0,0,'Données projet'!$E$12+1,1))</f>
        <v>358.39045200457502</v>
      </c>
      <c r="CE67" s="59">
        <f t="shared" si="40"/>
        <v>349.48764057925109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45.990570975104816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45.990570975104816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5.5555555555555554</v>
      </c>
      <c r="CT67" s="12">
        <f>IF('Données projet'!$A$140&gt;35,CT66+CS67-DB66,IF(A67&lt;'Données projet'!$A$140,$CQ$205^A67,IF(A67='Données projet'!$A$140,'Données projet'!$B$140,CT66+CS67-DB66)))</f>
        <v>182.47863247863242</v>
      </c>
      <c r="CU67" s="17">
        <f>CT67*VLOOKUP('Données projet'!$B$13,Paramètres!$A$1:$I$89,3,0)*VLOOKUP('Données projet'!$B$13,Paramètres!$A$1:$I$89,5,0)</f>
        <v>142.33333333333329</v>
      </c>
      <c r="CV67" s="13">
        <f t="shared" si="41"/>
        <v>36.831024085819266</v>
      </c>
      <c r="CW67" s="20">
        <f t="shared" si="13"/>
        <v>312.04458917169069</v>
      </c>
      <c r="CX67" s="59">
        <f t="shared" si="14"/>
        <v>599.09703645853051</v>
      </c>
      <c r="CY67" s="59">
        <f ca="1">AVERAGE(OFFSET($CX$3,0,0,'Données projet'!$E$13+1,1))-AVERAGE(OFFSET($H$3,0,0,'Données projet'!$E$13+1,1))</f>
        <v>201.71903756761543</v>
      </c>
      <c r="CZ67" s="59">
        <f t="shared" si="42"/>
        <v>200.66422845182711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35.656569018159907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35.656569018159907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8.0925000000000011</v>
      </c>
      <c r="DO67" s="12">
        <f>IF('Données projet'!$A$166&gt;35,DO66+DN67-DW66,IF(A67&lt;'Données projet'!$A$166,$DL$205^A67,IF(A67='Données projet'!$A$166,'Données projet'!$B$166,DO66+DN67-DW66)))</f>
        <v>208.80250000000001</v>
      </c>
      <c r="DP67" s="17">
        <f>DO67*VLOOKUP('Données projet'!$B$14,Paramètres!$A$1:$I$89,3,0)*VLOOKUP('Données projet'!$B$14,Paramètres!$A$1:$I$89,5,0)</f>
        <v>198.696459</v>
      </c>
      <c r="DQ67" s="13">
        <f t="shared" si="43"/>
        <v>49.457579933208876</v>
      </c>
      <c r="DR67" s="20">
        <f t="shared" si="16"/>
        <v>432.2016178086721</v>
      </c>
      <c r="DS67" s="59">
        <f t="shared" si="17"/>
        <v>719.25406509551192</v>
      </c>
      <c r="DT67" s="59">
        <f ca="1">AVERAGE(OFFSET($DS$3,0,0,'Données projet'!$E$14+1,1))-AVERAGE(OFFSET($H$3,0,0,'Données projet'!$E$14+1,1))</f>
        <v>502.4879901989737</v>
      </c>
      <c r="DU67" s="59">
        <f t="shared" si="44"/>
        <v>226.06453328626355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58.718265498418162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58.718265498418162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-5.6843418860808015E-14</v>
      </c>
      <c r="EK67" s="17">
        <f>EJ67*VLOOKUP('Données projet'!$B$15,Paramètres!$A$1:$I$89,3,0)*VLOOKUP('Données projet'!$B$15,Paramètres!$A$1:$I$89,5,0)</f>
        <v>-3.2543994166189806E-14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192.76157155207764</v>
      </c>
      <c r="EP67" s="59">
        <f t="shared" si="46"/>
        <v>413.66427458788348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37.954458790533764</v>
      </c>
      <c r="EW67" s="21">
        <f>EXP(-LN(2)/25)*EW66+(1-EXP(-LN(2)/25))/(LN(2)/25)*Calculateur!ER67*Calculateur!ET67*VLOOKUP('Données projet'!$B$15,Paramètres!$A$1:$I$89,3,0)*0.475*44/12</f>
        <v>7.2761715673588876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45.23063035789265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68.287031078229049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1.05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3.85</v>
      </c>
      <c r="H68" s="66">
        <f t="shared" ref="H68:H131" si="56">(B68+E68+F68)*44/12+(C68+D68)*0.475*44/12</f>
        <v>241.26666666666665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8.0925000000000011</v>
      </c>
      <c r="N68" s="13">
        <f>IF('Données projet'!$A$36&gt;35,N67+M68-V67,IF(A68&lt;'Données projet'!$A$36,$K$205^A68,IF(A68='Données projet'!$A$36,'Données projet'!$B$36,N67+M68-V67)))</f>
        <v>216.89500000000001</v>
      </c>
      <c r="O68" s="13">
        <f>N68*VLOOKUP('Données projet'!$B$9,Paramètres!$A$1:$I$89,3,0)*VLOOKUP('Données projet'!$B$9,Paramètres!$A$1:$I$89,5,0)</f>
        <v>196.24659600000001</v>
      </c>
      <c r="P68" s="13">
        <f t="shared" si="33"/>
        <v>48.918375802544958</v>
      </c>
      <c r="Q68" s="20">
        <f t="shared" si="54"/>
        <v>426.99565922276582</v>
      </c>
      <c r="R68" s="59">
        <f t="shared" si="55"/>
        <v>714.15706584055476</v>
      </c>
      <c r="S68" s="59">
        <f ca="1">AVERAGE(OFFSET($R$3,0,0,'Données projet'!$E$9+1,1))-AVERAGE(OFFSET($H$3,0,0,'Données projet'!$E$9+1,1))</f>
        <v>480.34707165277229</v>
      </c>
      <c r="T68" s="59">
        <f t="shared" si="34"/>
        <v>217.17128038304531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54.735680251521053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54.735680251521053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280.95750000000004</v>
      </c>
      <c r="AJ68" s="13">
        <f>AI68*VLOOKUP('Données projet'!$B$10,Paramètres!$A$1:$I$89,3,0)*VLOOKUP('Données projet'!$B$10,Paramètres!$A$1:$I$89,5,0)</f>
        <v>284.89090500000009</v>
      </c>
      <c r="AK68" s="13">
        <f t="shared" si="35"/>
        <v>67.99955371595675</v>
      </c>
      <c r="AL68" s="20">
        <f t="shared" ref="AL68:AL131" si="58">(AJ68+AK68)*0.475*44/12</f>
        <v>614.61754893029149</v>
      </c>
      <c r="AM68" s="59">
        <f t="shared" ref="AM68:AM131" si="59">AL68+(AD68+AE68)*44/12</f>
        <v>901.77895554808038</v>
      </c>
      <c r="AN68" s="59">
        <f ca="1">AVERAGE(OFFSET($AM$3,0,0,'Données projet'!$E$10+1,1))-AVERAGE(OFFSET($H$3,0,0,'Données projet'!$E$10+1,1))</f>
        <v>596.64394969449609</v>
      </c>
      <c r="AO68" s="59">
        <f t="shared" si="36"/>
        <v>312.55704723516362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101.90381382974368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101.90381382974368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727.814986781377</v>
      </c>
      <c r="BI68" s="59">
        <f ca="1">AVERAGE(OFFSET($BH$3,0,0,'Données projet'!$E$11+1,1))-AVERAGE(OFFSET($H$3,0,0,'Données projet'!$E$11+1,1))</f>
        <v>360.53625471540249</v>
      </c>
      <c r="BJ68" s="59">
        <f t="shared" si="38"/>
        <v>326.66299410556076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51.733405577592961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51.733405577592961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814.25169163196051</v>
      </c>
      <c r="CD68" s="59">
        <f ca="1">AVERAGE(OFFSET($CC$3,0,0,'Données projet'!$E$12+1,1))-AVERAGE(OFFSET($H$3,0,0,'Données projet'!$E$12+1,1))</f>
        <v>358.39045200457502</v>
      </c>
      <c r="CE68" s="59">
        <f t="shared" si="40"/>
        <v>349.48764057925109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51.148563221721147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51.148563221721147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5.5555555555555554</v>
      </c>
      <c r="CT68" s="12">
        <f>IF('Données projet'!$A$140&gt;35,CT67+CS68-DB67,IF(A68&lt;'Données projet'!$A$140,$CQ$205^A68,IF(A68='Données projet'!$A$140,'Données projet'!$B$140,CT67+CS68-DB67)))</f>
        <v>188.03418803418796</v>
      </c>
      <c r="CU68" s="17">
        <f>CT68*VLOOKUP('Données projet'!$B$13,Paramètres!$A$1:$I$89,3,0)*VLOOKUP('Données projet'!$B$13,Paramètres!$A$1:$I$89,5,0)</f>
        <v>146.66666666666663</v>
      </c>
      <c r="CV68" s="13">
        <f t="shared" si="41"/>
        <v>37.82008574568669</v>
      </c>
      <c r="CW68" s="20">
        <f t="shared" ref="CW68:CW131" si="67">(CU68+CV68)*0.475*44/12</f>
        <v>321.31442711818204</v>
      </c>
      <c r="CX68" s="59">
        <f t="shared" ref="CX68:CX131" si="68">CW68+(CO68+CP68)*44/12</f>
        <v>608.47583373597104</v>
      </c>
      <c r="CY68" s="59">
        <f ca="1">AVERAGE(OFFSET($CX$3,0,0,'Données projet'!$E$13+1,1))-AVERAGE(OFFSET($H$3,0,0,'Données projet'!$E$13+1,1))</f>
        <v>201.71903756761543</v>
      </c>
      <c r="CZ68" s="59">
        <f t="shared" si="42"/>
        <v>200.66422845182711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34.957365448073418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34.957365448073418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8.0925000000000011</v>
      </c>
      <c r="DO68" s="12">
        <f>IF('Données projet'!$A$166&gt;35,DO67+DN68-DW67,IF(A68&lt;'Données projet'!$A$166,$DL$205^A68,IF(A68='Données projet'!$A$166,'Données projet'!$B$166,DO67+DN68-DW67)))</f>
        <v>216.89500000000001</v>
      </c>
      <c r="DP68" s="17">
        <f>DO68*VLOOKUP('Données projet'!$B$14,Paramètres!$A$1:$I$89,3,0)*VLOOKUP('Données projet'!$B$14,Paramètres!$A$1:$I$89,5,0)</f>
        <v>206.39728199999999</v>
      </c>
      <c r="DQ68" s="13">
        <f t="shared" si="43"/>
        <v>51.147510029615376</v>
      </c>
      <c r="DR68" s="20">
        <f t="shared" ref="DR68:DR131" si="70">(DP68+DQ68)*0.475*44/12</f>
        <v>448.55717945158</v>
      </c>
      <c r="DS68" s="59">
        <f t="shared" ref="DS68:DS131" si="71">DR68+(DJ68+DK68)*44/12</f>
        <v>735.71858606936894</v>
      </c>
      <c r="DT68" s="59">
        <f ca="1">AVERAGE(OFFSET($DS$3,0,0,'Données projet'!$E$14+1,1))-AVERAGE(OFFSET($H$3,0,0,'Données projet'!$E$14+1,1))</f>
        <v>502.4879901989737</v>
      </c>
      <c r="DU68" s="59">
        <f t="shared" si="44"/>
        <v>226.06453328626355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57.566836126599739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57.566836126599739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-5.6843418860808015E-14</v>
      </c>
      <c r="EK68" s="17">
        <f>EJ68*VLOOKUP('Données projet'!$B$15,Paramètres!$A$1:$I$89,3,0)*VLOOKUP('Données projet'!$B$15,Paramètres!$A$1:$I$89,5,0)</f>
        <v>-3.2543994166189806E-14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192.76157155207764</v>
      </c>
      <c r="EP68" s="59">
        <f t="shared" si="46"/>
        <v>413.66427458788348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37.21019500358539</v>
      </c>
      <c r="EW68" s="21">
        <f>EXP(-LN(2)/25)*EW67+(1-EXP(-LN(2)/25))/(LN(2)/25)*Calculateur!ER68*Calculateur!ET68*VLOOKUP('Données projet'!$B$15,Paramètres!$A$1:$I$89,3,0)*0.475*44/12</f>
        <v>7.0772042732122262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44.287399276797615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68.316747259396976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1.05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3.85</v>
      </c>
      <c r="H69" s="66">
        <f t="shared" si="56"/>
        <v>241.26666666666665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8.0925000000000011</v>
      </c>
      <c r="N69" s="13">
        <f>IF('Données projet'!$A$36&gt;35,N68+M69-V68,IF(A69&lt;'Données projet'!$A$36,$K$205^A69,IF(A69='Données projet'!$A$36,'Données projet'!$B$36,N68+M69-V68)))</f>
        <v>224.98750000000001</v>
      </c>
      <c r="O69" s="13">
        <f>N69*VLOOKUP('Données projet'!$B$9,Paramètres!$A$1:$I$89,3,0)*VLOOKUP('Données projet'!$B$9,Paramètres!$A$1:$I$89,5,0)</f>
        <v>203.56869</v>
      </c>
      <c r="P69" s="13">
        <f t="shared" ref="P69:P132" si="87">EXP(-1.0587+0.8836*LN(O69)+0.284)</f>
        <v>50.527648655199286</v>
      </c>
      <c r="Q69" s="20">
        <f t="shared" si="54"/>
        <v>442.55112315780548</v>
      </c>
      <c r="R69" s="59">
        <f t="shared" si="55"/>
        <v>729.81959890574808</v>
      </c>
      <c r="S69" s="59">
        <f ca="1">AVERAGE(OFFSET($R$3,0,0,'Données projet'!$E$9+1,1))-AVERAGE(OFFSET($H$3,0,0,'Données projet'!$E$9+1,1))</f>
        <v>480.34707165277229</v>
      </c>
      <c r="T69" s="59">
        <f t="shared" ref="T69:T132" si="88">$T$3</f>
        <v>217.17128038304531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53.662346947257134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53.662346947257134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292.24625000000003</v>
      </c>
      <c r="AJ69" s="13">
        <f>AI69*VLOOKUP('Données projet'!$B$10,Paramètres!$A$1:$I$89,3,0)*VLOOKUP('Données projet'!$B$10,Paramètres!$A$1:$I$89,5,0)</f>
        <v>296.33769750000005</v>
      </c>
      <c r="AK69" s="13">
        <f t="shared" ref="AK69:AK132" si="89">EXP(-1.0587+0.8836*LN(AJ69)+0.284)</f>
        <v>70.408156224162596</v>
      </c>
      <c r="AL69" s="20">
        <f t="shared" si="58"/>
        <v>638.74902856958317</v>
      </c>
      <c r="AM69" s="59">
        <f t="shared" si="59"/>
        <v>926.01750431752589</v>
      </c>
      <c r="AN69" s="59">
        <f ca="1">AVERAGE(OFFSET($AM$3,0,0,'Données projet'!$E$10+1,1))-AVERAGE(OFFSET($H$3,0,0,'Données projet'!$E$10+1,1))</f>
        <v>596.64394969449609</v>
      </c>
      <c r="AO69" s="59">
        <f t="shared" ref="AO69:AO132" si="90">$AO$3</f>
        <v>312.55704723516362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99.905542195731527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99.905542195731527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700.0719324859333</v>
      </c>
      <c r="BI69" s="59">
        <f ca="1">AVERAGE(OFFSET($BH$3,0,0,'Données projet'!$E$11+1,1))-AVERAGE(OFFSET($H$3,0,0,'Données projet'!$E$11+1,1))</f>
        <v>360.53625471540249</v>
      </c>
      <c r="BJ69" s="59">
        <f t="shared" ref="BJ69:BJ132" si="92">$BJ$3</f>
        <v>326.66299410556076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50.718945048478041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50.718945048478041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800.21493568870642</v>
      </c>
      <c r="CD69" s="59">
        <f ca="1">AVERAGE(OFFSET($CC$3,0,0,'Données projet'!$E$12+1,1))-AVERAGE(OFFSET($H$3,0,0,'Données projet'!$E$12+1,1))</f>
        <v>358.39045200457502</v>
      </c>
      <c r="CE69" s="59">
        <f t="shared" ref="CE69:CE132" si="94">$CE$3</f>
        <v>349.48764057925109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50.145571094486257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50.145571094486257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5.5555555555555554</v>
      </c>
      <c r="CT69" s="12">
        <f>IF('Données projet'!$A$140&gt;35,CT68+CS69-DB68,IF(A69&lt;'Données projet'!$A$140,$CQ$205^A69,IF(A69='Données projet'!$A$140,'Données projet'!$B$140,CT68+CS69-DB68)))</f>
        <v>193.58974358974351</v>
      </c>
      <c r="CU69" s="17">
        <f>CT69*VLOOKUP('Données projet'!$B$13,Paramètres!$A$1:$I$89,3,0)*VLOOKUP('Données projet'!$B$13,Paramètres!$A$1:$I$89,5,0)</f>
        <v>150.99999999999994</v>
      </c>
      <c r="CV69" s="13">
        <f t="shared" ref="CV69:CV132" si="95">EXP(-1.0587+0.8836*LN(CU69)+0.284)</f>
        <v>38.805751252807752</v>
      </c>
      <c r="CW69" s="20">
        <f t="shared" si="67"/>
        <v>330.57835009864004</v>
      </c>
      <c r="CX69" s="59">
        <f t="shared" si="68"/>
        <v>617.84682584658276</v>
      </c>
      <c r="CY69" s="59">
        <f ca="1">AVERAGE(OFFSET($CX$3,0,0,'Données projet'!$E$13+1,1))-AVERAGE(OFFSET($H$3,0,0,'Données projet'!$E$13+1,1))</f>
        <v>201.71903756761543</v>
      </c>
      <c r="CZ69" s="59">
        <f t="shared" ref="CZ69:CZ132" si="96">$CZ$3</f>
        <v>200.66422845182711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34.271872833524263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34.271872833524263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8.0925000000000011</v>
      </c>
      <c r="DO69" s="12">
        <f>IF('Données projet'!$A$166&gt;35,DO68+DN69-DW68,IF(A69&lt;'Données projet'!$A$166,$DL$205^A69,IF(A69='Données projet'!$A$166,'Données projet'!$B$166,DO68+DN69-DW68)))</f>
        <v>224.98750000000001</v>
      </c>
      <c r="DP69" s="17">
        <f>DO69*VLOOKUP('Données projet'!$B$14,Paramètres!$A$1:$I$89,3,0)*VLOOKUP('Données projet'!$B$14,Paramètres!$A$1:$I$89,5,0)</f>
        <v>214.09810500000003</v>
      </c>
      <c r="DQ69" s="13">
        <f t="shared" ref="DQ69:DQ132" si="97">EXP(-1.0587+0.8836*LN(DP69)+0.284)</f>
        <v>52.83011494077936</v>
      </c>
      <c r="DR69" s="20">
        <f t="shared" si="70"/>
        <v>464.89998306352408</v>
      </c>
      <c r="DS69" s="59">
        <f t="shared" si="71"/>
        <v>752.16845881146673</v>
      </c>
      <c r="DT69" s="59">
        <f ca="1">AVERAGE(OFFSET($DS$3,0,0,'Données projet'!$E$14+1,1))-AVERAGE(OFFSET($H$3,0,0,'Données projet'!$E$14+1,1))</f>
        <v>502.4879901989737</v>
      </c>
      <c r="DU69" s="59">
        <f t="shared" ref="DU69:DU132" si="98">$DU$3</f>
        <v>226.06453328626355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56.437985582460101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56.437985582460101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-5.6843418860808015E-14</v>
      </c>
      <c r="EK69" s="17">
        <f>EJ69*VLOOKUP('Données projet'!$B$15,Paramètres!$A$1:$I$89,3,0)*VLOOKUP('Données projet'!$B$15,Paramètres!$A$1:$I$89,5,0)</f>
        <v>-3.2543994166189806E-14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192.76157155207764</v>
      </c>
      <c r="EP69" s="59">
        <f t="shared" ref="EP69:EP132" si="100">$EP$3</f>
        <v>413.66427458788348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36.480525775542993</v>
      </c>
      <c r="EW69" s="21">
        <f>EXP(-LN(2)/25)*EW68+(1-EXP(-LN(2)/25))/(LN(2)/25)*Calculateur!ER69*Calculateur!ET69*VLOOKUP('Données projet'!$B$15,Paramètres!$A$1:$I$89,3,0)*0.475*44/12</f>
        <v>6.8836777501872399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43.364203525730233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68.345947931257086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1.05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3.85</v>
      </c>
      <c r="H70" s="66">
        <f t="shared" si="56"/>
        <v>241.26666666666665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233.08</v>
      </c>
      <c r="L70" s="12">
        <f>VLOOKUP(A70,'Données projet'!$A$35:$I$55,9,0)</f>
        <v>8.0925000000000011</v>
      </c>
      <c r="M70" s="12">
        <f t="array" ref="M70">INDEX(L:L,MIN(IF(ISNUMBER(L70:L266),ROW(L70:L266),"")))</f>
        <v>8.0925000000000011</v>
      </c>
      <c r="N70" s="13">
        <f>IF('Données projet'!$A$36&gt;35,N69+M70-V69,IF(A70&lt;'Données projet'!$A$36,$K$205^A70,IF(A70='Données projet'!$A$36,'Données projet'!$B$36,N69+M70-V69)))</f>
        <v>233.08</v>
      </c>
      <c r="O70" s="13">
        <f>N70*VLOOKUP('Données projet'!$B$9,Paramètres!$A$1:$I$89,3,0)*VLOOKUP('Données projet'!$B$9,Paramètres!$A$1:$I$89,5,0)</f>
        <v>210.890784</v>
      </c>
      <c r="P70" s="13">
        <f t="shared" si="87"/>
        <v>52.130196433529974</v>
      </c>
      <c r="Q70" s="20">
        <f t="shared" si="54"/>
        <v>458.09487425506472</v>
      </c>
      <c r="R70" s="59">
        <f t="shared" si="55"/>
        <v>745.46856172312368</v>
      </c>
      <c r="S70" s="59">
        <f ca="1">AVERAGE(OFFSET($R$3,0,0,'Données projet'!$E$9+1,1))-AVERAGE(OFFSET($H$3,0,0,'Données projet'!$E$9+1,1))</f>
        <v>480.34707165277229</v>
      </c>
      <c r="T70" s="59">
        <f t="shared" si="88"/>
        <v>217.17128038304531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40.630000000000003</v>
      </c>
      <c r="W70" s="16">
        <f>IF(ISNA(VLOOKUP(A70,'Données projet'!$A$35:$I$55,5,0)),0%,VLOOKUP(A70,'Données projet'!$A$35:$I$55,5,0)*VLOOKUP('Données projet'!$B$9,Paramètres!$A$1:$I$89,7,0))</f>
        <v>0.43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70.08497236260331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70.08497236260331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303.53500000000003</v>
      </c>
      <c r="AJ70" s="13">
        <f>AI70*VLOOKUP('Données projet'!$B$10,Paramètres!$A$1:$I$89,3,0)*VLOOKUP('Données projet'!$B$10,Paramètres!$A$1:$I$89,5,0)</f>
        <v>307.78449000000006</v>
      </c>
      <c r="AK70" s="13">
        <f t="shared" si="89"/>
        <v>72.805950538466206</v>
      </c>
      <c r="AL70" s="20">
        <f t="shared" si="58"/>
        <v>662.86168393782884</v>
      </c>
      <c r="AM70" s="59">
        <f t="shared" si="59"/>
        <v>950.23537140588769</v>
      </c>
      <c r="AN70" s="59">
        <f ca="1">AVERAGE(OFFSET($AM$3,0,0,'Données projet'!$E$10+1,1))-AVERAGE(OFFSET($H$3,0,0,'Données projet'!$E$10+1,1))</f>
        <v>596.64394969449609</v>
      </c>
      <c r="AO70" s="59">
        <f t="shared" si="90"/>
        <v>312.55704723516362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97.946455449637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97.946455449637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709.46488197136307</v>
      </c>
      <c r="BI70" s="59">
        <f ca="1">AVERAGE(OFFSET($BH$3,0,0,'Données projet'!$E$11+1,1))-AVERAGE(OFFSET($H$3,0,0,'Données projet'!$E$11+1,1))</f>
        <v>360.53625471540249</v>
      </c>
      <c r="BJ70" s="59">
        <f t="shared" si="92"/>
        <v>326.66299410556076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49.724377471579238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49.724377471579238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808.066579890713</v>
      </c>
      <c r="CD70" s="59">
        <f ca="1">AVERAGE(OFFSET($CC$3,0,0,'Données projet'!$E$12+1,1))-AVERAGE(OFFSET($H$3,0,0,'Données projet'!$E$12+1,1))</f>
        <v>358.39045200457502</v>
      </c>
      <c r="CE70" s="59">
        <f t="shared" si="94"/>
        <v>349.48764057925109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49.162247031101657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49.162247031101657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5.5555555555555554</v>
      </c>
      <c r="CT70" s="12">
        <f>IF('Données projet'!$A$140&gt;35,CT69+CS70-DB69,IF(A70&lt;'Données projet'!$A$140,$CQ$205^A70,IF(A70='Données projet'!$A$140,'Données projet'!$B$140,CT69+CS70-DB69)))</f>
        <v>199.14529914529905</v>
      </c>
      <c r="CU70" s="17">
        <f>CT70*VLOOKUP('Données projet'!$B$13,Paramètres!$A$1:$I$89,3,0)*VLOOKUP('Données projet'!$B$13,Paramètres!$A$1:$I$89,5,0)</f>
        <v>155.33333333333326</v>
      </c>
      <c r="CV70" s="13">
        <f t="shared" si="95"/>
        <v>39.788129261718112</v>
      </c>
      <c r="CW70" s="20">
        <f t="shared" si="67"/>
        <v>339.83654735304776</v>
      </c>
      <c r="CX70" s="59">
        <f t="shared" si="68"/>
        <v>627.21023482110672</v>
      </c>
      <c r="CY70" s="59">
        <f ca="1">AVERAGE(OFFSET($CX$3,0,0,'Données projet'!$E$13+1,1))-AVERAGE(OFFSET($H$3,0,0,'Données projet'!$E$13+1,1))</f>
        <v>201.71903756761543</v>
      </c>
      <c r="CZ70" s="59">
        <f t="shared" si="96"/>
        <v>200.66422845182711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33.599822311037201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33.599822311037201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233.08</v>
      </c>
      <c r="DM70" s="12">
        <f>VLOOKUP(A70,'Données projet'!$A$165:$I$185,9,0)</f>
        <v>8.0925000000000011</v>
      </c>
      <c r="DN70" s="12">
        <f t="array" ref="DN70">INDEX(DM:DM,MIN(IF(ISNUMBER(DM70:DM266),ROW(DM70:DM266),"")))</f>
        <v>8.0925000000000011</v>
      </c>
      <c r="DO70" s="12">
        <f>IF('Données projet'!$A$166&gt;35,DO69+DN70-DW69,IF(A70&lt;'Données projet'!$A$166,$DL$205^A70,IF(A70='Données projet'!$A$166,'Données projet'!$B$166,DO69+DN70-DW69)))</f>
        <v>233.08</v>
      </c>
      <c r="DP70" s="17">
        <f>DO70*VLOOKUP('Données projet'!$B$14,Paramètres!$A$1:$I$89,3,0)*VLOOKUP('Données projet'!$B$14,Paramètres!$A$1:$I$89,5,0)</f>
        <v>221.79892799999999</v>
      </c>
      <c r="DQ70" s="13">
        <f t="shared" si="97"/>
        <v>54.505688326452564</v>
      </c>
      <c r="DR70" s="20">
        <f t="shared" si="70"/>
        <v>481.23054010190486</v>
      </c>
      <c r="DS70" s="59">
        <f t="shared" si="71"/>
        <v>768.60422756996377</v>
      </c>
      <c r="DT70" s="59">
        <f ca="1">AVERAGE(OFFSET($DS$3,0,0,'Données projet'!$E$14+1,1))-AVERAGE(OFFSET($H$3,0,0,'Données projet'!$E$14+1,1))</f>
        <v>502.4879901989737</v>
      </c>
      <c r="DU70" s="59">
        <f t="shared" si="98"/>
        <v>226.06453328626355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40.630000000000003</v>
      </c>
      <c r="DX70" s="16">
        <f>IF(ISNA(VLOOKUP(A70,'Données projet'!$A$165:$I$185,5,0)),0%,VLOOKUP(A70,'Données projet'!$A$165:$I$185,5,0)*VLOOKUP('Données projet'!$B$14,Paramètres!$A$1:$I$89,7,0))</f>
        <v>0.43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73.710057139979369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73.710057139979369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-5.6843418860808015E-14</v>
      </c>
      <c r="EK70" s="17">
        <f>EJ70*VLOOKUP('Données projet'!$B$15,Paramètres!$A$1:$I$89,3,0)*VLOOKUP('Données projet'!$B$15,Paramètres!$A$1:$I$89,5,0)</f>
        <v>-3.2543994166189806E-14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192.76157155207764</v>
      </c>
      <c r="EP70" s="59">
        <f t="shared" si="100"/>
        <v>413.66427458788348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35.765164916008224</v>
      </c>
      <c r="EW70" s="21">
        <f>EXP(-LN(2)/25)*EW69+(1-EXP(-LN(2)/25))/(LN(2)/25)*Calculateur!ER70*Calculateur!ET70*VLOOKUP('Données projet'!$B$15,Paramètres!$A$1:$I$89,3,0)*0.475*44/12</f>
        <v>6.69544322011149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42.460608136119717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68.374642036743339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1.05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3.85</v>
      </c>
      <c r="H71" s="66">
        <f t="shared" si="56"/>
        <v>241.26666666666665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7.8049999999999962</v>
      </c>
      <c r="N71" s="13">
        <f>IF('Données projet'!$A$36&gt;35,N70+M71-V70,IF(A71&lt;'Données projet'!$A$36,$K$205^A71,IF(A71='Données projet'!$A$36,'Données projet'!$B$36,N70+M71-V70)))</f>
        <v>200.25500000000002</v>
      </c>
      <c r="O71" s="13">
        <f>N71*VLOOKUP('Données projet'!$B$9,Paramètres!$A$1:$I$89,3,0)*VLOOKUP('Données projet'!$B$9,Paramètres!$A$1:$I$89,5,0)</f>
        <v>181.19072400000002</v>
      </c>
      <c r="P71" s="13">
        <f t="shared" si="87"/>
        <v>45.586998576826183</v>
      </c>
      <c r="Q71" s="20">
        <f t="shared" si="54"/>
        <v>394.97120015463889</v>
      </c>
      <c r="R71" s="59">
        <f t="shared" si="55"/>
        <v>682.44827415468819</v>
      </c>
      <c r="S71" s="59">
        <f ca="1">AVERAGE(OFFSET($R$3,0,0,'Données projet'!$E$9+1,1))-AVERAGE(OFFSET($H$3,0,0,'Données projet'!$E$9+1,1))</f>
        <v>480.34707165277229</v>
      </c>
      <c r="T71" s="59">
        <f t="shared" si="88"/>
        <v>217.17128038304531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68.710648802184821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68.710648802184821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314.82375000000002</v>
      </c>
      <c r="AJ71" s="13">
        <f>AI71*VLOOKUP('Données projet'!$B$10,Paramètres!$A$1:$I$89,3,0)*VLOOKUP('Données projet'!$B$10,Paramètres!$A$1:$I$89,5,0)</f>
        <v>319.23128250000002</v>
      </c>
      <c r="AK71" s="13">
        <f t="shared" si="89"/>
        <v>75.193384654855564</v>
      </c>
      <c r="AL71" s="20">
        <f t="shared" si="58"/>
        <v>686.95629529470671</v>
      </c>
      <c r="AM71" s="59">
        <f t="shared" si="59"/>
        <v>974.43336929475595</v>
      </c>
      <c r="AN71" s="59">
        <f ca="1">AVERAGE(OFFSET($AM$3,0,0,'Données projet'!$E$10+1,1))-AVERAGE(OFFSET($H$3,0,0,'Données projet'!$E$10+1,1))</f>
        <v>596.64394969449609</v>
      </c>
      <c r="AO71" s="59">
        <f t="shared" si="90"/>
        <v>312.55704723516362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96.025785199708466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96.025785199708466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718.85160695872673</v>
      </c>
      <c r="BI71" s="59">
        <f ca="1">AVERAGE(OFFSET($BH$3,0,0,'Données projet'!$E$11+1,1))-AVERAGE(OFFSET($H$3,0,0,'Données projet'!$E$11+1,1))</f>
        <v>360.53625471540249</v>
      </c>
      <c r="BJ71" s="59">
        <f t="shared" si="92"/>
        <v>326.66299410556076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48.749312758237096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48.749312758237096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815.9139694183873</v>
      </c>
      <c r="CD71" s="59">
        <f ca="1">AVERAGE(OFFSET($CC$3,0,0,'Données projet'!$E$12+1,1))-AVERAGE(OFFSET($H$3,0,0,'Données projet'!$E$12+1,1))</f>
        <v>358.39045200457502</v>
      </c>
      <c r="CE71" s="59">
        <f t="shared" si="94"/>
        <v>349.48764057925109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48.198205352831572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48.198205352831572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5.5555555555555554</v>
      </c>
      <c r="CT71" s="12">
        <f>IF('Données projet'!$A$140&gt;35,CT70+CS71-DB70,IF(A71&lt;'Données projet'!$A$140,$CQ$205^A71,IF(A71='Données projet'!$A$140,'Données projet'!$B$140,CT70+CS71-DB70)))</f>
        <v>204.70085470085459</v>
      </c>
      <c r="CU71" s="17">
        <f>CT71*VLOOKUP('Données projet'!$B$13,Paramètres!$A$1:$I$89,3,0)*VLOOKUP('Données projet'!$B$13,Paramètres!$A$1:$I$89,5,0)</f>
        <v>159.6666666666666</v>
      </c>
      <c r="CV71" s="13">
        <f t="shared" si="95"/>
        <v>40.767322019750679</v>
      </c>
      <c r="CW71" s="20">
        <f t="shared" si="67"/>
        <v>349.08919696217669</v>
      </c>
      <c r="CX71" s="59">
        <f t="shared" si="68"/>
        <v>636.56627096222599</v>
      </c>
      <c r="CY71" s="59">
        <f ca="1">AVERAGE(OFFSET($CX$3,0,0,'Données projet'!$E$13+1,1))-AVERAGE(OFFSET($H$3,0,0,'Données projet'!$E$13+1,1))</f>
        <v>201.71903756761543</v>
      </c>
      <c r="CZ71" s="59">
        <f t="shared" si="96"/>
        <v>200.66422845182711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32.940950289385768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32.940950289385768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7.8049999999999962</v>
      </c>
      <c r="DO71" s="12">
        <f>IF('Données projet'!$A$166&gt;35,DO70+DN71-DW70,IF(A71&lt;'Données projet'!$A$166,$DL$205^A71,IF(A71='Données projet'!$A$166,'Données projet'!$B$166,DO70+DN71-DW70)))</f>
        <v>200.25500000000002</v>
      </c>
      <c r="DP71" s="17">
        <f>DO71*VLOOKUP('Données projet'!$B$14,Paramètres!$A$1:$I$89,3,0)*VLOOKUP('Données projet'!$B$14,Paramètres!$A$1:$I$89,5,0)</f>
        <v>190.56265800000003</v>
      </c>
      <c r="DQ71" s="13">
        <f t="shared" si="97"/>
        <v>47.664327130153318</v>
      </c>
      <c r="DR71" s="20">
        <f t="shared" si="70"/>
        <v>414.9119991016837</v>
      </c>
      <c r="DS71" s="59">
        <f t="shared" si="71"/>
        <v>702.38907310173295</v>
      </c>
      <c r="DT71" s="59">
        <f ca="1">AVERAGE(OFFSET($DS$3,0,0,'Données projet'!$E$14+1,1))-AVERAGE(OFFSET($H$3,0,0,'Données projet'!$E$14+1,1))</f>
        <v>502.4879901989737</v>
      </c>
      <c r="DU71" s="59">
        <f t="shared" si="98"/>
        <v>226.06453328626355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72.26464787815992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72.26464787815992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-5.6843418860808015E-14</v>
      </c>
      <c r="EK71" s="17">
        <f>EJ71*VLOOKUP('Données projet'!$B$15,Paramètres!$A$1:$I$89,3,0)*VLOOKUP('Données projet'!$B$15,Paramètres!$A$1:$I$89,5,0)</f>
        <v>-3.2543994166189806E-14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192.76157155207764</v>
      </c>
      <c r="EP71" s="59">
        <f t="shared" si="100"/>
        <v>413.66427458788348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35.063831846601886</v>
      </c>
      <c r="EW71" s="21">
        <f>EXP(-LN(2)/25)*EW70+(1-EXP(-LN(2)/25))/(LN(2)/25)*Calculateur!ER71*Calculateur!ET71*VLOOKUP('Données projet'!$B$15,Paramètres!$A$1:$I$89,3,0)*0.475*44/12</f>
        <v>6.5123559731594849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41.576187819761373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68.402838363649806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1.05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3.85</v>
      </c>
      <c r="H72" s="66">
        <f t="shared" si="56"/>
        <v>241.26666666666665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7.8049999999999962</v>
      </c>
      <c r="N72" s="13">
        <f>IF('Données projet'!$A$36&gt;35,N71+M72-V71,IF(A72&lt;'Données projet'!$A$36,$K$205^A72,IF(A72='Données projet'!$A$36,'Données projet'!$B$36,N71+M72-V71)))</f>
        <v>208.06000000000003</v>
      </c>
      <c r="O72" s="13">
        <f>N72*VLOOKUP('Données projet'!$B$9,Paramètres!$A$1:$I$89,3,0)*VLOOKUP('Données projet'!$B$9,Paramètres!$A$1:$I$89,5,0)</f>
        <v>188.25268800000001</v>
      </c>
      <c r="P72" s="13">
        <f t="shared" si="87"/>
        <v>47.153439503471503</v>
      </c>
      <c r="Q72" s="20">
        <f t="shared" si="54"/>
        <v>409.99900540187951</v>
      </c>
      <c r="R72" s="59">
        <f t="shared" si="55"/>
        <v>697.57767240872681</v>
      </c>
      <c r="S72" s="59">
        <f ca="1">AVERAGE(OFFSET($R$3,0,0,'Données projet'!$E$9+1,1))-AVERAGE(OFFSET($H$3,0,0,'Données projet'!$E$9+1,1))</f>
        <v>480.34707165277229</v>
      </c>
      <c r="T72" s="59">
        <f t="shared" si="88"/>
        <v>217.17128038304531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67.363274888531535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67.363274888531535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326.11250000000001</v>
      </c>
      <c r="AJ72" s="13">
        <f>AI72*VLOOKUP('Données projet'!$B$10,Paramètres!$A$1:$I$89,3,0)*VLOOKUP('Données projet'!$B$10,Paramètres!$A$1:$I$89,5,0)</f>
        <v>330.67807500000004</v>
      </c>
      <c r="AK72" s="13">
        <f t="shared" si="89"/>
        <v>77.570872620233771</v>
      </c>
      <c r="AL72" s="20">
        <f t="shared" si="58"/>
        <v>711.03358377190716</v>
      </c>
      <c r="AM72" s="59">
        <f t="shared" si="59"/>
        <v>998.61225077875451</v>
      </c>
      <c r="AN72" s="59">
        <f ca="1">AVERAGE(OFFSET($AM$3,0,0,'Données projet'!$E$10+1,1))-AVERAGE(OFFSET($H$3,0,0,'Données projet'!$E$10+1,1))</f>
        <v>596.64394969449609</v>
      </c>
      <c r="AO72" s="59">
        <f t="shared" si="90"/>
        <v>312.55704723516362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94.142778121887858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94.142778121887858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728.23224717043536</v>
      </c>
      <c r="BI72" s="59">
        <f ca="1">AVERAGE(OFFSET($BH$3,0,0,'Données projet'!$E$11+1,1))-AVERAGE(OFFSET($H$3,0,0,'Données projet'!$E$11+1,1))</f>
        <v>360.53625471540249</v>
      </c>
      <c r="BJ72" s="59">
        <f t="shared" si="92"/>
        <v>326.66299410556076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47.793368469192849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47.793368469192849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823.75717656875668</v>
      </c>
      <c r="CD72" s="59">
        <f ca="1">AVERAGE(OFFSET($CC$3,0,0,'Données projet'!$E$12+1,1))-AVERAGE(OFFSET($H$3,0,0,'Données projet'!$E$12+1,1))</f>
        <v>358.39045200457502</v>
      </c>
      <c r="CE72" s="59">
        <f t="shared" si="94"/>
        <v>349.48764057925109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47.253067943864998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47.253067943864998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210.25641025641025</v>
      </c>
      <c r="CR72" s="12">
        <f>VLOOKUP(A72,'Données projet'!$A$139:$I$159,9,0)</f>
        <v>5.5555555555555554</v>
      </c>
      <c r="CS72" s="12">
        <f t="array" ref="CS72">INDEX(CR:CR,MIN(IF(ISNUMBER(CR72:CR268),ROW(CR72:CR268),"")))</f>
        <v>5.5555555555555554</v>
      </c>
      <c r="CT72" s="12">
        <f>IF('Données projet'!$A$140&gt;35,CT71+CS72-DB71,IF(A72&lt;'Données projet'!$A$140,$CQ$205^A72,IF(A72='Données projet'!$A$140,'Données projet'!$B$140,CT71+CS72-DB71)))</f>
        <v>210.25641025641013</v>
      </c>
      <c r="CU72" s="17">
        <f>CT72*VLOOKUP('Données projet'!$B$13,Paramètres!$A$1:$I$89,3,0)*VLOOKUP('Données projet'!$B$13,Paramètres!$A$1:$I$89,5,0)</f>
        <v>163.99999999999991</v>
      </c>
      <c r="CV72" s="13">
        <f t="shared" si="95"/>
        <v>41.743425908362248</v>
      </c>
      <c r="CW72" s="20">
        <f t="shared" si="67"/>
        <v>358.33646679039742</v>
      </c>
      <c r="CX72" s="59">
        <f t="shared" si="68"/>
        <v>645.91513379724472</v>
      </c>
      <c r="CY72" s="59">
        <f ca="1">AVERAGE(OFFSET($CX$3,0,0,'Données projet'!$E$13+1,1))-AVERAGE(OFFSET($H$3,0,0,'Données projet'!$E$13+1,1))</f>
        <v>201.71903756761543</v>
      </c>
      <c r="CZ72" s="59">
        <f t="shared" si="96"/>
        <v>200.66422845182711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32.294998346206668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32.294998346206668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7.8049999999999962</v>
      </c>
      <c r="DO72" s="12">
        <f>IF('Données projet'!$A$166&gt;35,DO71+DN72-DW71,IF(A72&lt;'Données projet'!$A$166,$DL$205^A72,IF(A72='Données projet'!$A$166,'Données projet'!$B$166,DO71+DN72-DW71)))</f>
        <v>208.06000000000003</v>
      </c>
      <c r="DP72" s="17">
        <f>DO72*VLOOKUP('Données projet'!$B$14,Paramètres!$A$1:$I$89,3,0)*VLOOKUP('Données projet'!$B$14,Paramètres!$A$1:$I$89,5,0)</f>
        <v>197.98989600000004</v>
      </c>
      <c r="DQ72" s="13">
        <f t="shared" si="97"/>
        <v>49.302148331122616</v>
      </c>
      <c r="DR72" s="20">
        <f t="shared" si="70"/>
        <v>430.70031054337193</v>
      </c>
      <c r="DS72" s="59">
        <f t="shared" si="71"/>
        <v>718.27897755021922</v>
      </c>
      <c r="DT72" s="59">
        <f ca="1">AVERAGE(OFFSET($DS$3,0,0,'Données projet'!$E$14+1,1))-AVERAGE(OFFSET($H$3,0,0,'Données projet'!$E$14+1,1))</f>
        <v>502.4879901989737</v>
      </c>
      <c r="DU72" s="59">
        <f t="shared" si="98"/>
        <v>226.06453328626355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70.847582210352158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70.847582210352158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-5.6843418860808015E-14</v>
      </c>
      <c r="EK72" s="17">
        <f>EJ72*VLOOKUP('Données projet'!$B$15,Paramètres!$A$1:$I$89,3,0)*VLOOKUP('Données projet'!$B$15,Paramètres!$A$1:$I$89,5,0)</f>
        <v>-3.2543994166189806E-14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192.76157155207764</v>
      </c>
      <c r="EP72" s="59">
        <f t="shared" si="100"/>
        <v>413.66427458788348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34.376251490915678</v>
      </c>
      <c r="EW72" s="21">
        <f>EXP(-LN(2)/25)*EW71+(1-EXP(-LN(2)/25))/(LN(2)/25)*Calculateur!ER72*Calculateur!ET72*VLOOKUP('Données projet'!$B$15,Paramètres!$A$1:$I$89,3,0)*0.475*44/12</f>
        <v>6.3342752566035223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40.710526747519197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68.430545547321998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1.05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3.85</v>
      </c>
      <c r="H73" s="66">
        <f t="shared" si="56"/>
        <v>241.26666666666665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7.8049999999999962</v>
      </c>
      <c r="N73" s="13">
        <f>IF('Données projet'!$A$36&gt;35,N72+M73-V72,IF(A73&lt;'Données projet'!$A$36,$K$205^A73,IF(A73='Données projet'!$A$36,'Données projet'!$B$36,N72+M73-V72)))</f>
        <v>215.86500000000004</v>
      </c>
      <c r="O73" s="13">
        <f>N73*VLOOKUP('Données projet'!$B$9,Paramètres!$A$1:$I$89,3,0)*VLOOKUP('Données projet'!$B$9,Paramètres!$A$1:$I$89,5,0)</f>
        <v>195.31465200000002</v>
      </c>
      <c r="P73" s="13">
        <f t="shared" si="87"/>
        <v>48.713053725986441</v>
      </c>
      <c r="Q73" s="20">
        <f t="shared" si="54"/>
        <v>425.01492080609302</v>
      </c>
      <c r="R73" s="59">
        <f t="shared" si="55"/>
        <v>712.69341840819834</v>
      </c>
      <c r="S73" s="59">
        <f ca="1">AVERAGE(OFFSET($R$3,0,0,'Données projet'!$E$9+1,1))-AVERAGE(OFFSET($H$3,0,0,'Données projet'!$E$9+1,1))</f>
        <v>480.34707165277229</v>
      </c>
      <c r="T73" s="59">
        <f t="shared" si="88"/>
        <v>217.17128038304531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66.04232215550806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66.04232215550806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337.40125</v>
      </c>
      <c r="AJ73" s="13">
        <f>AI73*VLOOKUP('Données projet'!$B$10,Paramètres!$A$1:$I$89,3,0)*VLOOKUP('Données projet'!$B$10,Paramètres!$A$1:$I$89,5,0)</f>
        <v>342.12486749999999</v>
      </c>
      <c r="AK73" s="13">
        <f t="shared" si="89"/>
        <v>79.938798190391537</v>
      </c>
      <c r="AL73" s="20">
        <f t="shared" si="58"/>
        <v>735.0942177440985</v>
      </c>
      <c r="AM73" s="59">
        <f t="shared" si="59"/>
        <v>1022.7727153462038</v>
      </c>
      <c r="AN73" s="59">
        <f ca="1">AVERAGE(OFFSET($AM$3,0,0,'Données projet'!$E$10+1,1))-AVERAGE(OFFSET($H$3,0,0,'Données projet'!$E$10+1,1))</f>
        <v>596.64394969449609</v>
      </c>
      <c r="AO73" s="59">
        <f t="shared" si="90"/>
        <v>312.55704723516362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92.296695664342394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92.296695664342394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737.60693685583476</v>
      </c>
      <c r="BI73" s="59">
        <f ca="1">AVERAGE(OFFSET($BH$3,0,0,'Données projet'!$E$11+1,1))-AVERAGE(OFFSET($H$3,0,0,'Données projet'!$E$11+1,1))</f>
        <v>360.53625471540249</v>
      </c>
      <c r="BJ73" s="59">
        <f t="shared" si="92"/>
        <v>326.66299410556076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54.330988932942603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54.330988932942603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831.59627182016038</v>
      </c>
      <c r="CD73" s="59">
        <f ca="1">AVERAGE(OFFSET($CC$3,0,0,'Données projet'!$E$12+1,1))-AVERAGE(OFFSET($H$3,0,0,'Données projet'!$E$12+1,1))</f>
        <v>358.39045200457502</v>
      </c>
      <c r="CE73" s="59">
        <f t="shared" si="94"/>
        <v>349.48764057925109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52.386303394971065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52.386303394971065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210.25641025641013</v>
      </c>
      <c r="CU73" s="17">
        <f>CT73*VLOOKUP('Données projet'!$B$13,Paramètres!$A$1:$I$89,3,0)*VLOOKUP('Données projet'!$B$13,Paramètres!$A$1:$I$89,5,0)</f>
        <v>163.99999999999991</v>
      </c>
      <c r="CV73" s="13">
        <f t="shared" si="95"/>
        <v>41.743425908362248</v>
      </c>
      <c r="CW73" s="20">
        <f t="shared" si="67"/>
        <v>358.33646679039742</v>
      </c>
      <c r="CX73" s="59">
        <f t="shared" si="68"/>
        <v>646.01496439250275</v>
      </c>
      <c r="CY73" s="59">
        <f ca="1">AVERAGE(OFFSET($CX$3,0,0,'Données projet'!$E$13+1,1))-AVERAGE(OFFSET($H$3,0,0,'Données projet'!$E$13+1,1))</f>
        <v>201.71903756761543</v>
      </c>
      <c r="CZ73" s="59">
        <f t="shared" si="96"/>
        <v>200.66422845182711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31.66171312664153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31.66171312664153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7.8049999999999962</v>
      </c>
      <c r="DO73" s="12">
        <f>IF('Données projet'!$A$166&gt;35,DO72+DN73-DW72,IF(A73&lt;'Données projet'!$A$166,$DL$205^A73,IF(A73='Données projet'!$A$166,'Données projet'!$B$166,DO72+DN73-DW72)))</f>
        <v>215.86500000000004</v>
      </c>
      <c r="DP73" s="17">
        <f>DO73*VLOOKUP('Données projet'!$B$14,Paramètres!$A$1:$I$89,3,0)*VLOOKUP('Données projet'!$B$14,Paramètres!$A$1:$I$89,5,0)</f>
        <v>205.41713400000006</v>
      </c>
      <c r="DQ73" s="13">
        <f t="shared" si="97"/>
        <v>50.932831745682456</v>
      </c>
      <c r="DR73" s="20">
        <f t="shared" si="70"/>
        <v>446.47619034039707</v>
      </c>
      <c r="DS73" s="59">
        <f t="shared" si="71"/>
        <v>734.15468794250239</v>
      </c>
      <c r="DT73" s="59">
        <f ca="1">AVERAGE(OFFSET($DS$3,0,0,'Données projet'!$E$14+1,1))-AVERAGE(OFFSET($H$3,0,0,'Données projet'!$E$14+1,1))</f>
        <v>502.4879901989737</v>
      </c>
      <c r="DU73" s="59">
        <f t="shared" si="98"/>
        <v>226.06453328626355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69.458304335965394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69.458304335965394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-5.6843418860808015E-14</v>
      </c>
      <c r="EK73" s="17">
        <f>EJ73*VLOOKUP('Données projet'!$B$15,Paramètres!$A$1:$I$89,3,0)*VLOOKUP('Données projet'!$B$15,Paramètres!$A$1:$I$89,5,0)</f>
        <v>-3.2543994166189806E-14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192.76157155207764</v>
      </c>
      <c r="EP73" s="59">
        <f t="shared" si="100"/>
        <v>413.66427458788348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33.702154166621867</v>
      </c>
      <c r="EW73" s="21">
        <f>EXP(-LN(2)/25)*EW72+(1-EXP(-LN(2)/25))/(LN(2)/25)*Calculateur!ER73*Calculateur!ET73*VLOOKUP('Données projet'!$B$15,Paramètres!$A$1:$I$89,3,0)*0.475*44/12</f>
        <v>6.1610641666066401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39.863218333228509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68.457772073301456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1.05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3.85</v>
      </c>
      <c r="H74" s="66">
        <f t="shared" si="56"/>
        <v>241.26666666666665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7.8049999999999962</v>
      </c>
      <c r="N74" s="13">
        <f>IF('Données projet'!$A$36&gt;35,N73+M74-V73,IF(A74&lt;'Données projet'!$A$36,$K$205^A74,IF(A74='Données projet'!$A$36,'Données projet'!$B$36,N73+M74-V73)))</f>
        <v>223.67000000000004</v>
      </c>
      <c r="O74" s="13">
        <f>N74*VLOOKUP('Données projet'!$B$9,Paramètres!$A$1:$I$89,3,0)*VLOOKUP('Données projet'!$B$9,Paramètres!$A$1:$I$89,5,0)</f>
        <v>202.37661600000004</v>
      </c>
      <c r="P74" s="13">
        <f t="shared" si="87"/>
        <v>50.266116350658976</v>
      </c>
      <c r="Q74" s="20">
        <f t="shared" si="54"/>
        <v>440.01942551073108</v>
      </c>
      <c r="R74" s="59">
        <f t="shared" si="55"/>
        <v>727.79602187045452</v>
      </c>
      <c r="S74" s="59">
        <f ca="1">AVERAGE(OFFSET($R$3,0,0,'Données projet'!$E$9+1,1))-AVERAGE(OFFSET($H$3,0,0,'Données projet'!$E$9+1,1))</f>
        <v>480.34707165277229</v>
      </c>
      <c r="T74" s="59">
        <f t="shared" si="88"/>
        <v>217.17128038304531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64.747272499877567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64.747272499877567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348.69</v>
      </c>
      <c r="AJ74" s="13">
        <f>AI74*VLOOKUP('Données projet'!$B$10,Paramètres!$A$1:$I$89,3,0)*VLOOKUP('Données projet'!$B$10,Paramètres!$A$1:$I$89,5,0)</f>
        <v>353.57166000000001</v>
      </c>
      <c r="AK74" s="13">
        <f t="shared" si="89"/>
        <v>82.297517984675324</v>
      </c>
      <c r="AL74" s="20">
        <f t="shared" si="58"/>
        <v>759.13881832330947</v>
      </c>
      <c r="AM74" s="59">
        <f t="shared" si="59"/>
        <v>1046.9154146830329</v>
      </c>
      <c r="AN74" s="59">
        <f ca="1">AVERAGE(OFFSET($AM$3,0,0,'Données projet'!$E$10+1,1))-AVERAGE(OFFSET($H$3,0,0,'Données projet'!$E$10+1,1))</f>
        <v>596.64394969449609</v>
      </c>
      <c r="AO74" s="59">
        <f t="shared" si="90"/>
        <v>312.55704723516362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115.58492839539792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115.58492839539792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712.46756433905603</v>
      </c>
      <c r="BI74" s="59">
        <f ca="1">AVERAGE(OFFSET($BH$3,0,0,'Données projet'!$E$11+1,1))-AVERAGE(OFFSET($H$3,0,0,'Données projet'!$E$11+1,1))</f>
        <v>360.53625471540249</v>
      </c>
      <c r="BJ74" s="59">
        <f t="shared" si="92"/>
        <v>326.66299410556076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53.265591378598678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53.265591378598678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816.88676987344024</v>
      </c>
      <c r="CD74" s="59">
        <f ca="1">AVERAGE(OFFSET($CC$3,0,0,'Données projet'!$E$12+1,1))-AVERAGE(OFFSET($H$3,0,0,'Données projet'!$E$12+1,1))</f>
        <v>358.39045200457502</v>
      </c>
      <c r="CE74" s="59">
        <f t="shared" si="94"/>
        <v>349.48764057925109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51.359039937885704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51.359039937885704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210.25641025641013</v>
      </c>
      <c r="CU74" s="17">
        <f>CT74*VLOOKUP('Données projet'!$B$13,Paramètres!$A$1:$I$89,3,0)*VLOOKUP('Données projet'!$B$13,Paramètres!$A$1:$I$89,5,0)</f>
        <v>163.99999999999991</v>
      </c>
      <c r="CV74" s="13">
        <f t="shared" si="95"/>
        <v>41.743425908362248</v>
      </c>
      <c r="CW74" s="20">
        <f t="shared" si="67"/>
        <v>358.33646679039742</v>
      </c>
      <c r="CX74" s="59">
        <f t="shared" si="68"/>
        <v>646.11306315012087</v>
      </c>
      <c r="CY74" s="59">
        <f ca="1">AVERAGE(OFFSET($CX$3,0,0,'Données projet'!$E$13+1,1))-AVERAGE(OFFSET($H$3,0,0,'Données projet'!$E$13+1,1))</f>
        <v>201.71903756761543</v>
      </c>
      <c r="CZ74" s="59">
        <f t="shared" si="96"/>
        <v>200.66422845182711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31.040846243966222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31.040846243966222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7.8049999999999962</v>
      </c>
      <c r="DO74" s="12">
        <f>IF('Données projet'!$A$166&gt;35,DO73+DN74-DW73,IF(A74&lt;'Données projet'!$A$166,$DL$205^A74,IF(A74='Données projet'!$A$166,'Données projet'!$B$166,DO73+DN74-DW73)))</f>
        <v>223.67000000000004</v>
      </c>
      <c r="DP74" s="17">
        <f>DO74*VLOOKUP('Données projet'!$B$14,Paramètres!$A$1:$I$89,3,0)*VLOOKUP('Données projet'!$B$14,Paramètres!$A$1:$I$89,5,0)</f>
        <v>212.84437200000002</v>
      </c>
      <c r="DQ74" s="13">
        <f t="shared" si="97"/>
        <v>52.556665016285947</v>
      </c>
      <c r="DR74" s="20">
        <f t="shared" si="70"/>
        <v>462.24013947003141</v>
      </c>
      <c r="DS74" s="59">
        <f t="shared" si="71"/>
        <v>750.01673582975491</v>
      </c>
      <c r="DT74" s="59">
        <f ca="1">AVERAGE(OFFSET($DS$3,0,0,'Données projet'!$E$14+1,1))-AVERAGE(OFFSET($H$3,0,0,'Données projet'!$E$14+1,1))</f>
        <v>502.4879901989737</v>
      </c>
      <c r="DU74" s="59">
        <f t="shared" si="98"/>
        <v>226.06453328626355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68.096269353319528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68.096269353319528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-5.6843418860808015E-14</v>
      </c>
      <c r="EK74" s="17">
        <f>EJ74*VLOOKUP('Données projet'!$B$15,Paramètres!$A$1:$I$89,3,0)*VLOOKUP('Données projet'!$B$15,Paramètres!$A$1:$I$89,5,0)</f>
        <v>-3.2543994166189806E-14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192.76157155207764</v>
      </c>
      <c r="EP74" s="59">
        <f t="shared" si="100"/>
        <v>413.66427458788348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33.04127547969869</v>
      </c>
      <c r="EW74" s="21">
        <f>EXP(-LN(2)/25)*EW73+(1-EXP(-LN(2)/25))/(LN(2)/25)*Calculateur!ER74*Calculateur!ET74*VLOOKUP('Données projet'!$B$15,Paramètres!$A$1:$I$89,3,0)*0.475*44/12</f>
        <v>5.992589542974498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39.03386502267319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68.484526279924566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1.05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3.85</v>
      </c>
      <c r="H75" s="66">
        <f t="shared" si="56"/>
        <v>241.26666666666665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7.8049999999999962</v>
      </c>
      <c r="N75" s="13">
        <f>IF('Données projet'!$A$36&gt;35,N74+M75-V74,IF(A75&lt;'Données projet'!$A$36,$K$205^A75,IF(A75='Données projet'!$A$36,'Données projet'!$B$36,N74+M75-V74)))</f>
        <v>231.47500000000005</v>
      </c>
      <c r="O75" s="13">
        <f>N75*VLOOKUP('Données projet'!$B$9,Paramètres!$A$1:$I$89,3,0)*VLOOKUP('Données projet'!$B$9,Paramètres!$A$1:$I$89,5,0)</f>
        <v>209.43858000000003</v>
      </c>
      <c r="P75" s="13">
        <f t="shared" si="87"/>
        <v>51.812882195261956</v>
      </c>
      <c r="Q75" s="20">
        <f t="shared" si="54"/>
        <v>455.01296332341457</v>
      </c>
      <c r="R75" s="59">
        <f t="shared" si="55"/>
        <v>742.88595664662739</v>
      </c>
      <c r="S75" s="59">
        <f ca="1">AVERAGE(OFFSET($R$3,0,0,'Données projet'!$E$9+1,1))-AVERAGE(OFFSET($H$3,0,0,'Données projet'!$E$9+1,1))</f>
        <v>480.34707165277229</v>
      </c>
      <c r="T75" s="59">
        <f t="shared" si="88"/>
        <v>217.17128038304531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63.477617978091686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63.477617978091686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307.63</v>
      </c>
      <c r="AJ75" s="13">
        <f>AI75*VLOOKUP('Données projet'!$B$10,Paramètres!$A$1:$I$89,3,0)*VLOOKUP('Données projet'!$B$10,Paramètres!$A$1:$I$89,5,0)</f>
        <v>311.93682000000001</v>
      </c>
      <c r="AK75" s="13">
        <f t="shared" si="89"/>
        <v>73.673168536358688</v>
      </c>
      <c r="AL75" s="20">
        <f t="shared" si="58"/>
        <v>671.60406336749145</v>
      </c>
      <c r="AM75" s="59">
        <f t="shared" si="59"/>
        <v>959.47705669070422</v>
      </c>
      <c r="AN75" s="59">
        <f ca="1">AVERAGE(OFFSET($AM$3,0,0,'Données projet'!$E$10+1,1))-AVERAGE(OFFSET($H$3,0,0,'Données projet'!$E$10+1,1))</f>
        <v>596.64394969449609</v>
      </c>
      <c r="AO75" s="59">
        <f t="shared" si="90"/>
        <v>312.55704723516362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113.31837844940921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113.31837844940921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720.73245946971815</v>
      </c>
      <c r="BI75" s="59">
        <f ca="1">AVERAGE(OFFSET($BH$3,0,0,'Données projet'!$E$11+1,1))-AVERAGE(OFFSET($H$3,0,0,'Données projet'!$E$11+1,1))</f>
        <v>360.53625471540249</v>
      </c>
      <c r="BJ75" s="59">
        <f t="shared" si="92"/>
        <v>326.66299410556076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52.221085620467093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52.221085620467093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824.05150288512209</v>
      </c>
      <c r="CD75" s="59">
        <f ca="1">AVERAGE(OFFSET($CC$3,0,0,'Données projet'!$E$12+1,1))-AVERAGE(OFFSET($H$3,0,0,'Données projet'!$E$12+1,1))</f>
        <v>358.39045200457502</v>
      </c>
      <c r="CE75" s="59">
        <f t="shared" si="94"/>
        <v>349.48764057925109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50.351920490624948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50.351920490624948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210.25641025641013</v>
      </c>
      <c r="CU75" s="17">
        <f>CT75*VLOOKUP('Données projet'!$B$13,Paramètres!$A$1:$I$89,3,0)*VLOOKUP('Données projet'!$B$13,Paramètres!$A$1:$I$89,5,0)</f>
        <v>163.99999999999991</v>
      </c>
      <c r="CV75" s="13">
        <f t="shared" si="95"/>
        <v>41.743425908362248</v>
      </c>
      <c r="CW75" s="20">
        <f t="shared" si="67"/>
        <v>358.33646679039742</v>
      </c>
      <c r="CX75" s="59">
        <f t="shared" si="68"/>
        <v>646.20946011361025</v>
      </c>
      <c r="CY75" s="59">
        <f ca="1">AVERAGE(OFFSET($CX$3,0,0,'Données projet'!$E$13+1,1))-AVERAGE(OFFSET($H$3,0,0,'Données projet'!$E$13+1,1))</f>
        <v>201.71903756761543</v>
      </c>
      <c r="CZ75" s="59">
        <f t="shared" si="96"/>
        <v>200.66422845182711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30.43215418216877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30.43215418216877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7.8049999999999962</v>
      </c>
      <c r="DO75" s="12">
        <f>IF('Données projet'!$A$166&gt;35,DO74+DN75-DW74,IF(A75&lt;'Données projet'!$A$166,$DL$205^A75,IF(A75='Données projet'!$A$166,'Données projet'!$B$166,DO74+DN75-DW74)))</f>
        <v>231.47500000000005</v>
      </c>
      <c r="DP75" s="17">
        <f>DO75*VLOOKUP('Données projet'!$B$14,Paramètres!$A$1:$I$89,3,0)*VLOOKUP('Données projet'!$B$14,Paramètres!$A$1:$I$89,5,0)</f>
        <v>220.27161000000004</v>
      </c>
      <c r="DQ75" s="13">
        <f t="shared" si="97"/>
        <v>54.173914572355251</v>
      </c>
      <c r="DR75" s="20">
        <f t="shared" si="70"/>
        <v>477.99262196351879</v>
      </c>
      <c r="DS75" s="59">
        <f t="shared" si="71"/>
        <v>765.86561528673155</v>
      </c>
      <c r="DT75" s="59">
        <f ca="1">AVERAGE(OFFSET($DS$3,0,0,'Données projet'!$E$14+1,1))-AVERAGE(OFFSET($H$3,0,0,'Données projet'!$E$14+1,1))</f>
        <v>502.4879901989737</v>
      </c>
      <c r="DU75" s="59">
        <f t="shared" si="98"/>
        <v>226.06453328626355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66.760943045924037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66.760943045924037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-5.6843418860808015E-14</v>
      </c>
      <c r="EK75" s="17">
        <f>EJ75*VLOOKUP('Données projet'!$B$15,Paramètres!$A$1:$I$89,3,0)*VLOOKUP('Données projet'!$B$15,Paramètres!$A$1:$I$89,5,0)</f>
        <v>-3.2543994166189806E-14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192.76157155207764</v>
      </c>
      <c r="EP75" s="59">
        <f t="shared" si="100"/>
        <v>413.66427458788348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32.393356220729878</v>
      </c>
      <c r="EW75" s="21">
        <f>EXP(-LN(2)/25)*EW74+(1-EXP(-LN(2)/25))/(LN(2)/25)*Calculateur!ER75*Calculateur!ET75*VLOOKUP('Données projet'!$B$15,Paramètres!$A$1:$I$89,3,0)*0.475*44/12</f>
        <v>5.8287218667852727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38.22207808751515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68.510816360876206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1.05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3.85</v>
      </c>
      <c r="H76" s="66">
        <f t="shared" si="56"/>
        <v>241.26666666666665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7.8049999999999962</v>
      </c>
      <c r="N76" s="13">
        <f>IF('Données projet'!$A$36&gt;35,N75+M76-V75,IF(A76&lt;'Données projet'!$A$36,$K$205^A76,IF(A76='Données projet'!$A$36,'Données projet'!$B$36,N75+M76-V75)))</f>
        <v>239.28000000000006</v>
      </c>
      <c r="O76" s="13">
        <f>N76*VLOOKUP('Données projet'!$B$9,Paramètres!$A$1:$I$89,3,0)*VLOOKUP('Données projet'!$B$9,Paramètres!$A$1:$I$89,5,0)</f>
        <v>216.50054400000005</v>
      </c>
      <c r="P76" s="13">
        <f t="shared" si="87"/>
        <v>53.35358791845195</v>
      </c>
      <c r="Q76" s="20">
        <f t="shared" si="54"/>
        <v>469.99594642463717</v>
      </c>
      <c r="R76" s="59">
        <f t="shared" si="55"/>
        <v>757.96366443953411</v>
      </c>
      <c r="S76" s="59">
        <f ca="1">AVERAGE(OFFSET($R$3,0,0,'Données projet'!$E$9+1,1))-AVERAGE(OFFSET($H$3,0,0,'Données projet'!$E$9+1,1))</f>
        <v>480.34707165277229</v>
      </c>
      <c r="T76" s="59">
        <f t="shared" si="88"/>
        <v>217.17128038304531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62.232860607065234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62.232860607065234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318.64</v>
      </c>
      <c r="AJ76" s="13">
        <f>AI76*VLOOKUP('Données projet'!$B$10,Paramètres!$A$1:$I$89,3,0)*VLOOKUP('Données projet'!$B$10,Paramètres!$A$1:$I$89,5,0)</f>
        <v>323.10095999999999</v>
      </c>
      <c r="AK76" s="13">
        <f t="shared" si="89"/>
        <v>75.998206110294873</v>
      </c>
      <c r="AL76" s="20">
        <f t="shared" si="58"/>
        <v>695.09771430876344</v>
      </c>
      <c r="AM76" s="59">
        <f t="shared" si="59"/>
        <v>983.06543232366039</v>
      </c>
      <c r="AN76" s="59">
        <f ca="1">AVERAGE(OFFSET($AM$3,0,0,'Données projet'!$E$10+1,1))-AVERAGE(OFFSET($H$3,0,0,'Données projet'!$E$10+1,1))</f>
        <v>596.64394969449609</v>
      </c>
      <c r="AO76" s="59">
        <f t="shared" si="90"/>
        <v>312.55704723516362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111.09627416540238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111.09627416540238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728.99237228345021</v>
      </c>
      <c r="BI76" s="59">
        <f ca="1">AVERAGE(OFFSET($BH$3,0,0,'Données projet'!$E$11+1,1))-AVERAGE(OFFSET($H$3,0,0,'Données projet'!$E$11+1,1))</f>
        <v>360.53625471540249</v>
      </c>
      <c r="BJ76" s="59">
        <f t="shared" si="92"/>
        <v>326.66299410556076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51.197061983166869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51.197061983166869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831.2126049925821</v>
      </c>
      <c r="CD76" s="59">
        <f ca="1">AVERAGE(OFFSET($CC$3,0,0,'Données projet'!$E$12+1,1))-AVERAGE(OFFSET($H$3,0,0,'Données projet'!$E$12+1,1))</f>
        <v>358.39045200457502</v>
      </c>
      <c r="CE76" s="59">
        <f t="shared" si="94"/>
        <v>349.48764057925109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49.364550041442769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49.364550041442769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210.25641025641013</v>
      </c>
      <c r="CU76" s="17">
        <f>CT76*VLOOKUP('Données projet'!$B$13,Paramètres!$A$1:$I$89,3,0)*VLOOKUP('Données projet'!$B$13,Paramètres!$A$1:$I$89,5,0)</f>
        <v>163.99999999999991</v>
      </c>
      <c r="CV76" s="13">
        <f t="shared" si="95"/>
        <v>41.743425908362248</v>
      </c>
      <c r="CW76" s="20">
        <f t="shared" si="67"/>
        <v>358.33646679039742</v>
      </c>
      <c r="CX76" s="59">
        <f t="shared" si="68"/>
        <v>646.30418480529431</v>
      </c>
      <c r="CY76" s="59">
        <f ca="1">AVERAGE(OFFSET($CX$3,0,0,'Données projet'!$E$13+1,1))-AVERAGE(OFFSET($H$3,0,0,'Données projet'!$E$13+1,1))</f>
        <v>201.71903756761543</v>
      </c>
      <c r="CZ76" s="59">
        <f t="shared" si="96"/>
        <v>200.66422845182711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29.835398200437666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29.835398200437666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7.8049999999999962</v>
      </c>
      <c r="DO76" s="12">
        <f>IF('Données projet'!$A$166&gt;35,DO75+DN76-DW75,IF(A76&lt;'Données projet'!$A$166,$DL$205^A76,IF(A76='Données projet'!$A$166,'Données projet'!$B$166,DO75+DN76-DW75)))</f>
        <v>239.28000000000006</v>
      </c>
      <c r="DP76" s="17">
        <f>DO76*VLOOKUP('Données projet'!$B$14,Paramètres!$A$1:$I$89,3,0)*VLOOKUP('Données projet'!$B$14,Paramètres!$A$1:$I$89,5,0)</f>
        <v>227.69884800000005</v>
      </c>
      <c r="DQ76" s="13">
        <f t="shared" si="97"/>
        <v>55.784827856713498</v>
      </c>
      <c r="DR76" s="20">
        <f t="shared" si="70"/>
        <v>493.73406878377614</v>
      </c>
      <c r="DS76" s="59">
        <f t="shared" si="71"/>
        <v>781.70178679867308</v>
      </c>
      <c r="DT76" s="59">
        <f ca="1">AVERAGE(OFFSET($DS$3,0,0,'Données projet'!$E$14+1,1))-AVERAGE(OFFSET($H$3,0,0,'Données projet'!$E$14+1,1))</f>
        <v>502.4879901989737</v>
      </c>
      <c r="DU76" s="59">
        <f t="shared" si="98"/>
        <v>226.06453328626355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65.451801672947937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65.451801672947937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-5.6843418860808015E-14</v>
      </c>
      <c r="EK76" s="17">
        <f>EJ76*VLOOKUP('Données projet'!$B$15,Paramètres!$A$1:$I$89,3,0)*VLOOKUP('Données projet'!$B$15,Paramètres!$A$1:$I$89,5,0)</f>
        <v>-3.2543994166189806E-14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192.76157155207764</v>
      </c>
      <c r="EP76" s="59">
        <f t="shared" si="100"/>
        <v>413.66427458788348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31.758142263237719</v>
      </c>
      <c r="EW76" s="21">
        <f>EXP(-LN(2)/25)*EW75+(1-EXP(-LN(2)/25))/(LN(2)/25)*Calculateur!ER76*Calculateur!ET76*VLOOKUP('Données projet'!$B$15,Paramètres!$A$1:$I$89,3,0)*0.475*44/12</f>
        <v>5.6693351608188678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37.42747742405659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68.536650367699153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1.05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3.85</v>
      </c>
      <c r="H77" s="66">
        <f t="shared" si="56"/>
        <v>241.26666666666665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7.8049999999999962</v>
      </c>
      <c r="N77" s="13">
        <f>IF('Données projet'!$A$36&gt;35,N76+M77-V76,IF(A77&lt;'Données projet'!$A$36,$K$205^A77,IF(A77='Données projet'!$A$36,'Données projet'!$B$36,N76+M77-V76)))</f>
        <v>247.08500000000006</v>
      </c>
      <c r="O77" s="13">
        <f>N77*VLOOKUP('Données projet'!$B$9,Paramètres!$A$1:$I$89,3,0)*VLOOKUP('Données projet'!$B$9,Paramètres!$A$1:$I$89,5,0)</f>
        <v>223.56250800000007</v>
      </c>
      <c r="P77" s="13">
        <f t="shared" si="87"/>
        <v>54.888453863531012</v>
      </c>
      <c r="Q77" s="20">
        <f t="shared" si="54"/>
        <v>484.96875857898323</v>
      </c>
      <c r="R77" s="59">
        <f t="shared" si="55"/>
        <v>773.02955802393626</v>
      </c>
      <c r="S77" s="59">
        <f ca="1">AVERAGE(OFFSET($R$3,0,0,'Données projet'!$E$9+1,1))-AVERAGE(OFFSET($H$3,0,0,'Données projet'!$E$9+1,1))</f>
        <v>480.34707165277229</v>
      </c>
      <c r="T77" s="59">
        <f t="shared" si="88"/>
        <v>217.17128038304531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61.012512168857583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61.012512168857583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329.65</v>
      </c>
      <c r="AJ77" s="13">
        <f>AI77*VLOOKUP('Données projet'!$B$10,Paramètres!$A$1:$I$89,3,0)*VLOOKUP('Données projet'!$B$10,Paramètres!$A$1:$I$89,5,0)</f>
        <v>334.26509999999996</v>
      </c>
      <c r="AK77" s="13">
        <f t="shared" si="89"/>
        <v>78.313909245431049</v>
      </c>
      <c r="AL77" s="20">
        <f t="shared" si="58"/>
        <v>718.57510776912568</v>
      </c>
      <c r="AM77" s="59">
        <f t="shared" si="59"/>
        <v>1006.6359072140788</v>
      </c>
      <c r="AN77" s="59">
        <f ca="1">AVERAGE(OFFSET($AM$3,0,0,'Données projet'!$E$10+1,1))-AVERAGE(OFFSET($H$3,0,0,'Données projet'!$E$10+1,1))</f>
        <v>596.64394969449609</v>
      </c>
      <c r="AO77" s="59">
        <f t="shared" si="90"/>
        <v>312.55704723516362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108.91774399105513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108.91774399105513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737.24740174526892</v>
      </c>
      <c r="BI77" s="59">
        <f ca="1">AVERAGE(OFFSET($BH$3,0,0,'Données projet'!$E$11+1,1))-AVERAGE(OFFSET($H$3,0,0,'Données projet'!$E$11+1,1))</f>
        <v>360.53625471540249</v>
      </c>
      <c r="BJ77" s="59">
        <f t="shared" si="92"/>
        <v>326.66299410556076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50.193118824801353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50.193118824801353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838.37013428466685</v>
      </c>
      <c r="CD77" s="59">
        <f ca="1">AVERAGE(OFFSET($CC$3,0,0,'Données projet'!$E$12+1,1))-AVERAGE(OFFSET($H$3,0,0,'Données projet'!$E$12+1,1))</f>
        <v>358.39045200457502</v>
      </c>
      <c r="CE77" s="59">
        <f t="shared" si="94"/>
        <v>349.48764057925109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48.396541324532542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48.396541324532542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210.25641025641013</v>
      </c>
      <c r="CU77" s="17">
        <f>CT77*VLOOKUP('Données projet'!$B$13,Paramètres!$A$1:$I$89,3,0)*VLOOKUP('Données projet'!$B$13,Paramètres!$A$1:$I$89,5,0)</f>
        <v>163.99999999999991</v>
      </c>
      <c r="CV77" s="13">
        <f t="shared" si="95"/>
        <v>41.743425908362248</v>
      </c>
      <c r="CW77" s="20">
        <f t="shared" si="67"/>
        <v>358.33646679039742</v>
      </c>
      <c r="CX77" s="59">
        <f t="shared" si="68"/>
        <v>646.39726623535046</v>
      </c>
      <c r="CY77" s="59">
        <f ca="1">AVERAGE(OFFSET($CX$3,0,0,'Données projet'!$E$13+1,1))-AVERAGE(OFFSET($H$3,0,0,'Données projet'!$E$13+1,1))</f>
        <v>201.71903756761543</v>
      </c>
      <c r="CZ77" s="59">
        <f t="shared" si="96"/>
        <v>200.66422845182711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29.250344239523102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29.250344239523102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7.8049999999999962</v>
      </c>
      <c r="DO77" s="12">
        <f>IF('Données projet'!$A$166&gt;35,DO76+DN77-DW76,IF(A77&lt;'Données projet'!$A$166,$DL$205^A77,IF(A77='Données projet'!$A$166,'Données projet'!$B$166,DO76+DN77-DW76)))</f>
        <v>247.08500000000006</v>
      </c>
      <c r="DP77" s="17">
        <f>DO77*VLOOKUP('Données projet'!$B$14,Paramètres!$A$1:$I$89,3,0)*VLOOKUP('Données projet'!$B$14,Paramètres!$A$1:$I$89,5,0)</f>
        <v>235.12608600000007</v>
      </c>
      <c r="DQ77" s="13">
        <f t="shared" si="97"/>
        <v>57.389635253363871</v>
      </c>
      <c r="DR77" s="20">
        <f t="shared" si="70"/>
        <v>509.46488118294218</v>
      </c>
      <c r="DS77" s="59">
        <f t="shared" si="71"/>
        <v>797.52568062789521</v>
      </c>
      <c r="DT77" s="59">
        <f ca="1">AVERAGE(OFFSET($DS$3,0,0,'Données projet'!$E$14+1,1))-AVERAGE(OFFSET($H$3,0,0,'Données projet'!$E$14+1,1))</f>
        <v>502.4879901989737</v>
      </c>
      <c r="DU77" s="59">
        <f t="shared" si="98"/>
        <v>226.06453328626355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64.168331763798506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64.168331763798506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-5.6843418860808015E-14</v>
      </c>
      <c r="EK77" s="17">
        <f>EJ77*VLOOKUP('Données projet'!$B$15,Paramètres!$A$1:$I$89,3,0)*VLOOKUP('Données projet'!$B$15,Paramètres!$A$1:$I$89,5,0)</f>
        <v>-3.2543994166189806E-14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192.76157155207764</v>
      </c>
      <c r="EP77" s="59">
        <f t="shared" si="100"/>
        <v>413.66427458788348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31.135384464009725</v>
      </c>
      <c r="EW77" s="21">
        <f>EXP(-LN(2)/25)*EW76+(1-EXP(-LN(2)/25))/(LN(2)/25)*Calculateur!ER77*Calculateur!ET77*VLOOKUP('Données projet'!$B$15,Paramètres!$A$1:$I$89,3,0)*0.475*44/12</f>
        <v>5.5143068927088974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36.64969135671862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68.562036212259912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1.05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3.85</v>
      </c>
      <c r="H78" s="66">
        <f t="shared" si="56"/>
        <v>241.26666666666665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254.89</v>
      </c>
      <c r="L78" s="12">
        <f>VLOOKUP(A78,'Données projet'!$A$35:$I$55,9,0)</f>
        <v>7.8049999999999962</v>
      </c>
      <c r="M78" s="12">
        <f t="array" ref="M78">INDEX(L:L,MIN(IF(ISNUMBER(L78:L274),ROW(L78:L274),"")))</f>
        <v>7.8049999999999962</v>
      </c>
      <c r="N78" s="13">
        <f>IF('Données projet'!$A$36&gt;35,N77+M78-V77,IF(A78&lt;'Données projet'!$A$36,$K$205^A78,IF(A78='Données projet'!$A$36,'Données projet'!$B$36,N77+M78-V77)))</f>
        <v>254.89000000000007</v>
      </c>
      <c r="O78" s="13">
        <f>N78*VLOOKUP('Données projet'!$B$9,Paramètres!$A$1:$I$89,3,0)*VLOOKUP('Données projet'!$B$9,Paramètres!$A$1:$I$89,5,0)</f>
        <v>230.62447200000003</v>
      </c>
      <c r="P78" s="13">
        <f t="shared" si="87"/>
        <v>56.417685662698347</v>
      </c>
      <c r="Q78" s="20">
        <f t="shared" si="54"/>
        <v>499.9317579291997</v>
      </c>
      <c r="R78" s="59">
        <f t="shared" si="55"/>
        <v>788.08402404949629</v>
      </c>
      <c r="S78" s="59">
        <f ca="1">AVERAGE(OFFSET($R$3,0,0,'Données projet'!$E$9+1,1))-AVERAGE(OFFSET($H$3,0,0,'Données projet'!$E$9+1,1))</f>
        <v>480.34707165277229</v>
      </c>
      <c r="T78" s="59">
        <f t="shared" si="88"/>
        <v>217.17128038304531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39.54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76.822197714126844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76.822197714126844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340.65999999999997</v>
      </c>
      <c r="AJ78" s="13">
        <f>AI78*VLOOKUP('Données projet'!$B$10,Paramètres!$A$1:$I$89,3,0)*VLOOKUP('Données projet'!$B$10,Paramètres!$A$1:$I$89,5,0)</f>
        <v>345.42923999999999</v>
      </c>
      <c r="AK78" s="13">
        <f t="shared" si="89"/>
        <v>80.620625447838862</v>
      </c>
      <c r="AL78" s="20">
        <f t="shared" si="58"/>
        <v>742.03684898831932</v>
      </c>
      <c r="AM78" s="59">
        <f t="shared" si="59"/>
        <v>1030.1891151086159</v>
      </c>
      <c r="AN78" s="59">
        <f ca="1">AVERAGE(OFFSET($AM$3,0,0,'Données projet'!$E$10+1,1))-AVERAGE(OFFSET($H$3,0,0,'Données projet'!$E$10+1,1))</f>
        <v>596.64394969449609</v>
      </c>
      <c r="AO78" s="59">
        <f t="shared" si="90"/>
        <v>312.55704723516362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106.78193346465464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106.78193346465464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745.49764356613287</v>
      </c>
      <c r="BI78" s="59">
        <f ca="1">AVERAGE(OFFSET($BH$3,0,0,'Données projet'!$E$11+1,1))-AVERAGE(OFFSET($H$3,0,0,'Données projet'!$E$11+1,1))</f>
        <v>360.53625471540249</v>
      </c>
      <c r="BJ78" s="59">
        <f t="shared" si="92"/>
        <v>326.66299410556076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55.853146173519221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55.853146173519221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845.52414753926382</v>
      </c>
      <c r="CD78" s="59">
        <f ca="1">AVERAGE(OFFSET($CC$3,0,0,'Données projet'!$E$12+1,1))-AVERAGE(OFFSET($H$3,0,0,'Données projet'!$E$12+1,1))</f>
        <v>358.39045200457502</v>
      </c>
      <c r="CE78" s="59">
        <f t="shared" si="94"/>
        <v>349.48764057925109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53.04121247609671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53.04121247609671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210.25641025641013</v>
      </c>
      <c r="CU78" s="17">
        <f>CT78*VLOOKUP('Données projet'!$B$13,Paramètres!$A$1:$I$89,3,0)*VLOOKUP('Données projet'!$B$13,Paramètres!$A$1:$I$89,5,0)</f>
        <v>163.99999999999991</v>
      </c>
      <c r="CV78" s="13">
        <f t="shared" si="95"/>
        <v>41.743425908362248</v>
      </c>
      <c r="CW78" s="20">
        <f t="shared" si="67"/>
        <v>358.33646679039742</v>
      </c>
      <c r="CX78" s="59">
        <f t="shared" si="68"/>
        <v>646.48873291069401</v>
      </c>
      <c r="CY78" s="59">
        <f ca="1">AVERAGE(OFFSET($CX$3,0,0,'Données projet'!$E$13+1,1))-AVERAGE(OFFSET($H$3,0,0,'Données projet'!$E$13+1,1))</f>
        <v>201.71903756761543</v>
      </c>
      <c r="CZ78" s="59">
        <f t="shared" si="96"/>
        <v>200.66422845182711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28.676762829934393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28.676762829934393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254.89</v>
      </c>
      <c r="DM78" s="12">
        <f>VLOOKUP(A78,'Données projet'!$A$165:$I$185,9,0)</f>
        <v>7.8049999999999962</v>
      </c>
      <c r="DN78" s="12">
        <f t="array" ref="DN78">INDEX(DM:DM,MIN(IF(ISNUMBER(DM78:DM274),ROW(DM78:DM274),"")))</f>
        <v>7.8049999999999962</v>
      </c>
      <c r="DO78" s="12">
        <f>IF('Données projet'!$A$166&gt;35,DO77+DN78-DW77,IF(A78&lt;'Données projet'!$A$166,$DL$205^A78,IF(A78='Données projet'!$A$166,'Données projet'!$B$166,DO77+DN78-DW77)))</f>
        <v>254.89000000000007</v>
      </c>
      <c r="DP78" s="17">
        <f>DO78*VLOOKUP('Données projet'!$B$14,Paramètres!$A$1:$I$89,3,0)*VLOOKUP('Données projet'!$B$14,Paramètres!$A$1:$I$89,5,0)</f>
        <v>242.55332400000006</v>
      </c>
      <c r="DQ78" s="13">
        <f t="shared" si="97"/>
        <v>58.988551764844736</v>
      </c>
      <c r="DR78" s="20">
        <f t="shared" si="70"/>
        <v>525.18543362377125</v>
      </c>
      <c r="DS78" s="59">
        <f t="shared" si="71"/>
        <v>813.33769974406778</v>
      </c>
      <c r="DT78" s="59">
        <f ca="1">AVERAGE(OFFSET($DS$3,0,0,'Données projet'!$E$14+1,1))-AVERAGE(OFFSET($H$3,0,0,'Données projet'!$E$14+1,1))</f>
        <v>502.4879901989737</v>
      </c>
      <c r="DU78" s="59">
        <f t="shared" si="98"/>
        <v>226.06453328626355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39.54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80.795759664857556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80.795759664857556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-5.6843418860808015E-14</v>
      </c>
      <c r="EK78" s="17">
        <f>EJ78*VLOOKUP('Données projet'!$B$15,Paramètres!$A$1:$I$89,3,0)*VLOOKUP('Données projet'!$B$15,Paramètres!$A$1:$I$89,5,0)</f>
        <v>-3.2543994166189806E-14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192.76157155207764</v>
      </c>
      <c r="EP78" s="59">
        <f t="shared" si="100"/>
        <v>413.66427458788348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30.524838565379842</v>
      </c>
      <c r="EW78" s="21">
        <f>EXP(-LN(2)/25)*EW77+(1-EXP(-LN(2)/25))/(LN(2)/25)*Calculateur!ER78*Calculateur!ET78*VLOOKUP('Données projet'!$B$15,Paramètres!$A$1:$I$89,3,0)*0.475*44/12</f>
        <v>5.3635178807429762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35.88835644612282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68.586981669171792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1.05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3.85</v>
      </c>
      <c r="H79" s="66">
        <f t="shared" si="56"/>
        <v>241.26666666666665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7.6022222222222204</v>
      </c>
      <c r="N79" s="13">
        <f>IF('Données projet'!$A$36&gt;35,N78+M79-V78,IF(A79&lt;'Données projet'!$A$36,$K$205^A79,IF(A79='Données projet'!$A$36,'Données projet'!$B$36,N78+M79-V78)))</f>
        <v>222.95222222222228</v>
      </c>
      <c r="O79" s="13">
        <f>N79*VLOOKUP('Données projet'!$B$9,Paramètres!$A$1:$I$89,3,0)*VLOOKUP('Données projet'!$B$9,Paramètres!$A$1:$I$89,5,0)</f>
        <v>201.72717066666669</v>
      </c>
      <c r="P79" s="13">
        <f t="shared" si="87"/>
        <v>50.123557392624321</v>
      </c>
      <c r="Q79" s="20">
        <f t="shared" si="54"/>
        <v>438.64001803659852</v>
      </c>
      <c r="R79" s="59">
        <f t="shared" si="55"/>
        <v>726.88216408991025</v>
      </c>
      <c r="S79" s="59">
        <f ca="1">AVERAGE(OFFSET($R$3,0,0,'Données projet'!$E$9+1,1))-AVERAGE(OFFSET($H$3,0,0,'Données projet'!$E$9+1,1))</f>
        <v>480.34707165277229</v>
      </c>
      <c r="T79" s="59">
        <f t="shared" si="88"/>
        <v>217.17128038304531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75.315761273866684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75.315761273866684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351.66999999999996</v>
      </c>
      <c r="AJ79" s="13">
        <f>AI79*VLOOKUP('Données projet'!$B$10,Paramètres!$A$1:$I$89,3,0)*VLOOKUP('Données projet'!$B$10,Paramètres!$A$1:$I$89,5,0)</f>
        <v>356.59337999999997</v>
      </c>
      <c r="AK79" s="13">
        <f t="shared" si="89"/>
        <v>82.918678485848602</v>
      </c>
      <c r="AL79" s="20">
        <f t="shared" si="58"/>
        <v>765.4835018628529</v>
      </c>
      <c r="AM79" s="59">
        <f t="shared" si="59"/>
        <v>1053.7256479161647</v>
      </c>
      <c r="AN79" s="59">
        <f ca="1">AVERAGE(OFFSET($AM$3,0,0,'Données projet'!$E$10+1,1))-AVERAGE(OFFSET($H$3,0,0,'Données projet'!$E$10+1,1))</f>
        <v>596.64394969449609</v>
      </c>
      <c r="AO79" s="59">
        <f t="shared" si="90"/>
        <v>312.55704723516362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104.68800487996107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104.68800487996107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723.32880696173027</v>
      </c>
      <c r="BI79" s="59">
        <f ca="1">AVERAGE(OFFSET($BH$3,0,0,'Données projet'!$E$11+1,1))-AVERAGE(OFFSET($H$3,0,0,'Données projet'!$E$11+1,1))</f>
        <v>360.53625471540249</v>
      </c>
      <c r="BJ79" s="59">
        <f t="shared" si="92"/>
        <v>326.66299410556076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54.757900044111835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54.757900044111835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831.48703303099705</v>
      </c>
      <c r="CD79" s="59">
        <f ca="1">AVERAGE(OFFSET($CC$3,0,0,'Données projet'!$E$12+1,1))-AVERAGE(OFFSET($H$3,0,0,'Données projet'!$E$12+1,1))</f>
        <v>358.39045200457502</v>
      </c>
      <c r="CE79" s="59">
        <f t="shared" si="94"/>
        <v>349.48764057925109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52.001106651385577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52.001106651385577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210.25641025641013</v>
      </c>
      <c r="CU79" s="17">
        <f>CT79*VLOOKUP('Données projet'!$B$13,Paramètres!$A$1:$I$89,3,0)*VLOOKUP('Données projet'!$B$13,Paramètres!$A$1:$I$89,5,0)</f>
        <v>163.99999999999991</v>
      </c>
      <c r="CV79" s="13">
        <f t="shared" si="95"/>
        <v>41.743425908362248</v>
      </c>
      <c r="CW79" s="20">
        <f t="shared" si="67"/>
        <v>358.33646679039742</v>
      </c>
      <c r="CX79" s="59">
        <f t="shared" si="68"/>
        <v>646.57861284370915</v>
      </c>
      <c r="CY79" s="59">
        <f ca="1">AVERAGE(OFFSET($CX$3,0,0,'Données projet'!$E$13+1,1))-AVERAGE(OFFSET($H$3,0,0,'Données projet'!$E$13+1,1))</f>
        <v>201.71903756761543</v>
      </c>
      <c r="CZ79" s="59">
        <f t="shared" si="96"/>
        <v>200.66422845182711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28.114429001937605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28.114429001937605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7.6022222222222204</v>
      </c>
      <c r="DO79" s="12">
        <f>IF('Données projet'!$A$166&gt;35,DO78+DN79-DW78,IF(A79&lt;'Données projet'!$A$166,$DL$205^A79,IF(A79='Données projet'!$A$166,'Données projet'!$B$166,DO78+DN79-DW78)))</f>
        <v>222.95222222222228</v>
      </c>
      <c r="DP79" s="17">
        <f>DO79*VLOOKUP('Données projet'!$B$14,Paramètres!$A$1:$I$89,3,0)*VLOOKUP('Données projet'!$B$14,Paramètres!$A$1:$I$89,5,0)</f>
        <v>212.1613346666667</v>
      </c>
      <c r="DQ79" s="13">
        <f t="shared" si="97"/>
        <v>52.407609868475674</v>
      </c>
      <c r="DR79" s="20">
        <f t="shared" si="70"/>
        <v>460.79091173203955</v>
      </c>
      <c r="DS79" s="59">
        <f t="shared" si="71"/>
        <v>749.03305778535128</v>
      </c>
      <c r="DT79" s="59">
        <f ca="1">AVERAGE(OFFSET($DS$3,0,0,'Données projet'!$E$14+1,1))-AVERAGE(OFFSET($H$3,0,0,'Données projet'!$E$14+1,1))</f>
        <v>502.4879901989737</v>
      </c>
      <c r="DU79" s="59">
        <f t="shared" si="98"/>
        <v>226.06453328626355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79.211404098377045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79.211404098377045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-5.6843418860808015E-14</v>
      </c>
      <c r="EK79" s="17">
        <f>EJ79*VLOOKUP('Données projet'!$B$15,Paramètres!$A$1:$I$89,3,0)*VLOOKUP('Données projet'!$B$15,Paramètres!$A$1:$I$89,5,0)</f>
        <v>-3.2543994166189806E-14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192.76157155207764</v>
      </c>
      <c r="EP79" s="59">
        <f t="shared" si="100"/>
        <v>413.66427458788348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29.926265099425862</v>
      </c>
      <c r="EW79" s="21">
        <f>EXP(-LN(2)/25)*EW78+(1-EXP(-LN(2)/25))/(LN(2)/25)*Calculateur!ER79*Calculateur!ET79*VLOOKUP('Données projet'!$B$15,Paramètres!$A$1:$I$89,3,0)*0.475*44/12</f>
        <v>5.216852202238913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35.143117301664773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68.611494378175934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1.05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3.85</v>
      </c>
      <c r="H80" s="66">
        <f t="shared" si="56"/>
        <v>241.26666666666665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7.6022222222222204</v>
      </c>
      <c r="N80" s="13">
        <f>IF('Données projet'!$A$36&gt;35,N79+M80-V79,IF(A80&lt;'Données projet'!$A$36,$K$205^A80,IF(A80='Données projet'!$A$36,'Données projet'!$B$36,N79+M80-V79)))</f>
        <v>230.5544444444445</v>
      </c>
      <c r="O80" s="13">
        <f>N80*VLOOKUP('Données projet'!$B$9,Paramètres!$A$1:$I$89,3,0)*VLOOKUP('Données projet'!$B$9,Paramètres!$A$1:$I$89,5,0)</f>
        <v>208.60566133333339</v>
      </c>
      <c r="P80" s="13">
        <f t="shared" si="87"/>
        <v>51.630769581843552</v>
      </c>
      <c r="Q80" s="20">
        <f t="shared" si="54"/>
        <v>453.24511717726642</v>
      </c>
      <c r="R80" s="59">
        <f t="shared" si="55"/>
        <v>741.57558394769694</v>
      </c>
      <c r="S80" s="59">
        <f ca="1">AVERAGE(OFFSET($R$3,0,0,'Données projet'!$E$9+1,1))-AVERAGE(OFFSET($H$3,0,0,'Données projet'!$E$9+1,1))</f>
        <v>480.34707165277229</v>
      </c>
      <c r="T80" s="59">
        <f t="shared" si="88"/>
        <v>217.17128038304531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73.838865133364521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73.838865133364521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362.67999999999995</v>
      </c>
      <c r="AJ80" s="13">
        <f>AI80*VLOOKUP('Données projet'!$B$10,Paramètres!$A$1:$I$89,3,0)*VLOOKUP('Données projet'!$B$10,Paramètres!$A$1:$I$89,5,0)</f>
        <v>367.75751999999994</v>
      </c>
      <c r="AK80" s="13">
        <f t="shared" si="89"/>
        <v>85.208370703405464</v>
      </c>
      <c r="AL80" s="20">
        <f t="shared" si="58"/>
        <v>788.91559297509775</v>
      </c>
      <c r="AM80" s="59">
        <f t="shared" si="59"/>
        <v>1077.2460597455283</v>
      </c>
      <c r="AN80" s="59">
        <f ca="1">AVERAGE(OFFSET($AM$3,0,0,'Données projet'!$E$10+1,1))-AVERAGE(OFFSET($H$3,0,0,'Données projet'!$E$10+1,1))</f>
        <v>596.64394969449609</v>
      </c>
      <c r="AO80" s="59">
        <f t="shared" si="90"/>
        <v>312.55704723516362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102.63513695764301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102.63513695764301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730.83935058380484</v>
      </c>
      <c r="BI80" s="59">
        <f ca="1">AVERAGE(OFFSET($BH$3,0,0,'Données projet'!$E$11+1,1))-AVERAGE(OFFSET($H$3,0,0,'Données projet'!$E$11+1,1))</f>
        <v>360.53625471540249</v>
      </c>
      <c r="BJ80" s="59">
        <f t="shared" si="92"/>
        <v>326.66299410556076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53.684131023267952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53.684131023267952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837.63071182862018</v>
      </c>
      <c r="CD80" s="59">
        <f ca="1">AVERAGE(OFFSET($CC$3,0,0,'Données projet'!$E$12+1,1))-AVERAGE(OFFSET($H$3,0,0,'Données projet'!$E$12+1,1))</f>
        <v>358.39045200457502</v>
      </c>
      <c r="CE80" s="59">
        <f t="shared" si="94"/>
        <v>349.48764057925109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50.981396667495119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50.981396667495119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210.25641025641013</v>
      </c>
      <c r="CU80" s="17">
        <f>CT80*VLOOKUP('Données projet'!$B$13,Paramètres!$A$1:$I$89,3,0)*VLOOKUP('Données projet'!$B$13,Paramètres!$A$1:$I$89,5,0)</f>
        <v>163.99999999999991</v>
      </c>
      <c r="CV80" s="13">
        <f t="shared" si="95"/>
        <v>41.743425908362248</v>
      </c>
      <c r="CW80" s="20">
        <f t="shared" si="67"/>
        <v>358.33646679039742</v>
      </c>
      <c r="CX80" s="59">
        <f t="shared" si="68"/>
        <v>646.66693356082794</v>
      </c>
      <c r="CY80" s="59">
        <f ca="1">AVERAGE(OFFSET($CX$3,0,0,'Données projet'!$E$13+1,1))-AVERAGE(OFFSET($H$3,0,0,'Données projet'!$E$13+1,1))</f>
        <v>201.71903756761543</v>
      </c>
      <c r="CZ80" s="59">
        <f t="shared" si="96"/>
        <v>200.66422845182711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27.563122197318066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27.563122197318066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7.6022222222222204</v>
      </c>
      <c r="DO80" s="12">
        <f>IF('Données projet'!$A$166&gt;35,DO79+DN80-DW79,IF(A80&lt;'Données projet'!$A$166,$DL$205^A80,IF(A80='Données projet'!$A$166,'Données projet'!$B$166,DO79+DN80-DW79)))</f>
        <v>230.5544444444445</v>
      </c>
      <c r="DP80" s="17">
        <f>DO80*VLOOKUP('Données projet'!$B$14,Paramètres!$A$1:$I$89,3,0)*VLOOKUP('Données projet'!$B$14,Paramètres!$A$1:$I$89,5,0)</f>
        <v>219.39560933333337</v>
      </c>
      <c r="DQ80" s="13">
        <f t="shared" si="97"/>
        <v>53.983503370664202</v>
      </c>
      <c r="DR80" s="20">
        <f t="shared" si="70"/>
        <v>476.1352879594624</v>
      </c>
      <c r="DS80" s="59">
        <f t="shared" si="71"/>
        <v>764.46575472989298</v>
      </c>
      <c r="DT80" s="59">
        <f ca="1">AVERAGE(OFFSET($DS$3,0,0,'Données projet'!$E$14+1,1))-AVERAGE(OFFSET($H$3,0,0,'Données projet'!$E$14+1,1))</f>
        <v>502.4879901989737</v>
      </c>
      <c r="DU80" s="59">
        <f t="shared" si="98"/>
        <v>226.06453328626355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77.658116778193744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77.658116778193744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-5.6843418860808015E-14</v>
      </c>
      <c r="EK80" s="17">
        <f>EJ80*VLOOKUP('Données projet'!$B$15,Paramètres!$A$1:$I$89,3,0)*VLOOKUP('Données projet'!$B$15,Paramètres!$A$1:$I$89,5,0)</f>
        <v>-3.2543994166189806E-14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192.76157155207764</v>
      </c>
      <c r="EP80" s="59">
        <f t="shared" si="100"/>
        <v>413.66427458788348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29.339429294045477</v>
      </c>
      <c r="EW80" s="21">
        <f>EXP(-LN(2)/25)*EW79+(1-EXP(-LN(2)/25))/(LN(2)/25)*Calculateur!ER80*Calculateur!ET80*VLOOKUP('Données projet'!$B$15,Paramètres!$A$1:$I$89,3,0)*0.475*44/12</f>
        <v>5.0741971044263563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34.413626398471834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68.63558184648106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1.05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3.85</v>
      </c>
      <c r="H81" s="66">
        <f t="shared" si="56"/>
        <v>241.26666666666665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7.6022222222222204</v>
      </c>
      <c r="N81" s="13">
        <f>IF('Données projet'!$A$36&gt;35,N80+M81-V80,IF(A81&lt;'Données projet'!$A$36,$K$205^A81,IF(A81='Données projet'!$A$36,'Données projet'!$B$36,N80+M81-V80)))</f>
        <v>238.15666666666672</v>
      </c>
      <c r="O81" s="13">
        <f>N81*VLOOKUP('Données projet'!$B$9,Paramètres!$A$1:$I$89,3,0)*VLOOKUP('Données projet'!$B$9,Paramètres!$A$1:$I$89,5,0)</f>
        <v>215.48415200000005</v>
      </c>
      <c r="P81" s="13">
        <f t="shared" si="87"/>
        <v>53.132206871765355</v>
      </c>
      <c r="Q81" s="20">
        <f t="shared" si="54"/>
        <v>467.84015836832464</v>
      </c>
      <c r="R81" s="59">
        <f t="shared" si="55"/>
        <v>756.25741368888748</v>
      </c>
      <c r="S81" s="59">
        <f ca="1">AVERAGE(OFFSET($R$3,0,0,'Données projet'!$E$9+1,1))-AVERAGE(OFFSET($H$3,0,0,'Données projet'!$E$9+1,1))</f>
        <v>480.34707165277229</v>
      </c>
      <c r="T81" s="59">
        <f t="shared" si="88"/>
        <v>217.17128038304531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72.390930025359921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72.390930025359921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373.68999999999994</v>
      </c>
      <c r="AJ81" s="13">
        <f>AI81*VLOOKUP('Données projet'!$B$10,Paramètres!$A$1:$I$89,3,0)*VLOOKUP('Données projet'!$B$10,Paramètres!$A$1:$I$89,5,0)</f>
        <v>378.92165999999992</v>
      </c>
      <c r="AK81" s="13">
        <f t="shared" si="89"/>
        <v>87.489985044625499</v>
      </c>
      <c r="AL81" s="20">
        <f t="shared" si="58"/>
        <v>812.33361511938926</v>
      </c>
      <c r="AM81" s="59">
        <f t="shared" si="59"/>
        <v>1100.7508704399522</v>
      </c>
      <c r="AN81" s="59">
        <f ca="1">AVERAGE(OFFSET($AM$3,0,0,'Données projet'!$E$10+1,1))-AVERAGE(OFFSET($H$3,0,0,'Données projet'!$E$10+1,1))</f>
        <v>596.64394969449609</v>
      </c>
      <c r="AO81" s="59">
        <f t="shared" si="90"/>
        <v>312.55704723516362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100.62252452315582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100.62252452315582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738.34569457429234</v>
      </c>
      <c r="BI81" s="59">
        <f ca="1">AVERAGE(OFFSET($BH$3,0,0,'Données projet'!$E$11+1,1))-AVERAGE(OFFSET($H$3,0,0,'Données projet'!$E$11+1,1))</f>
        <v>360.53625471540249</v>
      </c>
      <c r="BJ81" s="59">
        <f t="shared" si="92"/>
        <v>326.66299410556076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52.631417957988383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52.631417957988383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843.77145867929653</v>
      </c>
      <c r="CD81" s="59">
        <f ca="1">AVERAGE(OFFSET($CC$3,0,0,'Données projet'!$E$12+1,1))-AVERAGE(OFFSET($H$3,0,0,'Données projet'!$E$12+1,1))</f>
        <v>358.39045200457502</v>
      </c>
      <c r="CE81" s="59">
        <f t="shared" si="94"/>
        <v>349.48764057925109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49.981682574427076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49.981682574427076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210.25641025641013</v>
      </c>
      <c r="CU81" s="17">
        <f>CT81*VLOOKUP('Données projet'!$B$13,Paramètres!$A$1:$I$89,3,0)*VLOOKUP('Données projet'!$B$13,Paramètres!$A$1:$I$89,5,0)</f>
        <v>163.99999999999991</v>
      </c>
      <c r="CV81" s="13">
        <f t="shared" si="95"/>
        <v>41.743425908362248</v>
      </c>
      <c r="CW81" s="20">
        <f t="shared" si="67"/>
        <v>358.33646679039742</v>
      </c>
      <c r="CX81" s="59">
        <f t="shared" si="68"/>
        <v>646.75372211096033</v>
      </c>
      <c r="CY81" s="59">
        <f ca="1">AVERAGE(OFFSET($CX$3,0,0,'Données projet'!$E$13+1,1))-AVERAGE(OFFSET($H$3,0,0,'Données projet'!$E$13+1,1))</f>
        <v>201.71903756761543</v>
      </c>
      <c r="CZ81" s="59">
        <f t="shared" si="96"/>
        <v>200.66422845182711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27.022626182873168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27.022626182873168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7.6022222222222204</v>
      </c>
      <c r="DO81" s="12">
        <f>IF('Données projet'!$A$166&gt;35,DO80+DN81-DW80,IF(A81&lt;'Données projet'!$A$166,$DL$205^A81,IF(A81='Données projet'!$A$166,'Données projet'!$B$166,DO80+DN81-DW80)))</f>
        <v>238.15666666666672</v>
      </c>
      <c r="DP81" s="17">
        <f>DO81*VLOOKUP('Données projet'!$B$14,Paramètres!$A$1:$I$89,3,0)*VLOOKUP('Données projet'!$B$14,Paramètres!$A$1:$I$89,5,0)</f>
        <v>226.62988400000003</v>
      </c>
      <c r="DQ81" s="13">
        <f t="shared" si="97"/>
        <v>55.553358820384972</v>
      </c>
      <c r="DR81" s="20">
        <f t="shared" si="70"/>
        <v>491.46914791217046</v>
      </c>
      <c r="DS81" s="59">
        <f t="shared" si="71"/>
        <v>779.8864032327333</v>
      </c>
      <c r="DT81" s="59">
        <f ca="1">AVERAGE(OFFSET($DS$3,0,0,'Données projet'!$E$14+1,1))-AVERAGE(OFFSET($H$3,0,0,'Données projet'!$E$14+1,1))</f>
        <v>502.4879901989737</v>
      </c>
      <c r="DU81" s="59">
        <f t="shared" si="98"/>
        <v>226.06453328626355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76.135288474947515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76.135288474947515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-5.6843418860808015E-14</v>
      </c>
      <c r="EK81" s="17">
        <f>EJ81*VLOOKUP('Données projet'!$B$15,Paramètres!$A$1:$I$89,3,0)*VLOOKUP('Données projet'!$B$15,Paramètres!$A$1:$I$89,5,0)</f>
        <v>-3.2543994166189806E-14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192.76157155207764</v>
      </c>
      <c r="EP81" s="59">
        <f t="shared" si="100"/>
        <v>413.66427458788348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28.764100980874101</v>
      </c>
      <c r="EW81" s="21">
        <f>EXP(-LN(2)/25)*EW80+(1-EXP(-LN(2)/25))/(LN(2)/25)*Calculateur!ER81*Calculateur!ET81*VLOOKUP('Données projet'!$B$15,Paramètres!$A$1:$I$89,3,0)*0.475*44/12</f>
        <v>4.9354429177653891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33.69954389863949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68.659251451062602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1.05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3.85</v>
      </c>
      <c r="H82" s="66">
        <f t="shared" si="56"/>
        <v>241.26666666666665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7.6022222222222204</v>
      </c>
      <c r="N82" s="13">
        <f>IF('Données projet'!$A$36&gt;35,N81+M82-V81,IF(A82&lt;'Données projet'!$A$36,$K$205^A82,IF(A82='Données projet'!$A$36,'Données projet'!$B$36,N81+M82-V81)))</f>
        <v>245.75888888888895</v>
      </c>
      <c r="O82" s="13">
        <f>N82*VLOOKUP('Données projet'!$B$9,Paramètres!$A$1:$I$89,3,0)*VLOOKUP('Données projet'!$B$9,Paramètres!$A$1:$I$89,5,0)</f>
        <v>222.36264266666669</v>
      </c>
      <c r="P82" s="13">
        <f t="shared" si="87"/>
        <v>54.628074749793278</v>
      </c>
      <c r="Q82" s="20">
        <f t="shared" si="54"/>
        <v>482.42549950033452</v>
      </c>
      <c r="R82" s="59">
        <f t="shared" si="55"/>
        <v>770.92803778371501</v>
      </c>
      <c r="S82" s="59">
        <f ca="1">AVERAGE(OFFSET($R$3,0,0,'Données projet'!$E$9+1,1))-AVERAGE(OFFSET($H$3,0,0,'Données projet'!$E$9+1,1))</f>
        <v>480.34707165277229</v>
      </c>
      <c r="T82" s="59">
        <f t="shared" si="88"/>
        <v>217.17128038304531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70.971388041670068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70.971388041670068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384.69999999999993</v>
      </c>
      <c r="AJ82" s="13">
        <f>AI82*VLOOKUP('Données projet'!$B$10,Paramètres!$A$1:$I$89,3,0)*VLOOKUP('Données projet'!$B$10,Paramètres!$A$1:$I$89,5,0)</f>
        <v>390.08580000000001</v>
      </c>
      <c r="AK82" s="13">
        <f t="shared" si="89"/>
        <v>89.763786833048727</v>
      </c>
      <c r="AL82" s="20">
        <f t="shared" si="58"/>
        <v>835.73803040089308</v>
      </c>
      <c r="AM82" s="59">
        <f t="shared" si="59"/>
        <v>1124.2405686842735</v>
      </c>
      <c r="AN82" s="59">
        <f ca="1">AVERAGE(OFFSET($AM$3,0,0,'Données projet'!$E$10+1,1))-AVERAGE(OFFSET($H$3,0,0,'Données projet'!$E$10+1,1))</f>
        <v>596.64394969449609</v>
      </c>
      <c r="AO82" s="59">
        <f t="shared" si="90"/>
        <v>312.55704723516362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98.649378190936545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98.649378190936545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745.84791572921677</v>
      </c>
      <c r="BI82" s="59">
        <f ca="1">AVERAGE(OFFSET($BH$3,0,0,'Données projet'!$E$11+1,1))-AVERAGE(OFFSET($H$3,0,0,'Données projet'!$E$11+1,1))</f>
        <v>360.53625471540249</v>
      </c>
      <c r="BJ82" s="59">
        <f t="shared" si="92"/>
        <v>326.66299410556076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51.599347953827376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51.599347953827376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849.9093175801579</v>
      </c>
      <c r="CD82" s="59">
        <f ca="1">AVERAGE(OFFSET($CC$3,0,0,'Données projet'!$E$12+1,1))-AVERAGE(OFFSET($H$3,0,0,'Données projet'!$E$12+1,1))</f>
        <v>358.39045200457502</v>
      </c>
      <c r="CE82" s="59">
        <f t="shared" si="94"/>
        <v>349.48764057925109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49.00157226495871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49.00157226495871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210.25641025641013</v>
      </c>
      <c r="CU82" s="17">
        <f>CT82*VLOOKUP('Données projet'!$B$13,Paramètres!$A$1:$I$89,3,0)*VLOOKUP('Données projet'!$B$13,Paramètres!$A$1:$I$89,5,0)</f>
        <v>163.99999999999991</v>
      </c>
      <c r="CV82" s="13">
        <f t="shared" si="95"/>
        <v>41.743425908362248</v>
      </c>
      <c r="CW82" s="20">
        <f t="shared" si="67"/>
        <v>358.33646679039742</v>
      </c>
      <c r="CX82" s="59">
        <f t="shared" si="68"/>
        <v>646.83900507377791</v>
      </c>
      <c r="CY82" s="59">
        <f ca="1">AVERAGE(OFFSET($CX$3,0,0,'Données projet'!$E$13+1,1))-AVERAGE(OFFSET($H$3,0,0,'Données projet'!$E$13+1,1))</f>
        <v>201.71903756761543</v>
      </c>
      <c r="CZ82" s="59">
        <f t="shared" si="96"/>
        <v>200.66422845182711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26.492728965601518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26.492728965601518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7.6022222222222204</v>
      </c>
      <c r="DO82" s="12">
        <f>IF('Données projet'!$A$166&gt;35,DO81+DN82-DW81,IF(A82&lt;'Données projet'!$A$166,$DL$205^A82,IF(A82='Données projet'!$A$166,'Données projet'!$B$166,DO81+DN82-DW81)))</f>
        <v>245.75888888888895</v>
      </c>
      <c r="DP82" s="17">
        <f>DO82*VLOOKUP('Données projet'!$B$14,Paramètres!$A$1:$I$89,3,0)*VLOOKUP('Données projet'!$B$14,Paramètres!$A$1:$I$89,5,0)</f>
        <v>233.86415866666673</v>
      </c>
      <c r="DQ82" s="13">
        <f t="shared" si="97"/>
        <v>57.11739106878256</v>
      </c>
      <c r="DR82" s="20">
        <f t="shared" si="70"/>
        <v>506.79286578924075</v>
      </c>
      <c r="DS82" s="59">
        <f t="shared" si="71"/>
        <v>795.2954040726213</v>
      </c>
      <c r="DT82" s="59">
        <f ca="1">AVERAGE(OFFSET($DS$3,0,0,'Données projet'!$E$14+1,1))-AVERAGE(OFFSET($H$3,0,0,'Données projet'!$E$14+1,1))</f>
        <v>502.4879901989737</v>
      </c>
      <c r="DU82" s="59">
        <f t="shared" si="98"/>
        <v>226.06453328626355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74.642321905894391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74.642321905894391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-5.6843418860808015E-14</v>
      </c>
      <c r="EK82" s="17">
        <f>EJ82*VLOOKUP('Données projet'!$B$15,Paramètres!$A$1:$I$89,3,0)*VLOOKUP('Données projet'!$B$15,Paramètres!$A$1:$I$89,5,0)</f>
        <v>-3.2543994166189806E-14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192.76157155207764</v>
      </c>
      <c r="EP82" s="59">
        <f t="shared" si="100"/>
        <v>413.66427458788348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28.200054505008396</v>
      </c>
      <c r="EW82" s="21">
        <f>EXP(-LN(2)/25)*EW81+(1-EXP(-LN(2)/25))/(LN(2)/25)*Calculateur!ER82*Calculateur!ET82*VLOOKUP('Données projet'!$B$15,Paramètres!$A$1:$I$89,3,0)*0.475*44/12</f>
        <v>4.8004829716354314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33.000537476643828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68.682510440921959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1.05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3.85</v>
      </c>
      <c r="H83" s="66">
        <f t="shared" si="56"/>
        <v>241.26666666666665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7.6022222222222204</v>
      </c>
      <c r="N83" s="13">
        <f>IF('Données projet'!$A$36&gt;35,N82+M83-V82,IF(A83&lt;'Données projet'!$A$36,$K$205^A83,IF(A83='Données projet'!$A$36,'Données projet'!$B$36,N82+M83-V82)))</f>
        <v>253.36111111111117</v>
      </c>
      <c r="O83" s="13">
        <f>N83*VLOOKUP('Données projet'!$B$9,Paramètres!$A$1:$I$89,3,0)*VLOOKUP('Données projet'!$B$9,Paramètres!$A$1:$I$89,5,0)</f>
        <v>229.24113333333341</v>
      </c>
      <c r="P83" s="13">
        <f t="shared" si="87"/>
        <v>56.118565268172901</v>
      </c>
      <c r="Q83" s="20">
        <f t="shared" si="54"/>
        <v>497.0014750642901</v>
      </c>
      <c r="R83" s="59">
        <f t="shared" si="55"/>
        <v>785.58781684174755</v>
      </c>
      <c r="S83" s="59">
        <f ca="1">AVERAGE(OFFSET($R$3,0,0,'Données projet'!$E$9+1,1))-AVERAGE(OFFSET($H$3,0,0,'Données projet'!$E$9+1,1))</f>
        <v>480.34707165277229</v>
      </c>
      <c r="T83" s="59">
        <f t="shared" si="88"/>
        <v>217.17128038304531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69.579682410445258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69.579682410445258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395.70999999999992</v>
      </c>
      <c r="AJ83" s="13">
        <f>AI83*VLOOKUP('Données projet'!$B$10,Paramètres!$A$1:$I$89,3,0)*VLOOKUP('Données projet'!$B$10,Paramètres!$A$1:$I$89,5,0)</f>
        <v>401.24993999999992</v>
      </c>
      <c r="AK83" s="13">
        <f t="shared" si="89"/>
        <v>92.030025341479998</v>
      </c>
      <c r="AL83" s="20">
        <f t="shared" si="58"/>
        <v>859.12927296974419</v>
      </c>
      <c r="AM83" s="59">
        <f t="shared" si="59"/>
        <v>1147.7156147472017</v>
      </c>
      <c r="AN83" s="59">
        <f ca="1">AVERAGE(OFFSET($AM$3,0,0,'Données projet'!$E$10+1,1))-AVERAGE(OFFSET($H$3,0,0,'Données projet'!$E$10+1,1))</f>
        <v>596.64394969449609</v>
      </c>
      <c r="AO83" s="59">
        <f t="shared" si="90"/>
        <v>312.55704723516362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125.42809265402899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125.42809265402899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753.34608862101754</v>
      </c>
      <c r="BI83" s="59">
        <f ca="1">AVERAGE(OFFSET($BH$3,0,0,'Données projet'!$E$11+1,1))-AVERAGE(OFFSET($H$3,0,0,'Données projet'!$E$11+1,1))</f>
        <v>360.53625471540249</v>
      </c>
      <c r="BJ83" s="59">
        <f t="shared" si="92"/>
        <v>326.66299410556076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56.816532269909324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56.816532269909324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856.04433166090416</v>
      </c>
      <c r="CD83" s="59">
        <f ca="1">AVERAGE(OFFSET($CC$3,0,0,'Données projet'!$E$12+1,1))-AVERAGE(OFFSET($H$3,0,0,'Données projet'!$E$12+1,1))</f>
        <v>358.39045200457502</v>
      </c>
      <c r="CE83" s="59">
        <f t="shared" si="94"/>
        <v>349.48764057925109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53.168237644816656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53.168237644816656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210.25641025641013</v>
      </c>
      <c r="CU83" s="17">
        <f>CT83*VLOOKUP('Données projet'!$B$13,Paramètres!$A$1:$I$89,3,0)*VLOOKUP('Données projet'!$B$13,Paramètres!$A$1:$I$89,5,0)</f>
        <v>163.99999999999991</v>
      </c>
      <c r="CV83" s="13">
        <f t="shared" si="95"/>
        <v>41.743425908362248</v>
      </c>
      <c r="CW83" s="20">
        <f t="shared" si="67"/>
        <v>358.33646679039742</v>
      </c>
      <c r="CX83" s="59">
        <f t="shared" si="68"/>
        <v>646.92280856785487</v>
      </c>
      <c r="CY83" s="59">
        <f ca="1">AVERAGE(OFFSET($CX$3,0,0,'Données projet'!$E$13+1,1))-AVERAGE(OFFSET($H$3,0,0,'Données projet'!$E$13+1,1))</f>
        <v>201.71903756761543</v>
      </c>
      <c r="CZ83" s="59">
        <f t="shared" si="96"/>
        <v>200.66422845182711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25.973222709555177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25.973222709555177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7.6022222222222204</v>
      </c>
      <c r="DO83" s="12">
        <f>IF('Données projet'!$A$166&gt;35,DO82+DN83-DW82,IF(A83&lt;'Données projet'!$A$166,$DL$205^A83,IF(A83='Données projet'!$A$166,'Données projet'!$B$166,DO82+DN83-DW82)))</f>
        <v>253.36111111111117</v>
      </c>
      <c r="DP83" s="17">
        <f>DO83*VLOOKUP('Données projet'!$B$14,Paramètres!$A$1:$I$89,3,0)*VLOOKUP('Données projet'!$B$14,Paramètres!$A$1:$I$89,5,0)</f>
        <v>241.09843333333339</v>
      </c>
      <c r="DQ83" s="13">
        <f t="shared" si="97"/>
        <v>58.675800919624443</v>
      </c>
      <c r="DR83" s="20">
        <f t="shared" si="70"/>
        <v>522.10679132390158</v>
      </c>
      <c r="DS83" s="59">
        <f t="shared" si="71"/>
        <v>810.69313310135908</v>
      </c>
      <c r="DT83" s="59">
        <f ca="1">AVERAGE(OFFSET($DS$3,0,0,'Données projet'!$E$14+1,1))-AVERAGE(OFFSET($H$3,0,0,'Données projet'!$E$14+1,1))</f>
        <v>502.4879901989737</v>
      </c>
      <c r="DU83" s="59">
        <f t="shared" si="98"/>
        <v>226.06453328626355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73.178631500640719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73.178631500640719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-5.6843418860808015E-14</v>
      </c>
      <c r="EK83" s="17">
        <f>EJ83*VLOOKUP('Données projet'!$B$15,Paramètres!$A$1:$I$89,3,0)*VLOOKUP('Données projet'!$B$15,Paramètres!$A$1:$I$89,5,0)</f>
        <v>-3.2543994166189806E-14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192.76157155207764</v>
      </c>
      <c r="EP83" s="59">
        <f t="shared" si="100"/>
        <v>413.66427458788348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27.647068636500038</v>
      </c>
      <c r="EW83" s="21">
        <f>EXP(-LN(2)/25)*EW82+(1-EXP(-LN(2)/25))/(LN(2)/25)*Calculateur!ER83*Calculateur!ET83*VLOOKUP('Données projet'!$B$15,Paramètres!$A$1:$I$89,3,0)*0.475*44/12</f>
        <v>4.669213512329633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32.316282148829671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68.705365939306574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1.05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3.85</v>
      </c>
      <c r="H84" s="66">
        <f t="shared" si="56"/>
        <v>241.26666666666665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7.6022222222222204</v>
      </c>
      <c r="N84" s="13">
        <f>IF('Données projet'!$A$36&gt;35,N83+M84-V83,IF(A84&lt;'Données projet'!$A$36,$K$205^A84,IF(A84='Données projet'!$A$36,'Données projet'!$B$36,N83+M84-V83)))</f>
        <v>260.96333333333337</v>
      </c>
      <c r="O84" s="13">
        <f>N84*VLOOKUP('Données projet'!$B$9,Paramètres!$A$1:$I$89,3,0)*VLOOKUP('Données projet'!$B$9,Paramètres!$A$1:$I$89,5,0)</f>
        <v>236.11962400000002</v>
      </c>
      <c r="P84" s="13">
        <f t="shared" si="87"/>
        <v>57.60385829887548</v>
      </c>
      <c r="Q84" s="20">
        <f t="shared" si="54"/>
        <v>511.56839833720818</v>
      </c>
      <c r="R84" s="59">
        <f t="shared" si="55"/>
        <v>800.2370898054769</v>
      </c>
      <c r="S84" s="59">
        <f ca="1">AVERAGE(OFFSET($R$3,0,0,'Données projet'!$E$9+1,1))-AVERAGE(OFFSET($H$3,0,0,'Données projet'!$E$9+1,1))</f>
        <v>480.34707165277229</v>
      </c>
      <c r="T84" s="59">
        <f t="shared" si="88"/>
        <v>217.17128038304531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68.215267277792151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68.215267277792151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346.54999999999995</v>
      </c>
      <c r="AJ84" s="13">
        <f>AI84*VLOOKUP('Données projet'!$B$10,Paramètres!$A$1:$I$89,3,0)*VLOOKUP('Données projet'!$B$10,Paramètres!$A$1:$I$89,5,0)</f>
        <v>351.40169999999995</v>
      </c>
      <c r="AK84" s="13">
        <f t="shared" si="89"/>
        <v>81.851068652084436</v>
      </c>
      <c r="AL84" s="20">
        <f t="shared" si="58"/>
        <v>754.58190540238036</v>
      </c>
      <c r="AM84" s="59">
        <f t="shared" si="59"/>
        <v>1043.2505968706491</v>
      </c>
      <c r="AN84" s="59">
        <f ca="1">AVERAGE(OFFSET($AM$3,0,0,'Données projet'!$E$10+1,1))-AVERAGE(OFFSET($H$3,0,0,'Données projet'!$E$10+1,1))</f>
        <v>596.64394969449609</v>
      </c>
      <c r="AO84" s="59">
        <f t="shared" si="90"/>
        <v>312.55704723516362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122.9685242606659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122.9685242606659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732.29067740087908</v>
      </c>
      <c r="BI84" s="59">
        <f ca="1">AVERAGE(OFFSET($BH$3,0,0,'Données projet'!$E$11+1,1))-AVERAGE(OFFSET($H$3,0,0,'Données projet'!$E$11+1,1))</f>
        <v>360.53625471540249</v>
      </c>
      <c r="BJ84" s="59">
        <f t="shared" si="92"/>
        <v>326.66299410556076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55.702394726759223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55.702394726759223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253.79640000000001</v>
      </c>
      <c r="CA84" s="13">
        <f t="shared" si="93"/>
        <v>61.39816832228076</v>
      </c>
      <c r="CB84" s="20">
        <f t="shared" si="64"/>
        <v>548.96387316130563</v>
      </c>
      <c r="CC84" s="59">
        <f t="shared" si="65"/>
        <v>837.63256462957429</v>
      </c>
      <c r="CD84" s="59">
        <f ca="1">AVERAGE(OFFSET($CC$3,0,0,'Données projet'!$E$12+1,1))-AVERAGE(OFFSET($H$3,0,0,'Données projet'!$E$12+1,1))</f>
        <v>358.39045200457502</v>
      </c>
      <c r="CE84" s="59">
        <f t="shared" si="94"/>
        <v>349.48764057925109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52.125640934024624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52.125640934024624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210.25641025641013</v>
      </c>
      <c r="CU84" s="17">
        <f>CT84*VLOOKUP('Données projet'!$B$13,Paramètres!$A$1:$I$89,3,0)*VLOOKUP('Données projet'!$B$13,Paramètres!$A$1:$I$89,5,0)</f>
        <v>163.99999999999991</v>
      </c>
      <c r="CV84" s="13">
        <f t="shared" si="95"/>
        <v>41.743425908362248</v>
      </c>
      <c r="CW84" s="20">
        <f t="shared" si="67"/>
        <v>358.33646679039742</v>
      </c>
      <c r="CX84" s="59">
        <f t="shared" si="68"/>
        <v>647.00515825866614</v>
      </c>
      <c r="CY84" s="59">
        <f ca="1">AVERAGE(OFFSET($CX$3,0,0,'Données projet'!$E$13+1,1))-AVERAGE(OFFSET($H$3,0,0,'Données projet'!$E$13+1,1))</f>
        <v>201.71903756761543</v>
      </c>
      <c r="CZ84" s="59">
        <f t="shared" si="96"/>
        <v>200.66422845182711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25.463903654322376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25.463903654322376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7.6022222222222204</v>
      </c>
      <c r="DO84" s="12">
        <f>IF('Données projet'!$A$166&gt;35,DO83+DN84-DW83,IF(A84&lt;'Données projet'!$A$166,$DL$205^A84,IF(A84='Données projet'!$A$166,'Données projet'!$B$166,DO83+DN84-DW83)))</f>
        <v>260.96333333333337</v>
      </c>
      <c r="DP84" s="17">
        <f>DO84*VLOOKUP('Données projet'!$B$14,Paramètres!$A$1:$I$89,3,0)*VLOOKUP('Données projet'!$B$14,Paramètres!$A$1:$I$89,5,0)</f>
        <v>248.33270800000003</v>
      </c>
      <c r="DQ84" s="13">
        <f t="shared" si="97"/>
        <v>60.228776441367344</v>
      </c>
      <c r="DR84" s="20">
        <f t="shared" si="70"/>
        <v>537.41125206871482</v>
      </c>
      <c r="DS84" s="59">
        <f t="shared" si="71"/>
        <v>826.07994353698348</v>
      </c>
      <c r="DT84" s="59">
        <f ca="1">AVERAGE(OFFSET($DS$3,0,0,'Données projet'!$E$14+1,1))-AVERAGE(OFFSET($H$3,0,0,'Données projet'!$E$14+1,1))</f>
        <v>502.4879901989737</v>
      </c>
      <c r="DU84" s="59">
        <f t="shared" si="98"/>
        <v>226.06453328626355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71.743643171471078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71.743643171471078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-5.6843418860808015E-14</v>
      </c>
      <c r="EK84" s="17">
        <f>EJ84*VLOOKUP('Données projet'!$B$15,Paramètres!$A$1:$I$89,3,0)*VLOOKUP('Données projet'!$B$15,Paramètres!$A$1:$I$89,5,0)</f>
        <v>-3.2543994166189806E-14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192.76157155207764</v>
      </c>
      <c r="EP84" s="59">
        <f t="shared" si="100"/>
        <v>413.66427458788348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27.104926483585054</v>
      </c>
      <c r="EW84" s="21">
        <f>EXP(-LN(2)/25)*EW83+(1-EXP(-LN(2)/25))/(LN(2)/25)*Calculateur!ER84*Calculateur!ET84*VLOOKUP('Données projet'!$B$15,Paramètres!$A$1:$I$89,3,0)*0.475*44/12</f>
        <v>4.5415336232917118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31.646460106876766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68.727824945891456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1.05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3.85</v>
      </c>
      <c r="H85" s="66">
        <f t="shared" si="56"/>
        <v>241.26666666666665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7.6022222222222204</v>
      </c>
      <c r="N85" s="13">
        <f>IF('Données projet'!$A$36&gt;35,N84+M85-V84,IF(A85&lt;'Données projet'!$A$36,$K$205^A85,IF(A85='Données projet'!$A$36,'Données projet'!$B$36,N84+M85-V84)))</f>
        <v>268.56555555555559</v>
      </c>
      <c r="O85" s="13">
        <f>N85*VLOOKUP('Données projet'!$B$9,Paramètres!$A$1:$I$89,3,0)*VLOOKUP('Données projet'!$B$9,Paramètres!$A$1:$I$89,5,0)</f>
        <v>242.99811466666671</v>
      </c>
      <c r="P85" s="13">
        <f t="shared" si="87"/>
        <v>59.084122638145935</v>
      </c>
      <c r="Q85" s="20">
        <f t="shared" si="54"/>
        <v>526.12656330588186</v>
      </c>
      <c r="R85" s="59">
        <f t="shared" si="55"/>
        <v>814.87617588193257</v>
      </c>
      <c r="S85" s="59">
        <f ca="1">AVERAGE(OFFSET($R$3,0,0,'Données projet'!$E$9+1,1))-AVERAGE(OFFSET($H$3,0,0,'Données projet'!$E$9+1,1))</f>
        <v>480.34707165277229</v>
      </c>
      <c r="T85" s="59">
        <f t="shared" si="88"/>
        <v>217.17128038304531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66.877607493679321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66.877607493679321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356.96</v>
      </c>
      <c r="AJ85" s="13">
        <f>AI85*VLOOKUP('Données projet'!$B$10,Paramètres!$A$1:$I$89,3,0)*VLOOKUP('Données projet'!$B$10,Paramètres!$A$1:$I$89,5,0)</f>
        <v>361.95744000000002</v>
      </c>
      <c r="AK85" s="13">
        <f t="shared" si="89"/>
        <v>84.01983781623828</v>
      </c>
      <c r="AL85" s="20">
        <f t="shared" si="58"/>
        <v>776.74375886328164</v>
      </c>
      <c r="AM85" s="59">
        <f t="shared" si="59"/>
        <v>1065.4933714393323</v>
      </c>
      <c r="AN85" s="59">
        <f ca="1">AVERAGE(OFFSET($AM$3,0,0,'Données projet'!$E$10+1,1))-AVERAGE(OFFSET($H$3,0,0,'Données projet'!$E$10+1,1))</f>
        <v>596.64394969449609</v>
      </c>
      <c r="AO85" s="59">
        <f t="shared" si="90"/>
        <v>312.55704723516362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120.55718650330807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120.55718650330807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739.04896048927037</v>
      </c>
      <c r="BI85" s="59">
        <f ca="1">AVERAGE(OFFSET($BH$3,0,0,'Données projet'!$E$11+1,1))-AVERAGE(OFFSET($H$3,0,0,'Données projet'!$E$11+1,1))</f>
        <v>360.53625471540249</v>
      </c>
      <c r="BJ85" s="59">
        <f t="shared" si="92"/>
        <v>326.66299410556076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54.610104741273496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54.610104741273496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253.79640000000001</v>
      </c>
      <c r="CA85" s="13">
        <f t="shared" si="93"/>
        <v>61.39816832228076</v>
      </c>
      <c r="CB85" s="20">
        <f t="shared" si="64"/>
        <v>548.96387316130563</v>
      </c>
      <c r="CC85" s="59">
        <f t="shared" si="65"/>
        <v>837.71348573735622</v>
      </c>
      <c r="CD85" s="59">
        <f ca="1">AVERAGE(OFFSET($CC$3,0,0,'Données projet'!$E$12+1,1))-AVERAGE(OFFSET($H$3,0,0,'Données projet'!$E$12+1,1))</f>
        <v>358.39045200457502</v>
      </c>
      <c r="CE85" s="59">
        <f t="shared" si="94"/>
        <v>349.48764057925109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51.103488908810021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51.103488908810021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210.25641025641013</v>
      </c>
      <c r="CU85" s="17">
        <f>CT85*VLOOKUP('Données projet'!$B$13,Paramètres!$A$1:$I$89,3,0)*VLOOKUP('Données projet'!$B$13,Paramètres!$A$1:$I$89,5,0)</f>
        <v>163.99999999999991</v>
      </c>
      <c r="CV85" s="13">
        <f t="shared" si="95"/>
        <v>41.743425908362248</v>
      </c>
      <c r="CW85" s="20">
        <f t="shared" si="67"/>
        <v>358.33646679039742</v>
      </c>
      <c r="CX85" s="59">
        <f t="shared" si="68"/>
        <v>647.08607936644808</v>
      </c>
      <c r="CY85" s="59">
        <f ca="1">AVERAGE(OFFSET($CX$3,0,0,'Données projet'!$E$13+1,1))-AVERAGE(OFFSET($H$3,0,0,'Données projet'!$E$13+1,1))</f>
        <v>201.71903756761543</v>
      </c>
      <c r="CZ85" s="59">
        <f t="shared" si="96"/>
        <v>200.66422845182711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24.964572035108741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24.964572035108741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7.6022222222222204</v>
      </c>
      <c r="DO85" s="12">
        <f>IF('Données projet'!$A$166&gt;35,DO84+DN85-DW84,IF(A85&lt;'Données projet'!$A$166,$DL$205^A85,IF(A85='Données projet'!$A$166,'Données projet'!$B$166,DO84+DN85-DW84)))</f>
        <v>268.56555555555559</v>
      </c>
      <c r="DP85" s="17">
        <f>DO85*VLOOKUP('Données projet'!$B$14,Paramètres!$A$1:$I$89,3,0)*VLOOKUP('Données projet'!$B$14,Paramètres!$A$1:$I$89,5,0)</f>
        <v>255.56698266666669</v>
      </c>
      <c r="DQ85" s="13">
        <f t="shared" si="97"/>
        <v>61.776494122038606</v>
      </c>
      <c r="DR85" s="20">
        <f t="shared" si="70"/>
        <v>552.70655540699499</v>
      </c>
      <c r="DS85" s="59">
        <f t="shared" si="71"/>
        <v>841.45616798304559</v>
      </c>
      <c r="DT85" s="59">
        <f ca="1">AVERAGE(OFFSET($DS$3,0,0,'Données projet'!$E$14+1,1))-AVERAGE(OFFSET($H$3,0,0,'Données projet'!$E$14+1,1))</f>
        <v>502.4879901989737</v>
      </c>
      <c r="DU85" s="59">
        <f t="shared" si="98"/>
        <v>226.06453328626355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70.33679408818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70.33679408818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-5.6843418860808015E-14</v>
      </c>
      <c r="EK85" s="17">
        <f>EJ85*VLOOKUP('Données projet'!$B$15,Paramètres!$A$1:$I$89,3,0)*VLOOKUP('Données projet'!$B$15,Paramètres!$A$1:$I$89,5,0)</f>
        <v>-3.2543994166189806E-14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192.76157155207764</v>
      </c>
      <c r="EP85" s="59">
        <f t="shared" si="100"/>
        <v>413.66427458788348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26.573415407614668</v>
      </c>
      <c r="EW85" s="21">
        <f>EXP(-LN(2)/25)*EW84+(1-EXP(-LN(2)/25))/(LN(2)/25)*Calculateur!ER85*Calculateur!ET85*VLOOKUP('Données projet'!$B$15,Paramètres!$A$1:$I$89,3,0)*0.475*44/12</f>
        <v>4.4173451475339265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30.990760555148594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68.7498943389229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1.05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3.85</v>
      </c>
      <c r="H86" s="66">
        <f t="shared" si="56"/>
        <v>241.26666666666665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7.6022222222222204</v>
      </c>
      <c r="N86" s="13">
        <f>IF('Données projet'!$A$36&gt;35,N85+M86-V85,IF(A86&lt;'Données projet'!$A$36,$K$205^A86,IF(A86='Données projet'!$A$36,'Données projet'!$B$36,N85+M86-V85)))</f>
        <v>276.16777777777781</v>
      </c>
      <c r="O86" s="13">
        <f>N86*VLOOKUP('Données projet'!$B$9,Paramètres!$A$1:$I$89,3,0)*VLOOKUP('Données projet'!$B$9,Paramètres!$A$1:$I$89,5,0)</f>
        <v>249.87660533333337</v>
      </c>
      <c r="P86" s="13">
        <f t="shared" si="87"/>
        <v>60.559516982471138</v>
      </c>
      <c r="Q86" s="20">
        <f t="shared" si="54"/>
        <v>540.67624636669279</v>
      </c>
      <c r="R86" s="59">
        <f t="shared" si="55"/>
        <v>829.50537625021786</v>
      </c>
      <c r="S86" s="59">
        <f ca="1">AVERAGE(OFFSET($R$3,0,0,'Données projet'!$E$9+1,1))-AVERAGE(OFFSET($H$3,0,0,'Données projet'!$E$9+1,1))</f>
        <v>480.34707165277229</v>
      </c>
      <c r="T86" s="59">
        <f t="shared" si="88"/>
        <v>217.17128038304531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65.566178402041032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65.566178402041032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367.37</v>
      </c>
      <c r="AJ86" s="13">
        <f>AI86*VLOOKUP('Données projet'!$B$10,Paramètres!$A$1:$I$89,3,0)*VLOOKUP('Données projet'!$B$10,Paramètres!$A$1:$I$89,5,0)</f>
        <v>372.51318000000003</v>
      </c>
      <c r="AK86" s="13">
        <f t="shared" si="89"/>
        <v>86.181256332416311</v>
      </c>
      <c r="AL86" s="20">
        <f t="shared" si="58"/>
        <v>798.89280994562512</v>
      </c>
      <c r="AM86" s="59">
        <f t="shared" si="59"/>
        <v>1087.7219398291502</v>
      </c>
      <c r="AN86" s="59">
        <f ca="1">AVERAGE(OFFSET($AM$3,0,0,'Données projet'!$E$10+1,1))-AVERAGE(OFFSET($H$3,0,0,'Données projet'!$E$10+1,1))</f>
        <v>596.64394969449609</v>
      </c>
      <c r="AO86" s="59">
        <f t="shared" si="90"/>
        <v>312.55704723516362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118.19313360860123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118.19313360860123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745.8037218244724</v>
      </c>
      <c r="BI86" s="59">
        <f ca="1">AVERAGE(OFFSET($BH$3,0,0,'Données projet'!$E$11+1,1))-AVERAGE(OFFSET($H$3,0,0,'Données projet'!$E$11+1,1))</f>
        <v>360.53625471540249</v>
      </c>
      <c r="BJ86" s="59">
        <f t="shared" si="92"/>
        <v>326.66299410556076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53.539233896172036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53.539233896172036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253.79640000000001</v>
      </c>
      <c r="CA86" s="13">
        <f t="shared" si="93"/>
        <v>61.39816832228076</v>
      </c>
      <c r="CB86" s="20">
        <f t="shared" si="64"/>
        <v>548.96387316130563</v>
      </c>
      <c r="CC86" s="59">
        <f t="shared" si="65"/>
        <v>837.7930030448307</v>
      </c>
      <c r="CD86" s="59">
        <f ca="1">AVERAGE(OFFSET($CC$3,0,0,'Données projet'!$E$12+1,1))-AVERAGE(OFFSET($H$3,0,0,'Données projet'!$E$12+1,1))</f>
        <v>358.39045200457502</v>
      </c>
      <c r="CE86" s="59">
        <f t="shared" si="94"/>
        <v>349.48764057925109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50.101380661358704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50.101380661358704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210.25641025641013</v>
      </c>
      <c r="CU86" s="17">
        <f>CT86*VLOOKUP('Données projet'!$B$13,Paramètres!$A$1:$I$89,3,0)*VLOOKUP('Données projet'!$B$13,Paramètres!$A$1:$I$89,5,0)</f>
        <v>163.99999999999991</v>
      </c>
      <c r="CV86" s="13">
        <f t="shared" si="95"/>
        <v>41.743425908362248</v>
      </c>
      <c r="CW86" s="20">
        <f t="shared" si="67"/>
        <v>358.33646679039742</v>
      </c>
      <c r="CX86" s="59">
        <f t="shared" si="68"/>
        <v>647.16559667392244</v>
      </c>
      <c r="CY86" s="59">
        <f ca="1">AVERAGE(OFFSET($CX$3,0,0,'Données projet'!$E$13+1,1))-AVERAGE(OFFSET($H$3,0,0,'Données projet'!$E$13+1,1))</f>
        <v>201.71903756761543</v>
      </c>
      <c r="CZ86" s="59">
        <f t="shared" si="96"/>
        <v>200.66422845182711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24.475032004385671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24.475032004385671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7.6022222222222204</v>
      </c>
      <c r="DO86" s="12">
        <f>IF('Données projet'!$A$166&gt;35,DO85+DN86-DW85,IF(A86&lt;'Données projet'!$A$166,$DL$205^A86,IF(A86='Données projet'!$A$166,'Données projet'!$B$166,DO85+DN86-DW85)))</f>
        <v>276.16777777777781</v>
      </c>
      <c r="DP86" s="17">
        <f>DO86*VLOOKUP('Données projet'!$B$14,Paramètres!$A$1:$I$89,3,0)*VLOOKUP('Données projet'!$B$14,Paramètres!$A$1:$I$89,5,0)</f>
        <v>262.80125733333335</v>
      </c>
      <c r="DQ86" s="13">
        <f t="shared" si="97"/>
        <v>63.319119889676735</v>
      </c>
      <c r="DR86" s="20">
        <f t="shared" si="70"/>
        <v>567.99299033007594</v>
      </c>
      <c r="DS86" s="59">
        <f t="shared" si="71"/>
        <v>856.82212021360101</v>
      </c>
      <c r="DT86" s="59">
        <f ca="1">AVERAGE(OFFSET($DS$3,0,0,'Données projet'!$E$14+1,1))-AVERAGE(OFFSET($H$3,0,0,'Données projet'!$E$14+1,1))</f>
        <v>502.4879901989737</v>
      </c>
      <c r="DU86" s="59">
        <f t="shared" si="98"/>
        <v>226.06453328626355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68.957532457319047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68.957532457319047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-5.6843418860808015E-14</v>
      </c>
      <c r="EK86" s="17">
        <f>EJ86*VLOOKUP('Données projet'!$B$15,Paramètres!$A$1:$I$89,3,0)*VLOOKUP('Données projet'!$B$15,Paramètres!$A$1:$I$89,5,0)</f>
        <v>-3.2543994166189806E-14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192.76157155207764</v>
      </c>
      <c r="EP86" s="59">
        <f t="shared" si="100"/>
        <v>413.66427458788348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26.052326939654318</v>
      </c>
      <c r="EW86" s="21">
        <f>EXP(-LN(2)/25)*EW85+(1-EXP(-LN(2)/25))/(LN(2)/25)*Calculateur!ER86*Calculateur!ET86*VLOOKUP('Données projet'!$B$15,Paramètres!$A$1:$I$89,3,0)*0.475*44/12</f>
        <v>4.2965526121765256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30.348879551830844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68.771580877325022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1.05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3.85</v>
      </c>
      <c r="H87" s="66">
        <f t="shared" si="56"/>
        <v>241.26666666666665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283.77</v>
      </c>
      <c r="L87" s="12">
        <f>VLOOKUP(A87,'Données projet'!$A$35:$I$55,9,0)</f>
        <v>7.6022222222222204</v>
      </c>
      <c r="M87" s="12">
        <f t="array" ref="M87">INDEX(L:L,MIN(IF(ISNUMBER(L87:L283),ROW(L87:L283),"")))</f>
        <v>7.6022222222222204</v>
      </c>
      <c r="N87" s="13">
        <f>IF('Données projet'!$A$36&gt;35,N86+M87-V86,IF(A87&lt;'Données projet'!$A$36,$K$205^A87,IF(A87='Données projet'!$A$36,'Données projet'!$B$36,N86+M87-V86)))</f>
        <v>283.77000000000004</v>
      </c>
      <c r="O87" s="13">
        <f>N87*VLOOKUP('Données projet'!$B$9,Paramètres!$A$1:$I$89,3,0)*VLOOKUP('Données projet'!$B$9,Paramètres!$A$1:$I$89,5,0)</f>
        <v>256.75509600000004</v>
      </c>
      <c r="P87" s="13">
        <f t="shared" si="87"/>
        <v>62.030190794062293</v>
      </c>
      <c r="Q87" s="20">
        <f t="shared" si="54"/>
        <v>555.21770783299189</v>
      </c>
      <c r="R87" s="59">
        <f t="shared" si="55"/>
        <v>844.12497557648089</v>
      </c>
      <c r="S87" s="59">
        <f ca="1">AVERAGE(OFFSET($R$3,0,0,'Données projet'!$E$9+1,1))-AVERAGE(OFFSET($H$3,0,0,'Données projet'!$E$9+1,1))</f>
        <v>480.34707165277229</v>
      </c>
      <c r="T87" s="59">
        <f t="shared" si="88"/>
        <v>217.17128038304531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44.89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83.587597523362675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83.587597523362675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377.78000000000003</v>
      </c>
      <c r="AJ87" s="13">
        <f>AI87*VLOOKUP('Données projet'!$B$10,Paramètres!$A$1:$I$89,3,0)*VLOOKUP('Données projet'!$B$10,Paramètres!$A$1:$I$89,5,0)</f>
        <v>383.06892000000005</v>
      </c>
      <c r="AK87" s="13">
        <f t="shared" si="89"/>
        <v>88.335556417741373</v>
      </c>
      <c r="AL87" s="20">
        <f t="shared" si="58"/>
        <v>821.02946309423305</v>
      </c>
      <c r="AM87" s="59">
        <f t="shared" si="59"/>
        <v>1109.9367308377221</v>
      </c>
      <c r="AN87" s="59">
        <f ca="1">AVERAGE(OFFSET($AM$3,0,0,'Données projet'!$E$10+1,1))-AVERAGE(OFFSET($H$3,0,0,'Données projet'!$E$10+1,1))</f>
        <v>596.64394969449609</v>
      </c>
      <c r="AO87" s="59">
        <f t="shared" si="90"/>
        <v>312.55704723516362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115.8754383492297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115.8754383492297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752.55502108059954</v>
      </c>
      <c r="BI87" s="59">
        <f ca="1">AVERAGE(OFFSET($BH$3,0,0,'Données projet'!$E$11+1,1))-AVERAGE(OFFSET($H$3,0,0,'Données projet'!$E$11+1,1))</f>
        <v>360.53625471540249</v>
      </c>
      <c r="BJ87" s="59">
        <f t="shared" si="92"/>
        <v>326.66299410556076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52.489362175176296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52.489362175176296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253.79640000000001</v>
      </c>
      <c r="CA87" s="13">
        <f t="shared" si="93"/>
        <v>61.39816832228076</v>
      </c>
      <c r="CB87" s="20">
        <f t="shared" si="64"/>
        <v>548.96387316130563</v>
      </c>
      <c r="CC87" s="59">
        <f t="shared" si="65"/>
        <v>837.87114090479463</v>
      </c>
      <c r="CD87" s="59">
        <f ca="1">AVERAGE(OFFSET($CC$3,0,0,'Données projet'!$E$12+1,1))-AVERAGE(OFFSET($H$3,0,0,'Données projet'!$E$12+1,1))</f>
        <v>358.39045200457502</v>
      </c>
      <c r="CE87" s="59">
        <f t="shared" si="94"/>
        <v>349.48764057925109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49.118923145414229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49.118923145414229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210.25641025641013</v>
      </c>
      <c r="CU87" s="17">
        <f>CT87*VLOOKUP('Données projet'!$B$13,Paramètres!$A$1:$I$89,3,0)*VLOOKUP('Données projet'!$B$13,Paramètres!$A$1:$I$89,5,0)</f>
        <v>163.99999999999991</v>
      </c>
      <c r="CV87" s="13">
        <f t="shared" si="95"/>
        <v>41.743425908362248</v>
      </c>
      <c r="CW87" s="20">
        <f t="shared" si="67"/>
        <v>358.33646679039742</v>
      </c>
      <c r="CX87" s="59">
        <f t="shared" si="68"/>
        <v>647.24373453388637</v>
      </c>
      <c r="CY87" s="59">
        <f ca="1">AVERAGE(OFFSET($CX$3,0,0,'Données projet'!$E$13+1,1))-AVERAGE(OFFSET($H$3,0,0,'Données projet'!$E$13+1,1))</f>
        <v>201.71903756761543</v>
      </c>
      <c r="CZ87" s="59">
        <f t="shared" si="96"/>
        <v>200.66422845182711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23.995091555075145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23.995091555075145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283.77</v>
      </c>
      <c r="DM87" s="12">
        <f>VLOOKUP(A87,'Données projet'!$A$165:$I$185,9,0)</f>
        <v>7.6022222222222204</v>
      </c>
      <c r="DN87" s="12">
        <f t="array" ref="DN87">INDEX(DM:DM,MIN(IF(ISNUMBER(DM87:DM283),ROW(DM87:DM283),"")))</f>
        <v>7.6022222222222204</v>
      </c>
      <c r="DO87" s="12">
        <f>IF('Données projet'!$A$166&gt;35,DO86+DN87-DW86,IF(A87&lt;'Données projet'!$A$166,$DL$205^A87,IF(A87='Données projet'!$A$166,'Données projet'!$B$166,DO86+DN87-DW86)))</f>
        <v>283.77000000000004</v>
      </c>
      <c r="DP87" s="17">
        <f>DO87*VLOOKUP('Données projet'!$B$14,Paramètres!$A$1:$I$89,3,0)*VLOOKUP('Données projet'!$B$14,Paramètres!$A$1:$I$89,5,0)</f>
        <v>270.03553200000005</v>
      </c>
      <c r="DQ87" s="13">
        <f t="shared" si="97"/>
        <v>64.856810017253252</v>
      </c>
      <c r="DR87" s="20">
        <f t="shared" si="70"/>
        <v>583.27082901338281</v>
      </c>
      <c r="DS87" s="59">
        <f t="shared" si="71"/>
        <v>872.17809675687181</v>
      </c>
      <c r="DT87" s="59">
        <f ca="1">AVERAGE(OFFSET($DS$3,0,0,'Données projet'!$E$14+1,1))-AVERAGE(OFFSET($H$3,0,0,'Données projet'!$E$14+1,1))</f>
        <v>502.4879901989737</v>
      </c>
      <c r="DU87" s="59">
        <f t="shared" si="98"/>
        <v>226.06453328626355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44.89</v>
      </c>
      <c r="DX87" s="16">
        <f>IF(ISNA(VLOOKUP(A87,'Données projet'!$A$165:$I$185,5,0)),0%,VLOOKUP(A87,'Données projet'!$A$165:$I$185,5,0)*VLOOKUP('Données projet'!$B$14,Paramètres!$A$1:$I$89,7,0))</f>
        <v>0.43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87.911093946984906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87.911093946984906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-5.6843418860808015E-14</v>
      </c>
      <c r="EK87" s="17">
        <f>EJ87*VLOOKUP('Données projet'!$B$15,Paramètres!$A$1:$I$89,3,0)*VLOOKUP('Données projet'!$B$15,Paramètres!$A$1:$I$89,5,0)</f>
        <v>-3.2543994166189806E-14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192.76157155207764</v>
      </c>
      <c r="EP87" s="59">
        <f t="shared" si="100"/>
        <v>413.66427458788348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25.54145669871809</v>
      </c>
      <c r="EW87" s="21">
        <f>EXP(-LN(2)/25)*EW86+(1-EXP(-LN(2)/25))/(LN(2)/25)*Calculateur!ER87*Calculateur!ET87*VLOOKUP('Données projet'!$B$15,Paramètres!$A$1:$I$89,3,0)*0.475*44/12</f>
        <v>4.1790631550506765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29.720519853768767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68.792891202769709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1.05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3.85</v>
      </c>
      <c r="H88" s="66">
        <f t="shared" si="56"/>
        <v>241.26666666666665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7.1655555555555566</v>
      </c>
      <c r="N88" s="13">
        <f>IF('Données projet'!$A$36&gt;35,N87+M88-V87,IF(A88&lt;'Données projet'!$A$36,$K$205^A88,IF(A88='Données projet'!$A$36,'Données projet'!$B$36,N87+M88-V87)))</f>
        <v>246.04555555555561</v>
      </c>
      <c r="O88" s="13">
        <f>N88*VLOOKUP('Données projet'!$B$9,Paramètres!$A$1:$I$89,3,0)*VLOOKUP('Données projet'!$B$9,Paramètres!$A$1:$I$89,5,0)</f>
        <v>222.62201866666672</v>
      </c>
      <c r="P88" s="13">
        <f t="shared" si="87"/>
        <v>54.684374969859142</v>
      </c>
      <c r="Q88" s="20">
        <f t="shared" si="54"/>
        <v>482.97530225028254</v>
      </c>
      <c r="R88" s="59">
        <f t="shared" si="55"/>
        <v>771.95935233655496</v>
      </c>
      <c r="S88" s="59">
        <f ca="1">AVERAGE(OFFSET($R$3,0,0,'Données projet'!$E$9+1,1))-AVERAGE(OFFSET($H$3,0,0,'Données projet'!$E$9+1,1))</f>
        <v>480.34707165277229</v>
      </c>
      <c r="T88" s="59">
        <f t="shared" si="88"/>
        <v>217.17128038304531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81.948495719329827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81.948495719329827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388.19000000000005</v>
      </c>
      <c r="AJ88" s="13">
        <f>AI88*VLOOKUP('Données projet'!$B$10,Paramètres!$A$1:$I$89,3,0)*VLOOKUP('Données projet'!$B$10,Paramètres!$A$1:$I$89,5,0)</f>
        <v>393.62466000000012</v>
      </c>
      <c r="AK88" s="13">
        <f t="shared" si="89"/>
        <v>90.48295676320447</v>
      </c>
      <c r="AL88" s="20">
        <f t="shared" si="58"/>
        <v>843.15409919591457</v>
      </c>
      <c r="AM88" s="59">
        <f t="shared" si="59"/>
        <v>1132.138149282187</v>
      </c>
      <c r="AN88" s="59">
        <f ca="1">AVERAGE(OFFSET($AM$3,0,0,'Données projet'!$E$10+1,1))-AVERAGE(OFFSET($H$3,0,0,'Données projet'!$E$10+1,1))</f>
        <v>596.64394969449609</v>
      </c>
      <c r="AO88" s="59">
        <f t="shared" si="90"/>
        <v>312.55704723516362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113.60319168023992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113.60319168023992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759.30291640900077</v>
      </c>
      <c r="BI88" s="59">
        <f ca="1">AVERAGE(OFFSET($BH$3,0,0,'Données projet'!$E$11+1,1))-AVERAGE(OFFSET($H$3,0,0,'Données projet'!$E$11+1,1))</f>
        <v>360.53625471540249</v>
      </c>
      <c r="BJ88" s="59">
        <f t="shared" si="92"/>
        <v>326.66299410556076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57.273826118101873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57.273826118101873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253.79640000000001</v>
      </c>
      <c r="CA88" s="13">
        <f t="shared" si="93"/>
        <v>61.39816832228076</v>
      </c>
      <c r="CB88" s="20">
        <f t="shared" si="64"/>
        <v>548.96387316130563</v>
      </c>
      <c r="CC88" s="59">
        <f t="shared" si="65"/>
        <v>837.94792324757805</v>
      </c>
      <c r="CD88" s="59">
        <f ca="1">AVERAGE(OFFSET($CC$3,0,0,'Données projet'!$E$12+1,1))-AVERAGE(OFFSET($H$3,0,0,'Données projet'!$E$12+1,1))</f>
        <v>358.39045200457502</v>
      </c>
      <c r="CE88" s="59">
        <f t="shared" si="94"/>
        <v>349.48764057925109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48.155731022117514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48.155731022117514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210.25641025641013</v>
      </c>
      <c r="CU88" s="17">
        <f>CT88*VLOOKUP('Données projet'!$B$13,Paramètres!$A$1:$I$89,3,0)*VLOOKUP('Données projet'!$B$13,Paramètres!$A$1:$I$89,5,0)</f>
        <v>163.99999999999991</v>
      </c>
      <c r="CV88" s="13">
        <f t="shared" si="95"/>
        <v>41.743425908362248</v>
      </c>
      <c r="CW88" s="20">
        <f t="shared" si="67"/>
        <v>358.33646679039742</v>
      </c>
      <c r="CX88" s="59">
        <f t="shared" si="68"/>
        <v>647.3205168766699</v>
      </c>
      <c r="CY88" s="59">
        <f ca="1">AVERAGE(OFFSET($CX$3,0,0,'Données projet'!$E$13+1,1))-AVERAGE(OFFSET($H$3,0,0,'Données projet'!$E$13+1,1))</f>
        <v>201.71903756761543</v>
      </c>
      <c r="CZ88" s="59">
        <f t="shared" si="96"/>
        <v>200.66422845182711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23.524562445240829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23.524562445240829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7.1655555555555566</v>
      </c>
      <c r="DO88" s="12">
        <f>IF('Données projet'!$A$166&gt;35,DO87+DN88-DW87,IF(A88&lt;'Données projet'!$A$166,$DL$205^A88,IF(A88='Données projet'!$A$166,'Données projet'!$B$166,DO87+DN88-DW87)))</f>
        <v>246.04555555555561</v>
      </c>
      <c r="DP88" s="17">
        <f>DO88*VLOOKUP('Données projet'!$B$14,Paramètres!$A$1:$I$89,3,0)*VLOOKUP('Données projet'!$B$14,Paramètres!$A$1:$I$89,5,0)</f>
        <v>234.13695066666673</v>
      </c>
      <c r="DQ88" s="13">
        <f t="shared" si="97"/>
        <v>57.176256802226199</v>
      </c>
      <c r="DR88" s="20">
        <f t="shared" si="70"/>
        <v>507.3705030083218</v>
      </c>
      <c r="DS88" s="59">
        <f t="shared" si="71"/>
        <v>796.35455309459428</v>
      </c>
      <c r="DT88" s="59">
        <f ca="1">AVERAGE(OFFSET($DS$3,0,0,'Données projet'!$E$14+1,1))-AVERAGE(OFFSET($H$3,0,0,'Données projet'!$E$14+1,1))</f>
        <v>502.4879901989737</v>
      </c>
      <c r="DU88" s="59">
        <f t="shared" si="98"/>
        <v>226.06453328626355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86.18721101515726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86.18721101515726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-5.6843418860808015E-14</v>
      </c>
      <c r="EK88" s="17">
        <f>EJ88*VLOOKUP('Données projet'!$B$15,Paramètres!$A$1:$I$89,3,0)*VLOOKUP('Données projet'!$B$15,Paramètres!$A$1:$I$89,5,0)</f>
        <v>-3.2543994166189806E-14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192.76157155207764</v>
      </c>
      <c r="EP88" s="59">
        <f t="shared" si="100"/>
        <v>413.66427458788348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25.04060431160654</v>
      </c>
      <c r="EW88" s="21">
        <f>EXP(-LN(2)/25)*EW87+(1-EXP(-LN(2)/25))/(LN(2)/25)*Calculateur!ER88*Calculateur!ET88*VLOOKUP('Données projet'!$B$15,Paramètres!$A$1:$I$89,3,0)*0.475*44/12</f>
        <v>4.0647864533084359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29.105390764914976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68.813831841710666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1.05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3.85</v>
      </c>
      <c r="H89" s="66">
        <f t="shared" si="56"/>
        <v>241.26666666666665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7.1655555555555566</v>
      </c>
      <c r="N89" s="13">
        <f>IF('Données projet'!$A$36&gt;35,N88+M89-V88,IF(A89&lt;'Données projet'!$A$36,$K$205^A89,IF(A89='Données projet'!$A$36,'Données projet'!$B$36,N88+M89-V88)))</f>
        <v>253.21111111111117</v>
      </c>
      <c r="O89" s="13">
        <f>N89*VLOOKUP('Données projet'!$B$9,Paramètres!$A$1:$I$89,3,0)*VLOOKUP('Données projet'!$B$9,Paramètres!$A$1:$I$89,5,0)</f>
        <v>229.10541333333336</v>
      </c>
      <c r="P89" s="13">
        <f t="shared" si="87"/>
        <v>56.089207128116492</v>
      </c>
      <c r="Q89" s="20">
        <f t="shared" si="54"/>
        <v>496.71396397035846</v>
      </c>
      <c r="R89" s="59">
        <f t="shared" si="55"/>
        <v>785.77346439742678</v>
      </c>
      <c r="S89" s="59">
        <f ca="1">AVERAGE(OFFSET($R$3,0,0,'Données projet'!$E$9+1,1))-AVERAGE(OFFSET($H$3,0,0,'Données projet'!$E$9+1,1))</f>
        <v>480.34707165277229</v>
      </c>
      <c r="T89" s="59">
        <f t="shared" si="88"/>
        <v>217.17128038304531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80.341535701920677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80.341535701920677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398.60000000000008</v>
      </c>
      <c r="AJ89" s="13">
        <f>AI89*VLOOKUP('Données projet'!$B$10,Paramètres!$A$1:$I$89,3,0)*VLOOKUP('Données projet'!$B$10,Paramètres!$A$1:$I$89,5,0)</f>
        <v>404.18040000000013</v>
      </c>
      <c r="AK89" s="13">
        <f t="shared" si="89"/>
        <v>92.623663662853104</v>
      </c>
      <c r="AL89" s="20">
        <f t="shared" si="58"/>
        <v>865.26707754613597</v>
      </c>
      <c r="AM89" s="59">
        <f t="shared" si="59"/>
        <v>1154.3265779732042</v>
      </c>
      <c r="AN89" s="59">
        <f ca="1">AVERAGE(OFFSET($AM$3,0,0,'Données projet'!$E$10+1,1))-AVERAGE(OFFSET($H$3,0,0,'Données projet'!$E$10+1,1))</f>
        <v>596.64394969449609</v>
      </c>
      <c r="AO89" s="59">
        <f t="shared" si="90"/>
        <v>312.55704723516362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111.37550238249541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111.37550238249541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738.98793968079781</v>
      </c>
      <c r="BI89" s="59">
        <f ca="1">AVERAGE(OFFSET($BH$3,0,0,'Données projet'!$E$11+1,1))-AVERAGE(OFFSET($H$3,0,0,'Données projet'!$E$11+1,1))</f>
        <v>360.53625471540249</v>
      </c>
      <c r="BJ89" s="59">
        <f t="shared" si="92"/>
        <v>326.66299410556076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56.150721321510424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56.150721321510424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253.79640000000001</v>
      </c>
      <c r="CA89" s="13">
        <f t="shared" si="93"/>
        <v>61.39816832228076</v>
      </c>
      <c r="CB89" s="20">
        <f t="shared" si="64"/>
        <v>548.96387316130563</v>
      </c>
      <c r="CC89" s="59">
        <f t="shared" si="65"/>
        <v>838.02337358837394</v>
      </c>
      <c r="CD89" s="59">
        <f ca="1">AVERAGE(OFFSET($CC$3,0,0,'Données projet'!$E$12+1,1))-AVERAGE(OFFSET($H$3,0,0,'Données projet'!$E$12+1,1))</f>
        <v>358.39045200457502</v>
      </c>
      <c r="CE89" s="59">
        <f t="shared" si="94"/>
        <v>349.48764057925109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47.211426508869458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47.211426508869458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210.25641025641013</v>
      </c>
      <c r="CU89" s="17">
        <f>CT89*VLOOKUP('Données projet'!$B$13,Paramètres!$A$1:$I$89,3,0)*VLOOKUP('Données projet'!$B$13,Paramètres!$A$1:$I$89,5,0)</f>
        <v>163.99999999999991</v>
      </c>
      <c r="CV89" s="13">
        <f t="shared" si="95"/>
        <v>41.743425908362248</v>
      </c>
      <c r="CW89" s="20">
        <f t="shared" si="67"/>
        <v>358.33646679039742</v>
      </c>
      <c r="CX89" s="59">
        <f t="shared" si="68"/>
        <v>647.3959672174658</v>
      </c>
      <c r="CY89" s="59">
        <f ca="1">AVERAGE(OFFSET($CX$3,0,0,'Données projet'!$E$13+1,1))-AVERAGE(OFFSET($H$3,0,0,'Données projet'!$E$13+1,1))</f>
        <v>201.71903756761543</v>
      </c>
      <c r="CZ89" s="59">
        <f t="shared" si="96"/>
        <v>200.66422845182711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23.063260124255944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23.063260124255944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7.1655555555555566</v>
      </c>
      <c r="DO89" s="12">
        <f>IF('Données projet'!$A$166&gt;35,DO88+DN89-DW88,IF(A89&lt;'Données projet'!$A$166,$DL$205^A89,IF(A89='Données projet'!$A$166,'Données projet'!$B$166,DO88+DN89-DW88)))</f>
        <v>253.21111111111117</v>
      </c>
      <c r="DP89" s="17">
        <f>DO89*VLOOKUP('Données projet'!$B$14,Paramètres!$A$1:$I$89,3,0)*VLOOKUP('Données projet'!$B$14,Paramètres!$A$1:$I$89,5,0)</f>
        <v>240.95569333333339</v>
      </c>
      <c r="DQ89" s="13">
        <f t="shared" si="97"/>
        <v>58.645104974831632</v>
      </c>
      <c r="DR89" s="20">
        <f t="shared" si="70"/>
        <v>521.80472372005397</v>
      </c>
      <c r="DS89" s="59">
        <f t="shared" si="71"/>
        <v>810.86422414712229</v>
      </c>
      <c r="DT89" s="59">
        <f ca="1">AVERAGE(OFFSET($DS$3,0,0,'Données projet'!$E$14+1,1))-AVERAGE(OFFSET($H$3,0,0,'Données projet'!$E$14+1,1))</f>
        <v>502.4879901989737</v>
      </c>
      <c r="DU89" s="59">
        <f t="shared" si="98"/>
        <v>226.06453328626355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84.497132376157992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84.497132376157992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-5.6843418860808015E-14</v>
      </c>
      <c r="EK89" s="17">
        <f>EJ89*VLOOKUP('Données projet'!$B$15,Paramètres!$A$1:$I$89,3,0)*VLOOKUP('Données projet'!$B$15,Paramètres!$A$1:$I$89,5,0)</f>
        <v>-3.2543994166189806E-14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192.76157155207764</v>
      </c>
      <c r="EP89" s="59">
        <f t="shared" si="100"/>
        <v>413.66427458788348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24.549573334316456</v>
      </c>
      <c r="EW89" s="21">
        <f>EXP(-LN(2)/25)*EW88+(1-EXP(-LN(2)/25))/(LN(2)/25)*Calculateur!ER89*Calculateur!ET89*VLOOKUP('Données projet'!$B$15,Paramètres!$A$1:$I$89,3,0)*0.475*44/12</f>
        <v>3.9536346539848872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28.503207988301344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68.834409207382265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1.05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3.85</v>
      </c>
      <c r="H90" s="66">
        <f t="shared" si="56"/>
        <v>241.26666666666665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7.1655555555555566</v>
      </c>
      <c r="N90" s="13">
        <f>IF('Données projet'!$A$36&gt;35,N89+M90-V89,IF(A90&lt;'Données projet'!$A$36,$K$205^A90,IF(A90='Données projet'!$A$36,'Données projet'!$B$36,N89+M90-V89)))</f>
        <v>260.37666666666672</v>
      </c>
      <c r="O90" s="13">
        <f>N90*VLOOKUP('Données projet'!$B$9,Paramètres!$A$1:$I$89,3,0)*VLOOKUP('Données projet'!$B$9,Paramètres!$A$1:$I$89,5,0)</f>
        <v>235.58880800000003</v>
      </c>
      <c r="P90" s="13">
        <f t="shared" si="87"/>
        <v>57.489418767993982</v>
      </c>
      <c r="Q90" s="20">
        <f t="shared" si="54"/>
        <v>510.44457828758954</v>
      </c>
      <c r="R90" s="59">
        <f t="shared" si="55"/>
        <v>799.57822016072259</v>
      </c>
      <c r="S90" s="59">
        <f ca="1">AVERAGE(OFFSET($R$3,0,0,'Données projet'!$E$9+1,1))-AVERAGE(OFFSET($H$3,0,0,'Données projet'!$E$9+1,1))</f>
        <v>480.34707165277229</v>
      </c>
      <c r="T90" s="59">
        <f t="shared" si="88"/>
        <v>217.17128038304531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78.766087190304091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78.766087190304091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409.0100000000001</v>
      </c>
      <c r="AJ90" s="13">
        <f>AI90*VLOOKUP('Données projet'!$B$10,Paramètres!$A$1:$I$89,3,0)*VLOOKUP('Données projet'!$B$10,Paramètres!$A$1:$I$89,5,0)</f>
        <v>414.73614000000015</v>
      </c>
      <c r="AK90" s="13">
        <f t="shared" si="89"/>
        <v>94.757872021698574</v>
      </c>
      <c r="AL90" s="20">
        <f t="shared" si="58"/>
        <v>887.3687376044586</v>
      </c>
      <c r="AM90" s="59">
        <f t="shared" si="59"/>
        <v>1176.5023794775916</v>
      </c>
      <c r="AN90" s="59">
        <f ca="1">AVERAGE(OFFSET($AM$3,0,0,'Données projet'!$E$10+1,1))-AVERAGE(OFFSET($H$3,0,0,'Données projet'!$E$10+1,1))</f>
        <v>596.64394969449609</v>
      </c>
      <c r="AO90" s="59">
        <f t="shared" si="90"/>
        <v>312.55704723516362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109.19149671312337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109.19149671312337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744.62502745888844</v>
      </c>
      <c r="BI90" s="59">
        <f ca="1">AVERAGE(OFFSET($BH$3,0,0,'Données projet'!$E$11+1,1))-AVERAGE(OFFSET($H$3,0,0,'Données projet'!$E$11+1,1))</f>
        <v>360.53625471540249</v>
      </c>
      <c r="BJ90" s="59">
        <f t="shared" si="92"/>
        <v>326.66299410556076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55.049639924953844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55.049639924953844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253.79640000000001</v>
      </c>
      <c r="CA90" s="13">
        <f t="shared" si="93"/>
        <v>61.39816832228076</v>
      </c>
      <c r="CB90" s="20">
        <f t="shared" si="64"/>
        <v>548.96387316130563</v>
      </c>
      <c r="CC90" s="59">
        <f t="shared" si="65"/>
        <v>838.09751503443863</v>
      </c>
      <c r="CD90" s="59">
        <f ca="1">AVERAGE(OFFSET($CC$3,0,0,'Données projet'!$E$12+1,1))-AVERAGE(OFFSET($H$3,0,0,'Données projet'!$E$12+1,1))</f>
        <v>358.39045200457502</v>
      </c>
      <c r="CE90" s="59">
        <f t="shared" si="94"/>
        <v>349.48764057925109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46.285639231157319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46.285639231157319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210.25641025641013</v>
      </c>
      <c r="CU90" s="17">
        <f>CT90*VLOOKUP('Données projet'!$B$13,Paramètres!$A$1:$I$89,3,0)*VLOOKUP('Données projet'!$B$13,Paramètres!$A$1:$I$89,5,0)</f>
        <v>163.99999999999991</v>
      </c>
      <c r="CV90" s="13">
        <f t="shared" si="95"/>
        <v>41.743425908362248</v>
      </c>
      <c r="CW90" s="20">
        <f t="shared" si="67"/>
        <v>358.33646679039742</v>
      </c>
      <c r="CX90" s="59">
        <f t="shared" si="68"/>
        <v>647.47010866353048</v>
      </c>
      <c r="CY90" s="59">
        <f ca="1">AVERAGE(OFFSET($CX$3,0,0,'Données projet'!$E$13+1,1))-AVERAGE(OFFSET($H$3,0,0,'Données projet'!$E$13+1,1))</f>
        <v>201.71903756761543</v>
      </c>
      <c r="CZ90" s="59">
        <f t="shared" si="96"/>
        <v>200.66422845182711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22.611003660418941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22.611003660418941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7.1655555555555566</v>
      </c>
      <c r="DO90" s="12">
        <f>IF('Données projet'!$A$166&gt;35,DO89+DN90-DW89,IF(A90&lt;'Données projet'!$A$166,$DL$205^A90,IF(A90='Données projet'!$A$166,'Données projet'!$B$166,DO89+DN90-DW89)))</f>
        <v>260.37666666666672</v>
      </c>
      <c r="DP90" s="17">
        <f>DO90*VLOOKUP('Données projet'!$B$14,Paramètres!$A$1:$I$89,3,0)*VLOOKUP('Données projet'!$B$14,Paramètres!$A$1:$I$89,5,0)</f>
        <v>247.77443600000007</v>
      </c>
      <c r="DQ90" s="13">
        <f t="shared" si="97"/>
        <v>60.109122079228108</v>
      </c>
      <c r="DR90" s="20">
        <f t="shared" si="70"/>
        <v>536.23053032132236</v>
      </c>
      <c r="DS90" s="59">
        <f t="shared" si="71"/>
        <v>825.36417219445548</v>
      </c>
      <c r="DT90" s="59">
        <f ca="1">AVERAGE(OFFSET($DS$3,0,0,'Données projet'!$E$14+1,1))-AVERAGE(OFFSET($H$3,0,0,'Données projet'!$E$14+1,1))</f>
        <v>502.4879901989737</v>
      </c>
      <c r="DU90" s="59">
        <f t="shared" si="98"/>
        <v>226.06453328626355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82.840195148423319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82.840195148423319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-5.6843418860808015E-14</v>
      </c>
      <c r="EK90" s="17">
        <f>EJ90*VLOOKUP('Données projet'!$B$15,Paramètres!$A$1:$I$89,3,0)*VLOOKUP('Données projet'!$B$15,Paramètres!$A$1:$I$89,5,0)</f>
        <v>-3.2543994166189806E-14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192.76157155207764</v>
      </c>
      <c r="EP90" s="59">
        <f t="shared" si="100"/>
        <v>413.66427458788348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24.068171174991708</v>
      </c>
      <c r="EW90" s="21">
        <f>EXP(-LN(2)/25)*EW89+(1-EXP(-LN(2)/25))/(LN(2)/25)*Calculateur!ER90*Calculateur!ET90*VLOOKUP('Données projet'!$B$15,Paramètres!$A$1:$I$89,3,0)*0.475*44/12</f>
        <v>3.8455223064590602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27.913693481450768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68.854629601763563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1.05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3.85</v>
      </c>
      <c r="H91" s="66">
        <f t="shared" si="56"/>
        <v>241.26666666666665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7.1655555555555566</v>
      </c>
      <c r="N91" s="13">
        <f>IF('Données projet'!$A$36&gt;35,N90+M91-V90,IF(A91&lt;'Données projet'!$A$36,$K$205^A91,IF(A91='Données projet'!$A$36,'Données projet'!$B$36,N90+M91-V90)))</f>
        <v>267.54222222222228</v>
      </c>
      <c r="O91" s="13">
        <f>N91*VLOOKUP('Données projet'!$B$9,Paramètres!$A$1:$I$89,3,0)*VLOOKUP('Données projet'!$B$9,Paramètres!$A$1:$I$89,5,0)</f>
        <v>242.0722026666667</v>
      </c>
      <c r="P91" s="13">
        <f t="shared" si="87"/>
        <v>58.885151656108263</v>
      </c>
      <c r="Q91" s="20">
        <f t="shared" si="54"/>
        <v>524.16739211216634</v>
      </c>
      <c r="R91" s="59">
        <f t="shared" si="55"/>
        <v>813.37388924303036</v>
      </c>
      <c r="S91" s="59">
        <f ca="1">AVERAGE(OFFSET($R$3,0,0,'Données projet'!$E$9+1,1))-AVERAGE(OFFSET($H$3,0,0,'Données projet'!$E$9+1,1))</f>
        <v>480.34707165277229</v>
      </c>
      <c r="T91" s="59">
        <f t="shared" si="88"/>
        <v>217.17128038304531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77.221532263071609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77.221532263071609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419.42000000000013</v>
      </c>
      <c r="AJ91" s="13">
        <f>AI91*VLOOKUP('Données projet'!$B$10,Paramètres!$A$1:$I$89,3,0)*VLOOKUP('Données projet'!$B$10,Paramètres!$A$1:$I$89,5,0)</f>
        <v>425.29188000000016</v>
      </c>
      <c r="AK91" s="13">
        <f t="shared" si="89"/>
        <v>96.885766258124534</v>
      </c>
      <c r="AL91" s="20">
        <f t="shared" si="58"/>
        <v>909.45940056623385</v>
      </c>
      <c r="AM91" s="59">
        <f t="shared" si="59"/>
        <v>1198.665897697098</v>
      </c>
      <c r="AN91" s="59">
        <f ca="1">AVERAGE(OFFSET($AM$3,0,0,'Données projet'!$E$10+1,1))-AVERAGE(OFFSET($H$3,0,0,'Données projet'!$E$10+1,1))</f>
        <v>596.64394969449609</v>
      </c>
      <c r="AO91" s="59">
        <f t="shared" si="90"/>
        <v>312.55704723516362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107.05031806281579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107.05031806281579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750.25937741284883</v>
      </c>
      <c r="BI91" s="59">
        <f ca="1">AVERAGE(OFFSET($BH$3,0,0,'Données projet'!$E$11+1,1))-AVERAGE(OFFSET($H$3,0,0,'Données projet'!$E$11+1,1))</f>
        <v>360.53625471540249</v>
      </c>
      <c r="BJ91" s="59">
        <f t="shared" si="92"/>
        <v>326.66299410556076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53.970150062990406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53.970150062990406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253.79640000000001</v>
      </c>
      <c r="CA91" s="13">
        <f t="shared" si="93"/>
        <v>61.39816832228076</v>
      </c>
      <c r="CB91" s="20">
        <f t="shared" si="64"/>
        <v>548.96387316130563</v>
      </c>
      <c r="CC91" s="59">
        <f t="shared" si="65"/>
        <v>838.17037029216965</v>
      </c>
      <c r="CD91" s="59">
        <f ca="1">AVERAGE(OFFSET($CC$3,0,0,'Données projet'!$E$12+1,1))-AVERAGE(OFFSET($H$3,0,0,'Données projet'!$E$12+1,1))</f>
        <v>358.39045200457502</v>
      </c>
      <c r="CE91" s="59">
        <f t="shared" si="94"/>
        <v>349.48764057925109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45.378006077286628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45.378006077286628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210.25641025641013</v>
      </c>
      <c r="CU91" s="17">
        <f>CT91*VLOOKUP('Données projet'!$B$13,Paramètres!$A$1:$I$89,3,0)*VLOOKUP('Données projet'!$B$13,Paramètres!$A$1:$I$89,5,0)</f>
        <v>163.99999999999991</v>
      </c>
      <c r="CV91" s="13">
        <f t="shared" si="95"/>
        <v>41.743425908362248</v>
      </c>
      <c r="CW91" s="20">
        <f t="shared" si="67"/>
        <v>358.33646679039742</v>
      </c>
      <c r="CX91" s="59">
        <f t="shared" si="68"/>
        <v>647.54296392126139</v>
      </c>
      <c r="CY91" s="59">
        <f ca="1">AVERAGE(OFFSET($CX$3,0,0,'Données projet'!$E$13+1,1))-AVERAGE(OFFSET($H$3,0,0,'Données projet'!$E$13+1,1))</f>
        <v>201.71903756761543</v>
      </c>
      <c r="CZ91" s="59">
        <f t="shared" si="96"/>
        <v>200.66422845182711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22.167615669988574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22.167615669988574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7.1655555555555566</v>
      </c>
      <c r="DO91" s="12">
        <f>IF('Données projet'!$A$166&gt;35,DO90+DN91-DW90,IF(A91&lt;'Données projet'!$A$166,$DL$205^A91,IF(A91='Données projet'!$A$166,'Données projet'!$B$166,DO90+DN91-DW90)))</f>
        <v>267.54222222222228</v>
      </c>
      <c r="DP91" s="17">
        <f>DO91*VLOOKUP('Données projet'!$B$14,Paramètres!$A$1:$I$89,3,0)*VLOOKUP('Données projet'!$B$14,Paramètres!$A$1:$I$89,5,0)</f>
        <v>254.59317866666672</v>
      </c>
      <c r="DQ91" s="13">
        <f t="shared" si="97"/>
        <v>61.56845634211615</v>
      </c>
      <c r="DR91" s="20">
        <f t="shared" si="70"/>
        <v>550.64818097363013</v>
      </c>
      <c r="DS91" s="59">
        <f t="shared" si="71"/>
        <v>839.85467810449416</v>
      </c>
      <c r="DT91" s="59">
        <f ca="1">AVERAGE(OFFSET($DS$3,0,0,'Données projet'!$E$14+1,1))-AVERAGE(OFFSET($H$3,0,0,'Données projet'!$E$14+1,1))</f>
        <v>502.4879901989737</v>
      </c>
      <c r="DU91" s="59">
        <f t="shared" si="98"/>
        <v>226.06453328626355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81.215749449092598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81.215749449092598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-5.6843418860808015E-14</v>
      </c>
      <c r="EK91" s="17">
        <f>EJ91*VLOOKUP('Données projet'!$B$15,Paramètres!$A$1:$I$89,3,0)*VLOOKUP('Données projet'!$B$15,Paramètres!$A$1:$I$89,5,0)</f>
        <v>-3.2543994166189806E-14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192.76157155207764</v>
      </c>
      <c r="EP91" s="59">
        <f t="shared" si="100"/>
        <v>413.66427458788348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23.596209018384993</v>
      </c>
      <c r="EW91" s="21">
        <f>EXP(-LN(2)/25)*EW90+(1-EXP(-LN(2)/25))/(LN(2)/25)*Calculateur!ER91*Calculateur!ET91*VLOOKUP('Données projet'!$B$15,Paramètres!$A$1:$I$89,3,0)*0.475*44/12</f>
        <v>3.7403662967617084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27.336575315146703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68.874499217508372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1.05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3.85</v>
      </c>
      <c r="H92" s="66">
        <f t="shared" si="56"/>
        <v>241.26666666666665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7.1655555555555566</v>
      </c>
      <c r="N92" s="13">
        <f>IF('Données projet'!$A$36&gt;35,N91+M92-V91,IF(A92&lt;'Données projet'!$A$36,$K$205^A92,IF(A92='Données projet'!$A$36,'Données projet'!$B$36,N91+M92-V91)))</f>
        <v>274.70777777777784</v>
      </c>
      <c r="O92" s="13">
        <f>N92*VLOOKUP('Données projet'!$B$9,Paramètres!$A$1:$I$89,3,0)*VLOOKUP('Données projet'!$B$9,Paramètres!$A$1:$I$89,5,0)</f>
        <v>248.55559733333337</v>
      </c>
      <c r="P92" s="13">
        <f t="shared" si="87"/>
        <v>60.276539532887902</v>
      </c>
      <c r="Q92" s="20">
        <f t="shared" si="54"/>
        <v>537.88263837533532</v>
      </c>
      <c r="R92" s="59">
        <f t="shared" si="55"/>
        <v>827.16072688808867</v>
      </c>
      <c r="S92" s="59">
        <f ca="1">AVERAGE(OFFSET($R$3,0,0,'Données projet'!$E$9+1,1))-AVERAGE(OFFSET($H$3,0,0,'Données projet'!$E$9+1,1))</f>
        <v>480.34707165277229</v>
      </c>
      <c r="T92" s="59">
        <f t="shared" si="88"/>
        <v>217.17128038304531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75.707265115876666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75.707265115876666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429.83000000000015</v>
      </c>
      <c r="AJ92" s="13">
        <f>AI92*VLOOKUP('Données projet'!$B$10,Paramètres!$A$1:$I$89,3,0)*VLOOKUP('Données projet'!$B$10,Paramètres!$A$1:$I$89,5,0)</f>
        <v>435.84762000000018</v>
      </c>
      <c r="AK92" s="13">
        <f t="shared" si="89"/>
        <v>99.007521114182325</v>
      </c>
      <c r="AL92" s="20">
        <f t="shared" si="58"/>
        <v>931.53937077386774</v>
      </c>
      <c r="AM92" s="59">
        <f t="shared" si="59"/>
        <v>1220.817459286621</v>
      </c>
      <c r="AN92" s="59">
        <f ca="1">AVERAGE(OFFSET($AM$3,0,0,'Données projet'!$E$10+1,1))-AVERAGE(OFFSET($H$3,0,0,'Données projet'!$E$10+1,1))</f>
        <v>596.64394969449609</v>
      </c>
      <c r="AO92" s="59">
        <f t="shared" si="90"/>
        <v>312.55704723516362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136.04059068986595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136.04059068986595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755.89103184930752</v>
      </c>
      <c r="BI92" s="59">
        <f ca="1">AVERAGE(OFFSET($BH$3,0,0,'Données projet'!$E$11+1,1))-AVERAGE(OFFSET($H$3,0,0,'Données projet'!$E$11+1,1))</f>
        <v>360.53625471540249</v>
      </c>
      <c r="BJ92" s="59">
        <f t="shared" si="92"/>
        <v>326.66299410556076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52.911828338796269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52.911828338796269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253.79640000000001</v>
      </c>
      <c r="CA92" s="13">
        <f t="shared" si="93"/>
        <v>61.39816832228076</v>
      </c>
      <c r="CB92" s="20">
        <f t="shared" si="64"/>
        <v>548.96387316130563</v>
      </c>
      <c r="CC92" s="59">
        <f t="shared" si="65"/>
        <v>838.24196167405898</v>
      </c>
      <c r="CD92" s="59">
        <f ca="1">AVERAGE(OFFSET($CC$3,0,0,'Données projet'!$E$12+1,1))-AVERAGE(OFFSET($H$3,0,0,'Données projet'!$E$12+1,1))</f>
        <v>358.39045200457502</v>
      </c>
      <c r="CE92" s="59">
        <f t="shared" si="94"/>
        <v>349.48764057925109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44.488171055961786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44.488171055961786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210.25641025641013</v>
      </c>
      <c r="CU92" s="17">
        <f>CT92*VLOOKUP('Données projet'!$B$13,Paramètres!$A$1:$I$89,3,0)*VLOOKUP('Données projet'!$B$13,Paramètres!$A$1:$I$89,5,0)</f>
        <v>163.99999999999991</v>
      </c>
      <c r="CV92" s="13">
        <f t="shared" si="95"/>
        <v>41.743425908362248</v>
      </c>
      <c r="CW92" s="20">
        <f t="shared" si="67"/>
        <v>358.33646679039742</v>
      </c>
      <c r="CX92" s="59">
        <f t="shared" si="68"/>
        <v>647.61455530315072</v>
      </c>
      <c r="CY92" s="59">
        <f ca="1">AVERAGE(OFFSET($CX$3,0,0,'Données projet'!$E$13+1,1))-AVERAGE(OFFSET($H$3,0,0,'Données projet'!$E$13+1,1))</f>
        <v>201.71903756761543</v>
      </c>
      <c r="CZ92" s="59">
        <f t="shared" si="96"/>
        <v>200.66422845182711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21.732922247610578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21.732922247610578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7.1655555555555566</v>
      </c>
      <c r="DO92" s="12">
        <f>IF('Données projet'!$A$166&gt;35,DO91+DN92-DW91,IF(A92&lt;'Données projet'!$A$166,$DL$205^A92,IF(A92='Données projet'!$A$166,'Données projet'!$B$166,DO91+DN92-DW91)))</f>
        <v>274.70777777777784</v>
      </c>
      <c r="DP92" s="17">
        <f>DO92*VLOOKUP('Données projet'!$B$14,Paramètres!$A$1:$I$89,3,0)*VLOOKUP('Données projet'!$B$14,Paramètres!$A$1:$I$89,5,0)</f>
        <v>261.4119213333334</v>
      </c>
      <c r="DQ92" s="13">
        <f t="shared" si="97"/>
        <v>63.023247598267517</v>
      </c>
      <c r="DR92" s="20">
        <f t="shared" si="70"/>
        <v>565.0579192225382</v>
      </c>
      <c r="DS92" s="59">
        <f t="shared" si="71"/>
        <v>854.33600773529156</v>
      </c>
      <c r="DT92" s="59">
        <f ca="1">AVERAGE(OFFSET($DS$3,0,0,'Données projet'!$E$14+1,1))-AVERAGE(OFFSET($H$3,0,0,'Données projet'!$E$14+1,1))</f>
        <v>502.4879901989737</v>
      </c>
      <c r="DU92" s="59">
        <f t="shared" si="98"/>
        <v>226.06453328626355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79.623158139111709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79.623158139111709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-5.6843418860808015E-14</v>
      </c>
      <c r="EK92" s="17">
        <f>EJ92*VLOOKUP('Données projet'!$B$15,Paramètres!$A$1:$I$89,3,0)*VLOOKUP('Données projet'!$B$15,Paramètres!$A$1:$I$89,5,0)</f>
        <v>-3.2543994166189806E-14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192.76157155207764</v>
      </c>
      <c r="EP92" s="59">
        <f t="shared" si="100"/>
        <v>413.66427458788348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23.133501751800846</v>
      </c>
      <c r="EW92" s="21">
        <f>EXP(-LN(2)/25)*EW91+(1-EXP(-LN(2)/25))/(LN(2)/25)*Calculateur!ER92*Calculateur!ET92*VLOOKUP('Données projet'!$B$15,Paramètres!$A$1:$I$89,3,0)*0.475*44/12</f>
        <v>3.6380857836794447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26.77158753548029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68.894024139841804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1.05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3.85</v>
      </c>
      <c r="H93" s="66">
        <f t="shared" si="56"/>
        <v>241.26666666666665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7.1655555555555566</v>
      </c>
      <c r="N93" s="13">
        <f>IF('Données projet'!$A$36&gt;35,N92+M93-V92,IF(A93&lt;'Données projet'!$A$36,$K$205^A93,IF(A93='Données projet'!$A$36,'Données projet'!$B$36,N92+M93-V92)))</f>
        <v>281.87333333333339</v>
      </c>
      <c r="O93" s="13">
        <f>N93*VLOOKUP('Données projet'!$B$9,Paramètres!$A$1:$I$89,3,0)*VLOOKUP('Données projet'!$B$9,Paramètres!$A$1:$I$89,5,0)</f>
        <v>255.03899200000006</v>
      </c>
      <c r="P93" s="13">
        <f t="shared" si="87"/>
        <v>61.663708764324099</v>
      </c>
      <c r="Q93" s="20">
        <f t="shared" si="54"/>
        <v>551.59053716453127</v>
      </c>
      <c r="R93" s="59">
        <f t="shared" si="55"/>
        <v>840.9389751087524</v>
      </c>
      <c r="S93" s="59">
        <f ca="1">AVERAGE(OFFSET($R$3,0,0,'Données projet'!$E$9+1,1))-AVERAGE(OFFSET($H$3,0,0,'Données projet'!$E$9+1,1))</f>
        <v>480.34707165277229</v>
      </c>
      <c r="T93" s="59">
        <f t="shared" si="88"/>
        <v>217.17128038304531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74.222691823826452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74.222691823826452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375.27700000000016</v>
      </c>
      <c r="AJ93" s="13">
        <f>AI93*VLOOKUP('Données projet'!$B$10,Paramètres!$A$1:$I$89,3,0)*VLOOKUP('Données projet'!$B$10,Paramètres!$A$1:$I$89,5,0)</f>
        <v>380.5308780000002</v>
      </c>
      <c r="AK93" s="13">
        <f t="shared" si="89"/>
        <v>87.818210540641346</v>
      </c>
      <c r="AL93" s="20">
        <f t="shared" si="58"/>
        <v>815.7079958749506</v>
      </c>
      <c r="AM93" s="59">
        <f t="shared" si="59"/>
        <v>1105.0564338191718</v>
      </c>
      <c r="AN93" s="59">
        <f ca="1">AVERAGE(OFFSET($AM$3,0,0,'Données projet'!$E$10+1,1))-AVERAGE(OFFSET($H$3,0,0,'Données projet'!$E$10+1,1))</f>
        <v>596.64394969449609</v>
      </c>
      <c r="AO93" s="59">
        <f t="shared" si="90"/>
        <v>312.55704723516362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133.37291768300474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133.37291768300474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761.52003217210552</v>
      </c>
      <c r="BI93" s="59">
        <f ca="1">AVERAGE(OFFSET($BH$3,0,0,'Données projet'!$E$11+1,1))-AVERAGE(OFFSET($H$3,0,0,'Données projet'!$E$11+1,1))</f>
        <v>360.53625471540249</v>
      </c>
      <c r="BJ93" s="59">
        <f t="shared" si="92"/>
        <v>326.66299410556076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56.857472503670593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56.857472503670593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253.79640000000001</v>
      </c>
      <c r="CA93" s="13">
        <f t="shared" si="93"/>
        <v>61.39816832228076</v>
      </c>
      <c r="CB93" s="20">
        <f t="shared" si="64"/>
        <v>548.96387316130563</v>
      </c>
      <c r="CC93" s="59">
        <f t="shared" si="65"/>
        <v>838.31231110552676</v>
      </c>
      <c r="CD93" s="59">
        <f ca="1">AVERAGE(OFFSET($CC$3,0,0,'Données projet'!$E$12+1,1))-AVERAGE(OFFSET($H$3,0,0,'Données projet'!$E$12+1,1))</f>
        <v>358.39045200457502</v>
      </c>
      <c r="CE93" s="59">
        <f t="shared" si="94"/>
        <v>349.48764057925109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43.615785156659349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43.615785156659349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210.25641025641013</v>
      </c>
      <c r="CU93" s="17">
        <f>CT93*VLOOKUP('Données projet'!$B$13,Paramètres!$A$1:$I$89,3,0)*VLOOKUP('Données projet'!$B$13,Paramètres!$A$1:$I$89,5,0)</f>
        <v>163.99999999999991</v>
      </c>
      <c r="CV93" s="13">
        <f t="shared" si="95"/>
        <v>41.743425908362248</v>
      </c>
      <c r="CW93" s="20">
        <f t="shared" si="67"/>
        <v>358.33646679039742</v>
      </c>
      <c r="CX93" s="59">
        <f t="shared" si="68"/>
        <v>647.68490473461861</v>
      </c>
      <c r="CY93" s="59">
        <f ca="1">AVERAGE(OFFSET($CX$3,0,0,'Données projet'!$E$13+1,1))-AVERAGE(OFFSET($H$3,0,0,'Données projet'!$E$13+1,1))</f>
        <v>201.71903756761543</v>
      </c>
      <c r="CZ93" s="59">
        <f t="shared" si="96"/>
        <v>200.66422845182711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21.306752898108606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21.306752898108606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7.1655555555555566</v>
      </c>
      <c r="DO93" s="12">
        <f>IF('Données projet'!$A$166&gt;35,DO92+DN93-DW92,IF(A93&lt;'Données projet'!$A$166,$DL$205^A93,IF(A93='Données projet'!$A$166,'Données projet'!$B$166,DO92+DN93-DW92)))</f>
        <v>281.87333333333339</v>
      </c>
      <c r="DP93" s="17">
        <f>DO93*VLOOKUP('Données projet'!$B$14,Paramètres!$A$1:$I$89,3,0)*VLOOKUP('Données projet'!$B$14,Paramètres!$A$1:$I$89,5,0)</f>
        <v>268.23066400000005</v>
      </c>
      <c r="DQ93" s="13">
        <f t="shared" si="97"/>
        <v>64.473627971975077</v>
      </c>
      <c r="DR93" s="20">
        <f t="shared" si="70"/>
        <v>579.45997518452327</v>
      </c>
      <c r="DS93" s="59">
        <f t="shared" si="71"/>
        <v>868.80841312874441</v>
      </c>
      <c r="DT93" s="59">
        <f ca="1">AVERAGE(OFFSET($DS$3,0,0,'Données projet'!$E$14+1,1))-AVERAGE(OFFSET($H$3,0,0,'Données projet'!$E$14+1,1))</f>
        <v>502.4879901989737</v>
      </c>
      <c r="DU93" s="59">
        <f t="shared" si="98"/>
        <v>226.06453328626355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78.06179657333476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78.06179657333476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-5.6843418860808015E-14</v>
      </c>
      <c r="EK93" s="17">
        <f>EJ93*VLOOKUP('Données projet'!$B$15,Paramètres!$A$1:$I$89,3,0)*VLOOKUP('Données projet'!$B$15,Paramètres!$A$1:$I$89,5,0)</f>
        <v>-3.2543994166189806E-14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192.76157155207764</v>
      </c>
      <c r="EP93" s="59">
        <f t="shared" si="100"/>
        <v>413.66427458788348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22.679867892490851</v>
      </c>
      <c r="EW93" s="21">
        <f>EXP(-LN(2)/25)*EW92+(1-EXP(-LN(2)/25))/(LN(2)/25)*Calculateur!ER93*Calculateur!ET93*VLOOKUP('Données projet'!$B$15,Paramètres!$A$1:$I$89,3,0)*0.475*44/12</f>
        <v>3.538602136606114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26.218470029096963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68.913210348423959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1.05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3.85</v>
      </c>
      <c r="H94" s="66">
        <f t="shared" si="56"/>
        <v>241.26666666666665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7.1655555555555566</v>
      </c>
      <c r="N94" s="13">
        <f>IF('Données projet'!$A$36&gt;35,N93+M94-V93,IF(A94&lt;'Données projet'!$A$36,$K$205^A94,IF(A94='Données projet'!$A$36,'Données projet'!$B$36,N93+M94-V93)))</f>
        <v>289.03888888888895</v>
      </c>
      <c r="O94" s="13">
        <f>N94*VLOOKUP('Données projet'!$B$9,Paramètres!$A$1:$I$89,3,0)*VLOOKUP('Données projet'!$B$9,Paramètres!$A$1:$I$89,5,0)</f>
        <v>261.5223866666667</v>
      </c>
      <c r="P94" s="13">
        <f t="shared" si="87"/>
        <v>63.046778925583041</v>
      </c>
      <c r="Q94" s="20">
        <f t="shared" si="54"/>
        <v>565.29129673983505</v>
      </c>
      <c r="R94" s="59">
        <f t="shared" si="55"/>
        <v>854.70886371016582</v>
      </c>
      <c r="S94" s="59">
        <f ca="1">AVERAGE(OFFSET($R$3,0,0,'Données projet'!$E$9+1,1))-AVERAGE(OFFSET($H$3,0,0,'Données projet'!$E$9+1,1))</f>
        <v>480.34707165277229</v>
      </c>
      <c r="T94" s="59">
        <f t="shared" si="88"/>
        <v>217.17128038304531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72.767230108533056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72.767230108533056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385.22400000000016</v>
      </c>
      <c r="AJ94" s="13">
        <f>AI94*VLOOKUP('Données projet'!$B$10,Paramètres!$A$1:$I$89,3,0)*VLOOKUP('Données projet'!$B$10,Paramètres!$A$1:$I$89,5,0)</f>
        <v>390.61713600000019</v>
      </c>
      <c r="AK94" s="13">
        <f t="shared" si="89"/>
        <v>89.871813645441875</v>
      </c>
      <c r="AL94" s="20">
        <f t="shared" si="58"/>
        <v>836.85158729914485</v>
      </c>
      <c r="AM94" s="59">
        <f t="shared" si="59"/>
        <v>1126.2691542694756</v>
      </c>
      <c r="AN94" s="59">
        <f ca="1">AVERAGE(OFFSET($AM$3,0,0,'Données projet'!$E$10+1,1))-AVERAGE(OFFSET($H$3,0,0,'Données projet'!$E$10+1,1))</f>
        <v>596.64394969449609</v>
      </c>
      <c r="AO94" s="59">
        <f t="shared" si="90"/>
        <v>312.55704723516362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130.75755611668822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130.75755611668822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209.66400000000002</v>
      </c>
      <c r="BF94" s="13">
        <f t="shared" si="91"/>
        <v>51.862154403304537</v>
      </c>
      <c r="BG94" s="20">
        <f t="shared" si="61"/>
        <v>455.49138558575538</v>
      </c>
      <c r="BH94" s="59">
        <f t="shared" si="62"/>
        <v>744.90895255608621</v>
      </c>
      <c r="BI94" s="59">
        <f ca="1">AVERAGE(OFFSET($BH$3,0,0,'Données projet'!$E$11+1,1))-AVERAGE(OFFSET($H$3,0,0,'Données projet'!$E$11+1,1))</f>
        <v>360.53625471540249</v>
      </c>
      <c r="BJ94" s="59">
        <f t="shared" si="92"/>
        <v>326.66299410556076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55.742532147507511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55.742532147507511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253.79640000000001</v>
      </c>
      <c r="CA94" s="13">
        <f t="shared" si="93"/>
        <v>61.39816832228076</v>
      </c>
      <c r="CB94" s="20">
        <f t="shared" si="64"/>
        <v>548.96387316130563</v>
      </c>
      <c r="CC94" s="59">
        <f t="shared" si="65"/>
        <v>838.38144013163651</v>
      </c>
      <c r="CD94" s="59">
        <f ca="1">AVERAGE(OFFSET($CC$3,0,0,'Données projet'!$E$12+1,1))-AVERAGE(OFFSET($H$3,0,0,'Données projet'!$E$12+1,1))</f>
        <v>358.39045200457502</v>
      </c>
      <c r="CE94" s="59">
        <f t="shared" si="94"/>
        <v>349.48764057925109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42.760506212739379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42.760506212739379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210.25641025641013</v>
      </c>
      <c r="CU94" s="17">
        <f>CT94*VLOOKUP('Données projet'!$B$13,Paramètres!$A$1:$I$89,3,0)*VLOOKUP('Données projet'!$B$13,Paramètres!$A$1:$I$89,5,0)</f>
        <v>163.99999999999991</v>
      </c>
      <c r="CV94" s="13">
        <f t="shared" si="95"/>
        <v>41.743425908362248</v>
      </c>
      <c r="CW94" s="20">
        <f t="shared" si="67"/>
        <v>358.33646679039742</v>
      </c>
      <c r="CX94" s="59">
        <f t="shared" si="68"/>
        <v>647.75403376072825</v>
      </c>
      <c r="CY94" s="59">
        <f ca="1">AVERAGE(OFFSET($CX$3,0,0,'Données projet'!$E$13+1,1))-AVERAGE(OFFSET($H$3,0,0,'Données projet'!$E$13+1,1))</f>
        <v>201.71903756761543</v>
      </c>
      <c r="CZ94" s="59">
        <f t="shared" si="96"/>
        <v>200.66422845182711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20.888940469612731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20.888940469612731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7.1655555555555566</v>
      </c>
      <c r="DO94" s="12">
        <f>IF('Données projet'!$A$166&gt;35,DO93+DN94-DW93,IF(A94&lt;'Données projet'!$A$166,$DL$205^A94,IF(A94='Données projet'!$A$166,'Données projet'!$B$166,DO93+DN94-DW93)))</f>
        <v>289.03888888888895</v>
      </c>
      <c r="DP94" s="17">
        <f>DO94*VLOOKUP('Données projet'!$B$14,Paramètres!$A$1:$I$89,3,0)*VLOOKUP('Données projet'!$B$14,Paramètres!$A$1:$I$89,5,0)</f>
        <v>275.0494066666667</v>
      </c>
      <c r="DQ94" s="13">
        <f t="shared" si="97"/>
        <v>65.919722487258852</v>
      </c>
      <c r="DR94" s="20">
        <f t="shared" si="70"/>
        <v>593.85456660975365</v>
      </c>
      <c r="DS94" s="59">
        <f t="shared" si="71"/>
        <v>883.27213358008453</v>
      </c>
      <c r="DT94" s="59">
        <f ca="1">AVERAGE(OFFSET($DS$3,0,0,'Données projet'!$E$14+1,1))-AVERAGE(OFFSET($H$3,0,0,'Données projet'!$E$14+1,1))</f>
        <v>502.4879901989737</v>
      </c>
      <c r="DU94" s="59">
        <f t="shared" si="98"/>
        <v>226.06453328626355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76.531052355526185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76.531052355526185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-5.6843418860808015E-14</v>
      </c>
      <c r="EK94" s="17">
        <f>EJ94*VLOOKUP('Données projet'!$B$15,Paramètres!$A$1:$I$89,3,0)*VLOOKUP('Données projet'!$B$15,Paramètres!$A$1:$I$89,5,0)</f>
        <v>-3.2543994166189806E-14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192.76157155207764</v>
      </c>
      <c r="EP94" s="59">
        <f t="shared" si="100"/>
        <v>413.66427458788348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22.23512951647259</v>
      </c>
      <c r="EW94" s="21">
        <f>EXP(-LN(2)/25)*EW93+(1-EXP(-LN(2)/25))/(LN(2)/25)*Calculateur!ER94*Calculateur!ET94*VLOOKUP('Données projet'!$B$15,Paramètres!$A$1:$I$89,3,0)*0.475*44/12</f>
        <v>3.4418388750936209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25.676968391566209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68.93206371918113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1.05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3.85</v>
      </c>
      <c r="H95" s="66">
        <f t="shared" si="56"/>
        <v>241.26666666666665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7.1655555555555566</v>
      </c>
      <c r="N95" s="13">
        <f>IF('Données projet'!$A$36&gt;35,N94+M95-V94,IF(A95&lt;'Données projet'!$A$36,$K$205^A95,IF(A95='Données projet'!$A$36,'Données projet'!$B$36,N94+M95-V94)))</f>
        <v>296.2044444444445</v>
      </c>
      <c r="O95" s="13">
        <f>N95*VLOOKUP('Données projet'!$B$9,Paramètres!$A$1:$I$89,3,0)*VLOOKUP('Données projet'!$B$9,Paramètres!$A$1:$I$89,5,0)</f>
        <v>268.0057813333334</v>
      </c>
      <c r="P95" s="13">
        <f t="shared" si="87"/>
        <v>64.425863325115259</v>
      </c>
      <c r="Q95" s="20">
        <f t="shared" si="54"/>
        <v>578.98511444679809</v>
      </c>
      <c r="R95" s="59">
        <f t="shared" si="55"/>
        <v>868.47061120918488</v>
      </c>
      <c r="S95" s="59">
        <f ca="1">AVERAGE(OFFSET($R$3,0,0,'Données projet'!$E$9+1,1))-AVERAGE(OFFSET($H$3,0,0,'Données projet'!$E$9+1,1))</f>
        <v>480.34707165277229</v>
      </c>
      <c r="T95" s="59">
        <f t="shared" si="88"/>
        <v>217.17128038304531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71.340309109732573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71.340309109732573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395.17100000000016</v>
      </c>
      <c r="AJ95" s="13">
        <f>AI95*VLOOKUP('Données projet'!$B$10,Paramètres!$A$1:$I$89,3,0)*VLOOKUP('Données projet'!$B$10,Paramètres!$A$1:$I$89,5,0)</f>
        <v>400.70339400000023</v>
      </c>
      <c r="AK95" s="13">
        <f t="shared" si="89"/>
        <v>91.919252975163644</v>
      </c>
      <c r="AL95" s="20">
        <f t="shared" si="58"/>
        <v>857.98444348174371</v>
      </c>
      <c r="AM95" s="59">
        <f t="shared" si="59"/>
        <v>1147.4699402441306</v>
      </c>
      <c r="AN95" s="59">
        <f ca="1">AVERAGE(OFFSET($AM$3,0,0,'Données projet'!$E$10+1,1))-AVERAGE(OFFSET($H$3,0,0,'Données projet'!$E$10+1,1))</f>
        <v>596.64394969449609</v>
      </c>
      <c r="AO95" s="59">
        <f t="shared" si="90"/>
        <v>312.55704723516362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128.19348019547411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128.19348019547411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212.28480000000002</v>
      </c>
      <c r="BF95" s="13">
        <f t="shared" si="91"/>
        <v>52.434557099704193</v>
      </c>
      <c r="BG95" s="20">
        <f t="shared" si="61"/>
        <v>461.05288028198476</v>
      </c>
      <c r="BH95" s="59">
        <f t="shared" si="62"/>
        <v>750.5383770443716</v>
      </c>
      <c r="BI95" s="59">
        <f ca="1">AVERAGE(OFFSET($BH$3,0,0,'Données projet'!$E$11+1,1))-AVERAGE(OFFSET($H$3,0,0,'Données projet'!$E$11+1,1))</f>
        <v>360.53625471540249</v>
      </c>
      <c r="BJ95" s="59">
        <f t="shared" si="92"/>
        <v>326.66299410556076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54.64945509168232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54.64945509168232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253.79640000000001</v>
      </c>
      <c r="CA95" s="13">
        <f t="shared" si="93"/>
        <v>61.39816832228076</v>
      </c>
      <c r="CB95" s="20">
        <f t="shared" si="64"/>
        <v>548.96387316130563</v>
      </c>
      <c r="CC95" s="59">
        <f t="shared" si="65"/>
        <v>838.44936992369242</v>
      </c>
      <c r="CD95" s="59">
        <f ca="1">AVERAGE(OFFSET($CC$3,0,0,'Données projet'!$E$12+1,1))-AVERAGE(OFFSET($H$3,0,0,'Données projet'!$E$12+1,1))</f>
        <v>358.39045200457502</v>
      </c>
      <c r="CE95" s="59">
        <f t="shared" si="94"/>
        <v>349.48764057925109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41.921998767241035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41.921998767241035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210.25641025641013</v>
      </c>
      <c r="CU95" s="17">
        <f>CT95*VLOOKUP('Données projet'!$B$13,Paramètres!$A$1:$I$89,3,0)*VLOOKUP('Données projet'!$B$13,Paramètres!$A$1:$I$89,5,0)</f>
        <v>163.99999999999991</v>
      </c>
      <c r="CV95" s="13">
        <f t="shared" si="95"/>
        <v>41.743425908362248</v>
      </c>
      <c r="CW95" s="20">
        <f t="shared" si="67"/>
        <v>358.33646679039742</v>
      </c>
      <c r="CX95" s="59">
        <f t="shared" si="68"/>
        <v>647.82196355278415</v>
      </c>
      <c r="CY95" s="59">
        <f ca="1">AVERAGE(OFFSET($CX$3,0,0,'Données projet'!$E$13+1,1))-AVERAGE(OFFSET($H$3,0,0,'Données projet'!$E$13+1,1))</f>
        <v>201.71903756761543</v>
      </c>
      <c r="CZ95" s="59">
        <f t="shared" si="96"/>
        <v>200.66422845182711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20.479321087999242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20.479321087999242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7.1655555555555566</v>
      </c>
      <c r="DO95" s="12">
        <f>IF('Données projet'!$A$166&gt;35,DO94+DN95-DW94,IF(A95&lt;'Données projet'!$A$166,$DL$205^A95,IF(A95='Données projet'!$A$166,'Données projet'!$B$166,DO94+DN95-DW94)))</f>
        <v>296.2044444444445</v>
      </c>
      <c r="DP95" s="17">
        <f>DO95*VLOOKUP('Données projet'!$B$14,Paramètres!$A$1:$I$89,3,0)*VLOOKUP('Données projet'!$B$14,Paramètres!$A$1:$I$89,5,0)</f>
        <v>281.86814933333341</v>
      </c>
      <c r="DQ95" s="13">
        <f t="shared" si="97"/>
        <v>67.361649615859278</v>
      </c>
      <c r="DR95" s="20">
        <f t="shared" si="70"/>
        <v>608.24189983651058</v>
      </c>
      <c r="DS95" s="59">
        <f t="shared" si="71"/>
        <v>897.72739659889737</v>
      </c>
      <c r="DT95" s="59">
        <f ca="1">AVERAGE(OFFSET($DS$3,0,0,'Données projet'!$E$14+1,1))-AVERAGE(OFFSET($H$3,0,0,'Données projet'!$E$14+1,1))</f>
        <v>502.4879901989737</v>
      </c>
      <c r="DU95" s="59">
        <f t="shared" si="98"/>
        <v>226.06453328626355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75.030325098167054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75.030325098167054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-5.6843418860808015E-14</v>
      </c>
      <c r="EK95" s="17">
        <f>EJ95*VLOOKUP('Données projet'!$B$15,Paramètres!$A$1:$I$89,3,0)*VLOOKUP('Données projet'!$B$15,Paramètres!$A$1:$I$89,5,0)</f>
        <v>-3.2543994166189806E-14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192.76157155207764</v>
      </c>
      <c r="EP95" s="59">
        <f t="shared" si="100"/>
        <v>413.66427458788348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21.799112188744424</v>
      </c>
      <c r="EW95" s="21">
        <f>EXP(-LN(2)/25)*EW94+(1-EXP(-LN(2)/25))/(LN(2)/25)*Calculateur!ER95*Calculateur!ET95*VLOOKUP('Données projet'!$B$15,Paramètres!$A$1:$I$89,3,0)*0.475*44/12</f>
        <v>3.3477216100557459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25.14683379880017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68.950590026105488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1.05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3.85</v>
      </c>
      <c r="H96" s="66">
        <f t="shared" si="56"/>
        <v>241.26666666666665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303.37</v>
      </c>
      <c r="L96" s="12">
        <f>VLOOKUP(A96,'Données projet'!$A$35:$I$55,9,0)</f>
        <v>7.1655555555555566</v>
      </c>
      <c r="M96" s="12">
        <f t="array" ref="M96">INDEX(L:L,MIN(IF(ISNUMBER(L96:L292),ROW(L96:L292),"")))</f>
        <v>7.1655555555555566</v>
      </c>
      <c r="N96" s="13">
        <f>IF('Données projet'!$A$36&gt;35,N95+M96-V95,IF(A96&lt;'Données projet'!$A$36,$K$205^A96,IF(A96='Données projet'!$A$36,'Données projet'!$B$36,N95+M96-V95)))</f>
        <v>303.37000000000006</v>
      </c>
      <c r="O96" s="13">
        <f>N96*VLOOKUP('Données projet'!$B$9,Paramètres!$A$1:$I$89,3,0)*VLOOKUP('Données projet'!$B$9,Paramètres!$A$1:$I$89,5,0)</f>
        <v>274.48917600000004</v>
      </c>
      <c r="P96" s="13">
        <f t="shared" si="87"/>
        <v>65.801069476622075</v>
      </c>
      <c r="Q96" s="20">
        <f t="shared" si="54"/>
        <v>592.67217753845</v>
      </c>
      <c r="R96" s="59">
        <f t="shared" si="55"/>
        <v>882.22442566286895</v>
      </c>
      <c r="S96" s="59">
        <f ca="1">AVERAGE(OFFSET($R$3,0,0,'Données projet'!$E$9+1,1))-AVERAGE(OFFSET($H$3,0,0,'Données projet'!$E$9+1,1))</f>
        <v>480.34707165277229</v>
      </c>
      <c r="T96" s="59">
        <f t="shared" si="88"/>
        <v>217.17128038304531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38.57</v>
      </c>
      <c r="W96" s="16">
        <f>IF(ISNA(VLOOKUP(A96,'Données projet'!$A$35:$I$55,5,0)),0%,VLOOKUP(A96,'Données projet'!$A$35:$I$55,5,0)*VLOOKUP('Données projet'!$B$9,Paramètres!$A$1:$I$89,7,0))</f>
        <v>0.43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86.530277090415069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86.530277090415069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405.11800000000017</v>
      </c>
      <c r="AJ96" s="13">
        <f>AI96*VLOOKUP('Données projet'!$B$10,Paramètres!$A$1:$I$89,3,0)*VLOOKUP('Données projet'!$B$10,Paramètres!$A$1:$I$89,5,0)</f>
        <v>410.78965200000022</v>
      </c>
      <c r="AK96" s="13">
        <f t="shared" si="89"/>
        <v>93.960701523544898</v>
      </c>
      <c r="AL96" s="20">
        <f t="shared" si="58"/>
        <v>879.10686572017437</v>
      </c>
      <c r="AM96" s="59">
        <f t="shared" si="59"/>
        <v>1168.6591138445933</v>
      </c>
      <c r="AN96" s="59">
        <f ca="1">AVERAGE(OFFSET($AM$3,0,0,'Données projet'!$E$10+1,1))-AVERAGE(OFFSET($H$3,0,0,'Données projet'!$E$10+1,1))</f>
        <v>596.64394969449609</v>
      </c>
      <c r="AO96" s="59">
        <f t="shared" si="90"/>
        <v>312.55704723516362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125.67968423914313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125.67968423914313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214.90560000000005</v>
      </c>
      <c r="BF96" s="13">
        <f t="shared" si="91"/>
        <v>53.006137800892326</v>
      </c>
      <c r="BG96" s="20">
        <f t="shared" si="61"/>
        <v>466.61294333655422</v>
      </c>
      <c r="BH96" s="59">
        <f t="shared" si="62"/>
        <v>756.16519146097312</v>
      </c>
      <c r="BI96" s="59">
        <f ca="1">AVERAGE(OFFSET($BH$3,0,0,'Données projet'!$E$11+1,1))-AVERAGE(OFFSET($H$3,0,0,'Données projet'!$E$11+1,1))</f>
        <v>360.53625471540249</v>
      </c>
      <c r="BJ96" s="59">
        <f t="shared" si="92"/>
        <v>326.66299410556076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53.577812610210685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53.577812610210685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253.79640000000001</v>
      </c>
      <c r="CA96" s="13">
        <f t="shared" si="93"/>
        <v>61.39816832228076</v>
      </c>
      <c r="CB96" s="20">
        <f t="shared" si="64"/>
        <v>548.96387316130563</v>
      </c>
      <c r="CC96" s="59">
        <f t="shared" si="65"/>
        <v>838.51612128572447</v>
      </c>
      <c r="CD96" s="59">
        <f ca="1">AVERAGE(OFFSET($CC$3,0,0,'Données projet'!$E$12+1,1))-AVERAGE(OFFSET($H$3,0,0,'Données projet'!$E$12+1,1))</f>
        <v>358.39045200457502</v>
      </c>
      <c r="CE96" s="59">
        <f t="shared" si="94"/>
        <v>349.48764057925109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41.099933941309871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41.099933941309871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210.25641025641013</v>
      </c>
      <c r="CU96" s="17">
        <f>CT96*VLOOKUP('Données projet'!$B$13,Paramètres!$A$1:$I$89,3,0)*VLOOKUP('Données projet'!$B$13,Paramètres!$A$1:$I$89,5,0)</f>
        <v>163.99999999999991</v>
      </c>
      <c r="CV96" s="13">
        <f t="shared" si="95"/>
        <v>41.743425908362248</v>
      </c>
      <c r="CW96" s="20">
        <f t="shared" si="67"/>
        <v>358.33646679039742</v>
      </c>
      <c r="CX96" s="59">
        <f t="shared" si="68"/>
        <v>647.88871491481632</v>
      </c>
      <c r="CY96" s="59">
        <f ca="1">AVERAGE(OFFSET($CX$3,0,0,'Données projet'!$E$13+1,1))-AVERAGE(OFFSET($H$3,0,0,'Données projet'!$E$13+1,1))</f>
        <v>201.71903756761543</v>
      </c>
      <c r="CZ96" s="59">
        <f t="shared" si="96"/>
        <v>200.66422845182711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20.077734092616041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20.077734092616041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303.37</v>
      </c>
      <c r="DM96" s="12">
        <f>VLOOKUP(A96,'Données projet'!$A$165:$I$185,9,0)</f>
        <v>7.1655555555555566</v>
      </c>
      <c r="DN96" s="12">
        <f t="array" ref="DN96">INDEX(DM:DM,MIN(IF(ISNUMBER(DM96:DM292),ROW(DM96:DM292),"")))</f>
        <v>7.1655555555555566</v>
      </c>
      <c r="DO96" s="12">
        <f>IF('Données projet'!$A$166&gt;35,DO95+DN96-DW95,IF(A96&lt;'Données projet'!$A$166,$DL$205^A96,IF(A96='Données projet'!$A$166,'Données projet'!$B$166,DO95+DN96-DW95)))</f>
        <v>303.37000000000006</v>
      </c>
      <c r="DP96" s="17">
        <f>DO96*VLOOKUP('Données projet'!$B$14,Paramètres!$A$1:$I$89,3,0)*VLOOKUP('Données projet'!$B$14,Paramètres!$A$1:$I$89,5,0)</f>
        <v>288.68689200000006</v>
      </c>
      <c r="DQ96" s="13">
        <f t="shared" si="97"/>
        <v>68.799521770709674</v>
      </c>
      <c r="DR96" s="20">
        <f t="shared" si="70"/>
        <v>622.62217065065283</v>
      </c>
      <c r="DS96" s="59">
        <f t="shared" si="71"/>
        <v>912.17441877507167</v>
      </c>
      <c r="DT96" s="59">
        <f ca="1">AVERAGE(OFFSET($DS$3,0,0,'Données projet'!$E$14+1,1))-AVERAGE(OFFSET($H$3,0,0,'Données projet'!$E$14+1,1))</f>
        <v>502.4879901989737</v>
      </c>
      <c r="DU96" s="59">
        <f t="shared" si="98"/>
        <v>226.06453328626355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38.57</v>
      </c>
      <c r="DX96" s="16">
        <f>IF(ISNA(VLOOKUP(A96,'Données projet'!$A$165:$I$185,5,0)),0%,VLOOKUP(A96,'Données projet'!$A$165:$I$185,5,0)*VLOOKUP('Données projet'!$B$14,Paramètres!$A$1:$I$89,7,0))</f>
        <v>0.43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91.005981077850379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91.005981077850379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-5.6843418860808015E-14</v>
      </c>
      <c r="EK96" s="17">
        <f>EJ96*VLOOKUP('Données projet'!$B$15,Paramètres!$A$1:$I$89,3,0)*VLOOKUP('Données projet'!$B$15,Paramètres!$A$1:$I$89,5,0)</f>
        <v>-3.2543994166189806E-14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192.76157155207764</v>
      </c>
      <c r="EP96" s="59">
        <f t="shared" si="100"/>
        <v>413.66427458788348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21.371644894868695</v>
      </c>
      <c r="EW96" s="21">
        <f>EXP(-LN(2)/25)*EW95+(1-EXP(-LN(2)/25))/(LN(2)/25)*Calculateur!ER96*Calculateur!ET96*VLOOKUP('Données projet'!$B$15,Paramètres!$A$1:$I$89,3,0)*0.475*44/12</f>
        <v>3.2561779865797433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24.627822881448438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68.96879494302334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1.05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3.85</v>
      </c>
      <c r="H97" s="66">
        <f t="shared" si="56"/>
        <v>241.26666666666665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7.2909999999999968</v>
      </c>
      <c r="N97" s="13">
        <f>IF('Données projet'!$A$36&gt;35,N96+M97-V96,IF(A97&lt;'Données projet'!$A$36,$K$205^A97,IF(A97='Données projet'!$A$36,'Données projet'!$B$36,N96+M97-V96)))</f>
        <v>272.09100000000007</v>
      </c>
      <c r="O97" s="13">
        <f>N97*VLOOKUP('Données projet'!$B$9,Paramètres!$A$1:$I$89,3,0)*VLOOKUP('Données projet'!$B$9,Paramètres!$A$1:$I$89,5,0)</f>
        <v>246.18793680000005</v>
      </c>
      <c r="P97" s="13">
        <f t="shared" si="87"/>
        <v>59.768916327504719</v>
      </c>
      <c r="Q97" s="20">
        <f t="shared" si="54"/>
        <v>532.87485253040416</v>
      </c>
      <c r="R97" s="59">
        <f t="shared" si="55"/>
        <v>822.49269402995765</v>
      </c>
      <c r="S97" s="59">
        <f ca="1">AVERAGE(OFFSET($R$3,0,0,'Données projet'!$E$9+1,1))-AVERAGE(OFFSET($H$3,0,0,'Données projet'!$E$9+1,1))</f>
        <v>480.34707165277229</v>
      </c>
      <c r="T97" s="59">
        <f t="shared" si="88"/>
        <v>217.17128038304531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84.833471134929638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84.833471134929638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415.06500000000017</v>
      </c>
      <c r="AJ97" s="13">
        <f>AI97*VLOOKUP('Données projet'!$B$10,Paramètres!$A$1:$I$89,3,0)*VLOOKUP('Données projet'!$B$10,Paramètres!$A$1:$I$89,5,0)</f>
        <v>420.8759100000002</v>
      </c>
      <c r="AK97" s="13">
        <f t="shared" si="89"/>
        <v>95.996323304873258</v>
      </c>
      <c r="AL97" s="20">
        <f t="shared" si="58"/>
        <v>900.21913967265448</v>
      </c>
      <c r="AM97" s="59">
        <f t="shared" si="59"/>
        <v>1189.836981172208</v>
      </c>
      <c r="AN97" s="59">
        <f ca="1">AVERAGE(OFFSET($AM$3,0,0,'Données projet'!$E$10+1,1))-AVERAGE(OFFSET($H$3,0,0,'Données projet'!$E$10+1,1))</f>
        <v>596.64394969449609</v>
      </c>
      <c r="AO97" s="59">
        <f t="shared" si="90"/>
        <v>312.55704723516362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123.21518228825167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123.21518228825167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217.52640000000005</v>
      </c>
      <c r="BF97" s="13">
        <f t="shared" si="91"/>
        <v>53.576907690651254</v>
      </c>
      <c r="BG97" s="20">
        <f t="shared" si="61"/>
        <v>472.17159422788433</v>
      </c>
      <c r="BH97" s="59">
        <f t="shared" si="62"/>
        <v>761.78943572743776</v>
      </c>
      <c r="BI97" s="59">
        <f ca="1">AVERAGE(OFFSET($BH$3,0,0,'Données projet'!$E$11+1,1))-AVERAGE(OFFSET($H$3,0,0,'Données projet'!$E$11+1,1))</f>
        <v>360.53625471540249</v>
      </c>
      <c r="BJ97" s="59">
        <f t="shared" si="92"/>
        <v>326.66299410556076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52.527184384163341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52.527184384163341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253.79640000000001</v>
      </c>
      <c r="CA97" s="13">
        <f t="shared" si="93"/>
        <v>61.39816832228076</v>
      </c>
      <c r="CB97" s="20">
        <f t="shared" si="64"/>
        <v>548.96387316130563</v>
      </c>
      <c r="CC97" s="59">
        <f t="shared" si="65"/>
        <v>838.58171466085901</v>
      </c>
      <c r="CD97" s="59">
        <f ca="1">AVERAGE(OFFSET($CC$3,0,0,'Données projet'!$E$12+1,1))-AVERAGE(OFFSET($H$3,0,0,'Données projet'!$E$12+1,1))</f>
        <v>358.39045200457502</v>
      </c>
      <c r="CE97" s="59">
        <f t="shared" si="94"/>
        <v>349.48764057925109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40.29398930520518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40.29398930520518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210.25641025641013</v>
      </c>
      <c r="CU97" s="17">
        <f>CT97*VLOOKUP('Données projet'!$B$13,Paramètres!$A$1:$I$89,3,0)*VLOOKUP('Données projet'!$B$13,Paramètres!$A$1:$I$89,5,0)</f>
        <v>163.99999999999991</v>
      </c>
      <c r="CV97" s="13">
        <f t="shared" si="95"/>
        <v>41.743425908362248</v>
      </c>
      <c r="CW97" s="20">
        <f t="shared" si="67"/>
        <v>358.33646679039742</v>
      </c>
      <c r="CX97" s="59">
        <f t="shared" si="68"/>
        <v>647.95430828995086</v>
      </c>
      <c r="CY97" s="59">
        <f ca="1">AVERAGE(OFFSET($CX$3,0,0,'Données projet'!$E$13+1,1))-AVERAGE(OFFSET($H$3,0,0,'Données projet'!$E$13+1,1))</f>
        <v>201.71903756761543</v>
      </c>
      <c r="CZ97" s="59">
        <f t="shared" si="96"/>
        <v>200.66422845182711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19.684021973268425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19.684021973268425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7.2909999999999968</v>
      </c>
      <c r="DO97" s="12">
        <f>IF('Données projet'!$A$166&gt;35,DO96+DN97-DW96,IF(A97&lt;'Données projet'!$A$166,$DL$205^A97,IF(A97='Données projet'!$A$166,'Données projet'!$B$166,DO96+DN97-DW96)))</f>
        <v>272.09100000000007</v>
      </c>
      <c r="DP97" s="17">
        <f>DO97*VLOOKUP('Données projet'!$B$14,Paramètres!$A$1:$I$89,3,0)*VLOOKUP('Données projet'!$B$14,Paramètres!$A$1:$I$89,5,0)</f>
        <v>258.92179560000005</v>
      </c>
      <c r="DQ97" s="13">
        <f t="shared" si="97"/>
        <v>62.492492793704926</v>
      </c>
      <c r="DR97" s="20">
        <f t="shared" si="70"/>
        <v>559.79655228570277</v>
      </c>
      <c r="DS97" s="59">
        <f t="shared" si="71"/>
        <v>849.41439378525615</v>
      </c>
      <c r="DT97" s="59">
        <f ca="1">AVERAGE(OFFSET($DS$3,0,0,'Données projet'!$E$14+1,1))-AVERAGE(OFFSET($H$3,0,0,'Données projet'!$E$14+1,1))</f>
        <v>502.4879901989737</v>
      </c>
      <c r="DU97" s="59">
        <f t="shared" si="98"/>
        <v>226.06453328626355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89.221409297081209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89.221409297081209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-5.6843418860808015E-14</v>
      </c>
      <c r="EK97" s="17">
        <f>EJ97*VLOOKUP('Données projet'!$B$15,Paramètres!$A$1:$I$89,3,0)*VLOOKUP('Données projet'!$B$15,Paramètres!$A$1:$I$89,5,0)</f>
        <v>-3.2543994166189806E-14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192.76157155207764</v>
      </c>
      <c r="EP97" s="59">
        <f t="shared" si="100"/>
        <v>413.66427458788348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20.952559973896566</v>
      </c>
      <c r="EW97" s="21">
        <f>EXP(-LN(2)/25)*EW96+(1-EXP(-LN(2)/25))/(LN(2)/25)*Calculateur!ER97*Calculateur!ET97*VLOOKUP('Données projet'!$B$15,Paramètres!$A$1:$I$89,3,0)*0.475*44/12</f>
        <v>3.167137628301762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24.119697602198329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68.986684045332751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1.05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3.85</v>
      </c>
      <c r="H98" s="66">
        <f t="shared" si="56"/>
        <v>241.26666666666665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7.2909999999999968</v>
      </c>
      <c r="N98" s="13">
        <f>IF('Données projet'!$A$36&gt;35,N97+M98-V97,IF(A98&lt;'Données projet'!$A$36,$K$205^A98,IF(A98='Données projet'!$A$36,'Données projet'!$B$36,N97+M98-V97)))</f>
        <v>279.38200000000006</v>
      </c>
      <c r="O98" s="13">
        <f>N98*VLOOKUP('Données projet'!$B$9,Paramètres!$A$1:$I$89,3,0)*VLOOKUP('Données projet'!$B$9,Paramètres!$A$1:$I$89,5,0)</f>
        <v>252.78483360000007</v>
      </c>
      <c r="P98" s="13">
        <f t="shared" si="87"/>
        <v>61.181886041057645</v>
      </c>
      <c r="Q98" s="20">
        <f t="shared" si="54"/>
        <v>546.82537004150879</v>
      </c>
      <c r="R98" s="59">
        <f t="shared" si="55"/>
        <v>836.50766701778298</v>
      </c>
      <c r="S98" s="59">
        <f ca="1">AVERAGE(OFFSET($R$3,0,0,'Données projet'!$E$9+1,1))-AVERAGE(OFFSET($H$3,0,0,'Données projet'!$E$9+1,1))</f>
        <v>480.34707165277229</v>
      </c>
      <c r="T98" s="59">
        <f t="shared" si="88"/>
        <v>217.17128038304531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83.169938509281835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83.169938509281835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425.01200000000017</v>
      </c>
      <c r="AJ98" s="13">
        <f>AI98*VLOOKUP('Données projet'!$B$10,Paramètres!$A$1:$I$89,3,0)*VLOOKUP('Données projet'!$B$10,Paramètres!$A$1:$I$89,5,0)</f>
        <v>430.96216800000025</v>
      </c>
      <c r="AK98" s="13">
        <f t="shared" si="89"/>
        <v>98.026274023933112</v>
      </c>
      <c r="AL98" s="20">
        <f t="shared" si="58"/>
        <v>921.32153652501711</v>
      </c>
      <c r="AM98" s="59">
        <f t="shared" si="59"/>
        <v>1211.0038335012914</v>
      </c>
      <c r="AN98" s="59">
        <f ca="1">AVERAGE(OFFSET($AM$3,0,0,'Données projet'!$E$10+1,1))-AVERAGE(OFFSET($H$3,0,0,'Données projet'!$E$10+1,1))</f>
        <v>596.64394969449609</v>
      </c>
      <c r="AO98" s="59">
        <f t="shared" si="90"/>
        <v>312.55704723516362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120.79900771741943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120.79900771741943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220.14720000000003</v>
      </c>
      <c r="BF98" s="13">
        <f t="shared" si="91"/>
        <v>54.146877667769687</v>
      </c>
      <c r="BG98" s="20">
        <f t="shared" si="61"/>
        <v>477.72885193803222</v>
      </c>
      <c r="BH98" s="59">
        <f t="shared" si="62"/>
        <v>767.41114891430641</v>
      </c>
      <c r="BI98" s="59">
        <f ca="1">AVERAGE(OFFSET($BH$3,0,0,'Données projet'!$E$11+1,1))-AVERAGE(OFFSET($H$3,0,0,'Données projet'!$E$11+1,1))</f>
        <v>360.53625471540249</v>
      </c>
      <c r="BJ98" s="59">
        <f t="shared" si="92"/>
        <v>326.66299410556076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56.48037118237837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56.48037118237837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253.79640000000001</v>
      </c>
      <c r="CA98" s="13">
        <f t="shared" si="93"/>
        <v>61.39816832228076</v>
      </c>
      <c r="CB98" s="20">
        <f t="shared" si="64"/>
        <v>548.96387316130563</v>
      </c>
      <c r="CC98" s="59">
        <f t="shared" si="65"/>
        <v>838.64617013757982</v>
      </c>
      <c r="CD98" s="59">
        <f ca="1">AVERAGE(OFFSET($CC$3,0,0,'Données projet'!$E$12+1,1))-AVERAGE(OFFSET($H$3,0,0,'Données projet'!$E$12+1,1))</f>
        <v>358.39045200457502</v>
      </c>
      <c r="CE98" s="59">
        <f t="shared" si="94"/>
        <v>349.48764057925109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39.503848751836813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39.503848751836813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210.25641025641013</v>
      </c>
      <c r="CU98" s="17">
        <f>CT98*VLOOKUP('Données projet'!$B$13,Paramètres!$A$1:$I$89,3,0)*VLOOKUP('Données projet'!$B$13,Paramètres!$A$1:$I$89,5,0)</f>
        <v>163.99999999999991</v>
      </c>
      <c r="CV98" s="13">
        <f t="shared" si="95"/>
        <v>41.743425908362248</v>
      </c>
      <c r="CW98" s="20">
        <f t="shared" si="67"/>
        <v>358.33646679039742</v>
      </c>
      <c r="CX98" s="59">
        <f t="shared" si="68"/>
        <v>648.01876376667155</v>
      </c>
      <c r="CY98" s="59">
        <f ca="1">AVERAGE(OFFSET($CX$3,0,0,'Données projet'!$E$13+1,1))-AVERAGE(OFFSET($H$3,0,0,'Données projet'!$E$13+1,1))</f>
        <v>201.71903756761543</v>
      </c>
      <c r="CZ98" s="59">
        <f t="shared" si="96"/>
        <v>200.66422845182711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19.298030308440534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19.298030308440534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7.2909999999999968</v>
      </c>
      <c r="DO98" s="12">
        <f>IF('Données projet'!$A$166&gt;35,DO97+DN98-DW97,IF(A98&lt;'Données projet'!$A$166,$DL$205^A98,IF(A98='Données projet'!$A$166,'Données projet'!$B$166,DO97+DN98-DW97)))</f>
        <v>279.38200000000006</v>
      </c>
      <c r="DP98" s="17">
        <f>DO98*VLOOKUP('Données projet'!$B$14,Paramètres!$A$1:$I$89,3,0)*VLOOKUP('Données projet'!$B$14,Paramètres!$A$1:$I$89,5,0)</f>
        <v>265.85991120000006</v>
      </c>
      <c r="DQ98" s="13">
        <f t="shared" si="97"/>
        <v>63.969849337331794</v>
      </c>
      <c r="DR98" s="20">
        <f t="shared" si="70"/>
        <v>574.45349960251963</v>
      </c>
      <c r="DS98" s="59">
        <f t="shared" si="71"/>
        <v>864.13579657879382</v>
      </c>
      <c r="DT98" s="59">
        <f ca="1">AVERAGE(OFFSET($DS$3,0,0,'Données projet'!$E$14+1,1))-AVERAGE(OFFSET($H$3,0,0,'Données projet'!$E$14+1,1))</f>
        <v>502.4879901989737</v>
      </c>
      <c r="DU98" s="59">
        <f t="shared" si="98"/>
        <v>226.06453328626355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87.471831880451617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87.471831880451617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-5.6843418860808015E-14</v>
      </c>
      <c r="EK98" s="17">
        <f>EJ98*VLOOKUP('Données projet'!$B$15,Paramètres!$A$1:$I$89,3,0)*VLOOKUP('Données projet'!$B$15,Paramètres!$A$1:$I$89,5,0)</f>
        <v>-3.2543994166189806E-14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192.76157155207764</v>
      </c>
      <c r="EP98" s="59">
        <f t="shared" si="100"/>
        <v>413.66427458788348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20.541693052608139</v>
      </c>
      <c r="EW98" s="21">
        <f>EXP(-LN(2)/25)*EW97+(1-EXP(-LN(2)/25))/(LN(2)/25)*Calculateur!ER98*Calculateur!ET98*VLOOKUP('Données projet'!$B$15,Paramètres!$A$1:$I$89,3,0)*0.475*44/12</f>
        <v>3.080532083303321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23.62222513591146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69.004262811711143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1.05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3.85</v>
      </c>
      <c r="H99" s="66">
        <f t="shared" si="56"/>
        <v>241.26666666666665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7.2909999999999968</v>
      </c>
      <c r="N99" s="13">
        <f>IF('Données projet'!$A$36&gt;35,N98+M99-V98,IF(A99&lt;'Données projet'!$A$36,$K$205^A99,IF(A99='Données projet'!$A$36,'Données projet'!$B$36,N98+M99-V98)))</f>
        <v>286.67300000000006</v>
      </c>
      <c r="O99" s="13">
        <f>N99*VLOOKUP('Données projet'!$B$9,Paramètres!$A$1:$I$89,3,0)*VLOOKUP('Données projet'!$B$9,Paramètres!$A$1:$I$89,5,0)</f>
        <v>259.38173040000004</v>
      </c>
      <c r="P99" s="13">
        <f t="shared" si="87"/>
        <v>62.590569606732842</v>
      </c>
      <c r="Q99" s="20">
        <f t="shared" ref="Q99:Q130" si="107">(O99+P99)*0.475*44/12</f>
        <v>560.76842251172638</v>
      </c>
      <c r="R99" s="59">
        <f t="shared" si="55"/>
        <v>850.51405680630114</v>
      </c>
      <c r="S99" s="59">
        <f ca="1">AVERAGE(OFFSET($R$3,0,0,'Données projet'!$E$9+1,1))-AVERAGE(OFFSET($H$3,0,0,'Données projet'!$E$9+1,1))</f>
        <v>480.34707165277229</v>
      </c>
      <c r="T99" s="59">
        <f t="shared" si="88"/>
        <v>217.17128038304531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81.539026743768275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81.539026743768275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434.95900000000017</v>
      </c>
      <c r="AJ99" s="13">
        <f>AI99*VLOOKUP('Données projet'!$B$10,Paramètres!$A$1:$I$89,3,0)*VLOOKUP('Données projet'!$B$10,Paramètres!$A$1:$I$89,5,0)</f>
        <v>441.04842600000018</v>
      </c>
      <c r="AK99" s="13">
        <f t="shared" si="89"/>
        <v>100.05070168146835</v>
      </c>
      <c r="AL99" s="20">
        <f t="shared" si="58"/>
        <v>942.41431404522439</v>
      </c>
      <c r="AM99" s="59">
        <f t="shared" si="59"/>
        <v>1232.159948339799</v>
      </c>
      <c r="AN99" s="59">
        <f ca="1">AVERAGE(OFFSET($AM$3,0,0,'Données projet'!$E$10+1,1))-AVERAGE(OFFSET($H$3,0,0,'Données projet'!$E$10+1,1))</f>
        <v>596.64394969449609</v>
      </c>
      <c r="AO99" s="59">
        <f t="shared" si="90"/>
        <v>312.55704723516362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118.43021285620023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118.43021285620023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212.28480000000002</v>
      </c>
      <c r="BF99" s="13">
        <f t="shared" si="91"/>
        <v>52.434557099704193</v>
      </c>
      <c r="BG99" s="20">
        <f t="shared" si="61"/>
        <v>461.05288028198476</v>
      </c>
      <c r="BH99" s="59">
        <f t="shared" si="62"/>
        <v>750.79851457655946</v>
      </c>
      <c r="BI99" s="59">
        <f ca="1">AVERAGE(OFFSET($BH$3,0,0,'Données projet'!$E$11+1,1))-AVERAGE(OFFSET($H$3,0,0,'Données projet'!$E$11+1,1))</f>
        <v>360.53625471540249</v>
      </c>
      <c r="BJ99" s="59">
        <f t="shared" si="92"/>
        <v>326.66299410556076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55.372825553116733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55.372825553116733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253.79640000000001</v>
      </c>
      <c r="CA99" s="13">
        <f t="shared" si="93"/>
        <v>61.39816832228076</v>
      </c>
      <c r="CB99" s="20">
        <f t="shared" si="64"/>
        <v>548.96387316130563</v>
      </c>
      <c r="CC99" s="59">
        <f t="shared" si="65"/>
        <v>838.70950745588038</v>
      </c>
      <c r="CD99" s="59">
        <f ca="1">AVERAGE(OFFSET($CC$3,0,0,'Données projet'!$E$12+1,1))-AVERAGE(OFFSET($H$3,0,0,'Données projet'!$E$12+1,1))</f>
        <v>358.39045200457502</v>
      </c>
      <c r="CE99" s="59">
        <f t="shared" si="94"/>
        <v>349.48764057925109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38.729202372781849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38.729202372781849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210.25641025641013</v>
      </c>
      <c r="CU99" s="17">
        <f>CT99*VLOOKUP('Données projet'!$B$13,Paramètres!$A$1:$I$89,3,0)*VLOOKUP('Données projet'!$B$13,Paramètres!$A$1:$I$89,5,0)</f>
        <v>163.99999999999991</v>
      </c>
      <c r="CV99" s="13">
        <f t="shared" si="95"/>
        <v>41.743425908362248</v>
      </c>
      <c r="CW99" s="20">
        <f t="shared" si="67"/>
        <v>358.33646679039742</v>
      </c>
      <c r="CX99" s="59">
        <f t="shared" si="68"/>
        <v>648.08210108497212</v>
      </c>
      <c r="CY99" s="59">
        <f ca="1">AVERAGE(OFFSET($CX$3,0,0,'Données projet'!$E$13+1,1))-AVERAGE(OFFSET($H$3,0,0,'Données projet'!$E$13+1,1))</f>
        <v>201.71903756761543</v>
      </c>
      <c r="CZ99" s="59">
        <f t="shared" si="96"/>
        <v>200.66422845182711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18.91960770472825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18.91960770472825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7.2909999999999968</v>
      </c>
      <c r="DO99" s="12">
        <f>IF('Données projet'!$A$166&gt;35,DO98+DN99-DW98,IF(A99&lt;'Données projet'!$A$166,$DL$205^A99,IF(A99='Données projet'!$A$166,'Données projet'!$B$166,DO98+DN99-DW98)))</f>
        <v>286.67300000000006</v>
      </c>
      <c r="DP99" s="17">
        <f>DO99*VLOOKUP('Données projet'!$B$14,Paramètres!$A$1:$I$89,3,0)*VLOOKUP('Données projet'!$B$14,Paramètres!$A$1:$I$89,5,0)</f>
        <v>272.79802680000006</v>
      </c>
      <c r="DQ99" s="13">
        <f t="shared" si="97"/>
        <v>65.44272441999513</v>
      </c>
      <c r="DR99" s="20">
        <f t="shared" si="70"/>
        <v>589.10264170815833</v>
      </c>
      <c r="DS99" s="59">
        <f t="shared" si="71"/>
        <v>878.84827600273297</v>
      </c>
      <c r="DT99" s="59">
        <f ca="1">AVERAGE(OFFSET($DS$3,0,0,'Données projet'!$E$14+1,1))-AVERAGE(OFFSET($H$3,0,0,'Données projet'!$E$14+1,1))</f>
        <v>502.4879901989737</v>
      </c>
      <c r="DU99" s="59">
        <f t="shared" si="98"/>
        <v>226.06453328626355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85.756562609825281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85.756562609825281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-5.6843418860808015E-14</v>
      </c>
      <c r="EK99" s="17">
        <f>EJ99*VLOOKUP('Données projet'!$B$15,Paramètres!$A$1:$I$89,3,0)*VLOOKUP('Données projet'!$B$15,Paramètres!$A$1:$I$89,5,0)</f>
        <v>-3.2543994166189806E-14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192.76157155207764</v>
      </c>
      <c r="EP99" s="59">
        <f t="shared" si="100"/>
        <v>413.66427458788348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20.138882981042102</v>
      </c>
      <c r="EW99" s="21">
        <f>EXP(-LN(2)/25)*EW98+(1-EXP(-LN(2)/25))/(LN(2)/25)*Calculateur!ER99*Calculateur!ET99*VLOOKUP('Données projet'!$B$15,Paramètres!$A$1:$I$89,3,0)*0.475*44/12</f>
        <v>2.9962947714872499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23.135177752529351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69.021536625793104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1.05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3.85</v>
      </c>
      <c r="H100" s="66">
        <f t="shared" si="56"/>
        <v>241.26666666666665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7.2909999999999968</v>
      </c>
      <c r="N100" s="13">
        <f>IF('Données projet'!$A$36&gt;35,N99+M100-V99,IF(A100&lt;'Données projet'!$A$36,$K$205^A100,IF(A100='Données projet'!$A$36,'Données projet'!$B$36,N99+M100-V99)))</f>
        <v>293.96400000000006</v>
      </c>
      <c r="O100" s="13">
        <f>N100*VLOOKUP('Données projet'!$B$9,Paramètres!$A$1:$I$89,3,0)*VLOOKUP('Données projet'!$B$9,Paramètres!$A$1:$I$89,5,0)</f>
        <v>265.97862720000006</v>
      </c>
      <c r="P100" s="13">
        <f t="shared" si="87"/>
        <v>63.995088570159361</v>
      </c>
      <c r="Q100" s="20">
        <f t="shared" si="107"/>
        <v>574.7042216330276</v>
      </c>
      <c r="R100" s="59">
        <f t="shared" si="55"/>
        <v>864.51209448503141</v>
      </c>
      <c r="S100" s="59">
        <f ca="1">AVERAGE(OFFSET($R$3,0,0,'Données projet'!$E$9+1,1))-AVERAGE(OFFSET($H$3,0,0,'Données projet'!$E$9+1,1))</f>
        <v>480.34707165277229</v>
      </c>
      <c r="T100" s="59">
        <f t="shared" si="88"/>
        <v>217.17128038304531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79.940096163218485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79.940096163218485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444.90600000000018</v>
      </c>
      <c r="AJ100" s="13">
        <f>AI100*VLOOKUP('Données projet'!$B$10,Paramètres!$A$1:$I$89,3,0)*VLOOKUP('Données projet'!$B$10,Paramètres!$A$1:$I$89,5,0)</f>
        <v>451.13468400000016</v>
      </c>
      <c r="AK100" s="13">
        <f t="shared" si="89"/>
        <v>102.0697471226993</v>
      </c>
      <c r="AL100" s="20">
        <f t="shared" si="58"/>
        <v>963.49771753870164</v>
      </c>
      <c r="AM100" s="59">
        <f t="shared" si="59"/>
        <v>1253.3055903907054</v>
      </c>
      <c r="AN100" s="59">
        <f ca="1">AVERAGE(OFFSET($AM$3,0,0,'Données projet'!$E$10+1,1))-AVERAGE(OFFSET($H$3,0,0,'Données projet'!$E$10+1,1))</f>
        <v>596.64394969449609</v>
      </c>
      <c r="AO100" s="59">
        <f t="shared" si="90"/>
        <v>312.55704723516362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116.10786861738734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116.10786861738734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214.90560000000005</v>
      </c>
      <c r="BF100" s="13">
        <f t="shared" si="91"/>
        <v>53.006137800892326</v>
      </c>
      <c r="BG100" s="20">
        <f t="shared" si="61"/>
        <v>466.61294333655422</v>
      </c>
      <c r="BH100" s="59">
        <f t="shared" si="62"/>
        <v>756.42081618855798</v>
      </c>
      <c r="BI100" s="59">
        <f ca="1">AVERAGE(OFFSET($BH$3,0,0,'Données projet'!$E$11+1,1))-AVERAGE(OFFSET($H$3,0,0,'Données projet'!$E$11+1,1))</f>
        <v>360.53625471540249</v>
      </c>
      <c r="BJ100" s="59">
        <f t="shared" si="92"/>
        <v>326.66299410556076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54.286998218108785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54.286998218108785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253.79640000000001</v>
      </c>
      <c r="CA100" s="13">
        <f t="shared" si="93"/>
        <v>61.39816832228076</v>
      </c>
      <c r="CB100" s="20">
        <f t="shared" si="64"/>
        <v>548.96387316130563</v>
      </c>
      <c r="CC100" s="59">
        <f t="shared" si="65"/>
        <v>838.77174601330944</v>
      </c>
      <c r="CD100" s="59">
        <f ca="1">AVERAGE(OFFSET($CC$3,0,0,'Données projet'!$E$12+1,1))-AVERAGE(OFFSET($H$3,0,0,'Données projet'!$E$12+1,1))</f>
        <v>358.39045200457502</v>
      </c>
      <c r="CE100" s="59">
        <f t="shared" si="94"/>
        <v>349.48764057925109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37.96974633673252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37.96974633673252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210.25641025641013</v>
      </c>
      <c r="CU100" s="17">
        <f>CT100*VLOOKUP('Données projet'!$B$13,Paramètres!$A$1:$I$89,3,0)*VLOOKUP('Données projet'!$B$13,Paramètres!$A$1:$I$89,5,0)</f>
        <v>163.99999999999991</v>
      </c>
      <c r="CV100" s="13">
        <f t="shared" si="95"/>
        <v>41.743425908362248</v>
      </c>
      <c r="CW100" s="20">
        <f t="shared" si="67"/>
        <v>358.33646679039742</v>
      </c>
      <c r="CX100" s="59">
        <f t="shared" si="68"/>
        <v>648.14433964240118</v>
      </c>
      <c r="CY100" s="59">
        <f ca="1">AVERAGE(OFFSET($CX$3,0,0,'Données projet'!$E$13+1,1))-AVERAGE(OFFSET($H$3,0,0,'Données projet'!$E$13+1,1))</f>
        <v>201.71903756761543</v>
      </c>
      <c r="CZ100" s="59">
        <f t="shared" si="96"/>
        <v>200.66422845182711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18.548605737459766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18.548605737459766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7.2909999999999968</v>
      </c>
      <c r="DO100" s="12">
        <f>IF('Données projet'!$A$166&gt;35,DO99+DN100-DW99,IF(A100&lt;'Données projet'!$A$166,$DL$205^A100,IF(A100='Données projet'!$A$166,'Données projet'!$B$166,DO99+DN100-DW99)))</f>
        <v>293.96400000000006</v>
      </c>
      <c r="DP100" s="17">
        <f>DO100*VLOOKUP('Données projet'!$B$14,Paramètres!$A$1:$I$89,3,0)*VLOOKUP('Données projet'!$B$14,Paramètres!$A$1:$I$89,5,0)</f>
        <v>279.73614240000006</v>
      </c>
      <c r="DQ100" s="13">
        <f t="shared" si="97"/>
        <v>66.911245125968819</v>
      </c>
      <c r="DR100" s="20">
        <f t="shared" si="70"/>
        <v>603.74419994106245</v>
      </c>
      <c r="DS100" s="59">
        <f t="shared" si="71"/>
        <v>893.55207279306615</v>
      </c>
      <c r="DT100" s="59">
        <f ca="1">AVERAGE(OFFSET($DS$3,0,0,'Données projet'!$E$14+1,1))-AVERAGE(OFFSET($H$3,0,0,'Données projet'!$E$14+1,1))</f>
        <v>502.4879901989737</v>
      </c>
      <c r="DU100" s="59">
        <f t="shared" si="98"/>
        <v>226.06453328626355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84.074928723384971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84.074928723384971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-5.6843418860808015E-14</v>
      </c>
      <c r="EK100" s="17">
        <f>EJ100*VLOOKUP('Données projet'!$B$15,Paramètres!$A$1:$I$89,3,0)*VLOOKUP('Données projet'!$B$15,Paramètres!$A$1:$I$89,5,0)</f>
        <v>-3.2543994166189806E-14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192.76157155207764</v>
      </c>
      <c r="EP100" s="59">
        <f t="shared" si="100"/>
        <v>413.66427458788348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19.74397176928959</v>
      </c>
      <c r="EW100" s="21">
        <f>EXP(-LN(2)/25)*EW99+(1-EXP(-LN(2)/25))/(LN(2)/25)*Calculateur!ER100*Calculateur!ET100*VLOOKUP('Données projet'!$B$15,Paramètres!$A$1:$I$89,3,0)*0.475*44/12</f>
        <v>2.9143609333926372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22.658332702682227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69.038510777819198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1.05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3.85</v>
      </c>
      <c r="H101" s="66">
        <f t="shared" si="56"/>
        <v>241.26666666666665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7.2909999999999968</v>
      </c>
      <c r="N101" s="13">
        <f>IF('Données projet'!$A$36&gt;35,N100+M101-V100,IF(A101&lt;'Données projet'!$A$36,$K$205^A101,IF(A101='Données projet'!$A$36,'Données projet'!$B$36,N100+M101-V100)))</f>
        <v>301.25500000000005</v>
      </c>
      <c r="O101" s="13">
        <f>N101*VLOOKUP('Données projet'!$B$9,Paramètres!$A$1:$I$89,3,0)*VLOOKUP('Données projet'!$B$9,Paramètres!$A$1:$I$89,5,0)</f>
        <v>272.57552400000003</v>
      </c>
      <c r="P101" s="13">
        <f t="shared" si="87"/>
        <v>65.395558104059802</v>
      </c>
      <c r="Q101" s="20">
        <f t="shared" si="107"/>
        <v>588.6329679979043</v>
      </c>
      <c r="R101" s="59">
        <f t="shared" si="55"/>
        <v>878.50199970751032</v>
      </c>
      <c r="S101" s="59">
        <f ca="1">AVERAGE(OFFSET($R$3,0,0,'Données projet'!$E$9+1,1))-AVERAGE(OFFSET($H$3,0,0,'Données projet'!$E$9+1,1))</f>
        <v>480.34707165277229</v>
      </c>
      <c r="T101" s="59">
        <f t="shared" si="88"/>
        <v>217.17128038304531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78.372519636101913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78.372519636101913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454.85300000000018</v>
      </c>
      <c r="AJ101" s="13">
        <f>AI101*VLOOKUP('Données projet'!$B$10,Paramètres!$A$1:$I$89,3,0)*VLOOKUP('Données projet'!$B$10,Paramètres!$A$1:$I$89,5,0)</f>
        <v>461.22094200000021</v>
      </c>
      <c r="AK101" s="13">
        <f t="shared" si="89"/>
        <v>104.08354453540181</v>
      </c>
      <c r="AL101" s="20">
        <f t="shared" si="58"/>
        <v>984.57198071582513</v>
      </c>
      <c r="AM101" s="59">
        <f t="shared" si="59"/>
        <v>1274.4410124254312</v>
      </c>
      <c r="AN101" s="59">
        <f ca="1">AVERAGE(OFFSET($AM$3,0,0,'Données projet'!$E$10+1,1))-AVERAGE(OFFSET($H$3,0,0,'Données projet'!$E$10+1,1))</f>
        <v>596.64394969449609</v>
      </c>
      <c r="AO101" s="59">
        <f t="shared" si="90"/>
        <v>312.55704723516362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113.83106413260745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113.83106413260745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217.52640000000005</v>
      </c>
      <c r="BF101" s="13">
        <f t="shared" si="91"/>
        <v>53.576907690651254</v>
      </c>
      <c r="BG101" s="20">
        <f t="shared" si="61"/>
        <v>472.17159422788433</v>
      </c>
      <c r="BH101" s="59">
        <f t="shared" si="62"/>
        <v>762.04062593749029</v>
      </c>
      <c r="BI101" s="59">
        <f ca="1">AVERAGE(OFFSET($BH$3,0,0,'Données projet'!$E$11+1,1))-AVERAGE(OFFSET($H$3,0,0,'Données projet'!$E$11+1,1))</f>
        <v>360.53625471540249</v>
      </c>
      <c r="BJ101" s="59">
        <f t="shared" si="92"/>
        <v>326.66299410556076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53.222463294851067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53.222463294851067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253.79640000000001</v>
      </c>
      <c r="CA101" s="13">
        <f t="shared" si="93"/>
        <v>61.39816832228076</v>
      </c>
      <c r="CB101" s="20">
        <f t="shared" si="64"/>
        <v>548.96387316130563</v>
      </c>
      <c r="CC101" s="59">
        <f t="shared" si="65"/>
        <v>838.83290487091153</v>
      </c>
      <c r="CD101" s="59">
        <f ca="1">AVERAGE(OFFSET($CC$3,0,0,'Données projet'!$E$12+1,1))-AVERAGE(OFFSET($H$3,0,0,'Données projet'!$E$12+1,1))</f>
        <v>358.39045200457502</v>
      </c>
      <c r="CE101" s="59">
        <f t="shared" si="94"/>
        <v>349.48764057925109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37.22518277032767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37.22518277032767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210.25641025641013</v>
      </c>
      <c r="CU101" s="17">
        <f>CT101*VLOOKUP('Données projet'!$B$13,Paramètres!$A$1:$I$89,3,0)*VLOOKUP('Données projet'!$B$13,Paramètres!$A$1:$I$89,5,0)</f>
        <v>163.99999999999991</v>
      </c>
      <c r="CV101" s="13">
        <f t="shared" si="95"/>
        <v>41.743425908362248</v>
      </c>
      <c r="CW101" s="20">
        <f t="shared" si="67"/>
        <v>358.33646679039742</v>
      </c>
      <c r="CX101" s="59">
        <f t="shared" si="68"/>
        <v>648.20549850000339</v>
      </c>
      <c r="CY101" s="59">
        <f ca="1">AVERAGE(OFFSET($CX$3,0,0,'Données projet'!$E$13+1,1))-AVERAGE(OFFSET($H$3,0,0,'Données projet'!$E$13+1,1))</f>
        <v>201.71903756761543</v>
      </c>
      <c r="CZ101" s="59">
        <f t="shared" si="96"/>
        <v>200.66422845182711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18.184878892480562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18.184878892480562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7.2909999999999968</v>
      </c>
      <c r="DO101" s="12">
        <f>IF('Données projet'!$A$166&gt;35,DO100+DN101-DW100,IF(A101&lt;'Données projet'!$A$166,$DL$205^A101,IF(A101='Données projet'!$A$166,'Données projet'!$B$166,DO100+DN101-DW100)))</f>
        <v>301.25500000000005</v>
      </c>
      <c r="DP101" s="17">
        <f>DO101*VLOOKUP('Données projet'!$B$14,Paramètres!$A$1:$I$89,3,0)*VLOOKUP('Données projet'!$B$14,Paramètres!$A$1:$I$89,5,0)</f>
        <v>286.67425800000007</v>
      </c>
      <c r="DQ101" s="13">
        <f t="shared" si="97"/>
        <v>68.37553187621738</v>
      </c>
      <c r="DR101" s="20">
        <f t="shared" si="70"/>
        <v>618.37838403441208</v>
      </c>
      <c r="DS101" s="59">
        <f t="shared" si="71"/>
        <v>908.2474157440181</v>
      </c>
      <c r="DT101" s="59">
        <f ca="1">AVERAGE(OFFSET($DS$3,0,0,'Données projet'!$E$14+1,1))-AVERAGE(OFFSET($H$3,0,0,'Données projet'!$E$14+1,1))</f>
        <v>502.4879901989737</v>
      </c>
      <c r="DU101" s="59">
        <f t="shared" si="98"/>
        <v>226.06453328626355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82.426270651762366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82.426270651762366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-5.6843418860808015E-14</v>
      </c>
      <c r="EK101" s="17">
        <f>EJ101*VLOOKUP('Données projet'!$B$15,Paramètres!$A$1:$I$89,3,0)*VLOOKUP('Données projet'!$B$15,Paramètres!$A$1:$I$89,5,0)</f>
        <v>-3.2543994166189806E-14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192.76157155207764</v>
      </c>
      <c r="EP101" s="59">
        <f t="shared" si="100"/>
        <v>413.66427458788348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19.35680452552749</v>
      </c>
      <c r="EW101" s="21">
        <f>EXP(-LN(2)/25)*EW100+(1-EXP(-LN(2)/25))/(LN(2)/25)*Calculateur!ER101*Calculateur!ET101*VLOOKUP('Données projet'!$B$15,Paramètres!$A$1:$I$89,3,0)*0.475*44/12</f>
        <v>2.8346675804094348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22.191472105936924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69.055190466256164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1.05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3.85</v>
      </c>
      <c r="H102" s="66">
        <f t="shared" si="56"/>
        <v>241.26666666666665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7.2909999999999968</v>
      </c>
      <c r="N102" s="13">
        <f>IF('Données projet'!$A$36&gt;35,N101+M102-V101,IF(A102&lt;'Données projet'!$A$36,$K$205^A102,IF(A102='Données projet'!$A$36,'Données projet'!$B$36,N101+M102-V101)))</f>
        <v>308.54600000000005</v>
      </c>
      <c r="O102" s="13">
        <f>N102*VLOOKUP('Données projet'!$B$9,Paramètres!$A$1:$I$89,3,0)*VLOOKUP('Données projet'!$B$9,Paramètres!$A$1:$I$89,5,0)</f>
        <v>279.1724208</v>
      </c>
      <c r="P102" s="13">
        <f t="shared" si="87"/>
        <v>66.792087488429431</v>
      </c>
      <c r="Q102" s="20">
        <f t="shared" si="107"/>
        <v>602.5548519356812</v>
      </c>
      <c r="R102" s="59">
        <f t="shared" si="55"/>
        <v>892.48398153344056</v>
      </c>
      <c r="S102" s="59">
        <f ca="1">AVERAGE(OFFSET($R$3,0,0,'Données projet'!$E$9+1,1))-AVERAGE(OFFSET($H$3,0,0,'Données projet'!$E$9+1,1))</f>
        <v>480.34707165277229</v>
      </c>
      <c r="T102" s="59">
        <f t="shared" si="88"/>
        <v>217.17128038304531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76.835682328554824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76.835682328554824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464.80000000000018</v>
      </c>
      <c r="AJ102" s="13">
        <f>AI102*VLOOKUP('Données projet'!$B$10,Paramètres!$A$1:$I$89,3,0)*VLOOKUP('Données projet'!$B$10,Paramètres!$A$1:$I$89,5,0)</f>
        <v>471.30720000000019</v>
      </c>
      <c r="AK102" s="13">
        <f t="shared" si="89"/>
        <v>106.0922219031893</v>
      </c>
      <c r="AL102" s="20">
        <f t="shared" si="58"/>
        <v>1005.6373264813883</v>
      </c>
      <c r="AM102" s="59">
        <f t="shared" si="59"/>
        <v>1295.5664560791477</v>
      </c>
      <c r="AN102" s="59">
        <f ca="1">AVERAGE(OFFSET($AM$3,0,0,'Données projet'!$E$10+1,1))-AVERAGE(OFFSET($H$3,0,0,'Données projet'!$E$10+1,1))</f>
        <v>596.64394969449609</v>
      </c>
      <c r="AO102" s="59">
        <f t="shared" si="90"/>
        <v>312.55704723516362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141.93643924105675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141.93643924105675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220.14720000000003</v>
      </c>
      <c r="BF102" s="13">
        <f t="shared" si="91"/>
        <v>54.146877667769687</v>
      </c>
      <c r="BG102" s="20">
        <f t="shared" si="61"/>
        <v>477.72885193803222</v>
      </c>
      <c r="BH102" s="59">
        <f t="shared" si="62"/>
        <v>767.65798153579158</v>
      </c>
      <c r="BI102" s="59">
        <f ca="1">AVERAGE(OFFSET($BH$3,0,0,'Données projet'!$E$11+1,1))-AVERAGE(OFFSET($H$3,0,0,'Données projet'!$E$11+1,1))</f>
        <v>360.53625471540249</v>
      </c>
      <c r="BJ102" s="59">
        <f t="shared" si="92"/>
        <v>326.66299410556076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52.178803252136241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52.178803252136241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253.79640000000001</v>
      </c>
      <c r="CA102" s="13">
        <f t="shared" si="93"/>
        <v>61.39816832228076</v>
      </c>
      <c r="CB102" s="20">
        <f t="shared" si="64"/>
        <v>548.96387316130563</v>
      </c>
      <c r="CC102" s="59">
        <f t="shared" si="65"/>
        <v>838.89300275906498</v>
      </c>
      <c r="CD102" s="59">
        <f ca="1">AVERAGE(OFFSET($CC$3,0,0,'Données projet'!$E$12+1,1))-AVERAGE(OFFSET($H$3,0,0,'Données projet'!$E$12+1,1))</f>
        <v>358.39045200457502</v>
      </c>
      <c r="CE102" s="59">
        <f t="shared" si="94"/>
        <v>349.48764057925109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36.495219641321093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36.495219641321093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210.25641025641013</v>
      </c>
      <c r="CU102" s="17">
        <f>CT102*VLOOKUP('Données projet'!$B$13,Paramètres!$A$1:$I$89,3,0)*VLOOKUP('Données projet'!$B$13,Paramètres!$A$1:$I$89,5,0)</f>
        <v>163.99999999999991</v>
      </c>
      <c r="CV102" s="13">
        <f t="shared" si="95"/>
        <v>41.743425908362248</v>
      </c>
      <c r="CW102" s="20">
        <f t="shared" si="67"/>
        <v>358.33646679039742</v>
      </c>
      <c r="CX102" s="59">
        <f t="shared" si="68"/>
        <v>648.26559638815684</v>
      </c>
      <c r="CY102" s="59">
        <f ca="1">AVERAGE(OFFSET($CX$3,0,0,'Données projet'!$E$13+1,1))-AVERAGE(OFFSET($H$3,0,0,'Données projet'!$E$13+1,1))</f>
        <v>201.71903756761543</v>
      </c>
      <c r="CZ102" s="59">
        <f t="shared" si="96"/>
        <v>200.66422845182711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17.828284509079928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17.828284509079928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7.2909999999999968</v>
      </c>
      <c r="DO102" s="12">
        <f>IF('Données projet'!$A$166&gt;35,DO101+DN102-DW101,IF(A102&lt;'Données projet'!$A$166,$DL$205^A102,IF(A102='Données projet'!$A$166,'Données projet'!$B$166,DO101+DN102-DW101)))</f>
        <v>308.54600000000005</v>
      </c>
      <c r="DP102" s="17">
        <f>DO102*VLOOKUP('Données projet'!$B$14,Paramètres!$A$1:$I$89,3,0)*VLOOKUP('Données projet'!$B$14,Paramètres!$A$1:$I$89,5,0)</f>
        <v>293.61237360000001</v>
      </c>
      <c r="DQ102" s="13">
        <f t="shared" si="97"/>
        <v>69.835698930455166</v>
      </c>
      <c r="DR102" s="20">
        <f t="shared" si="70"/>
        <v>633.00539299054276</v>
      </c>
      <c r="DS102" s="59">
        <f t="shared" si="71"/>
        <v>922.93452258830212</v>
      </c>
      <c r="DT102" s="59">
        <f ca="1">AVERAGE(OFFSET($DS$3,0,0,'Données projet'!$E$14+1,1))-AVERAGE(OFFSET($H$3,0,0,'Données projet'!$E$14+1,1))</f>
        <v>502.4879901989737</v>
      </c>
      <c r="DU102" s="59">
        <f t="shared" si="98"/>
        <v>226.06453328626355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80.809941759342152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80.809941759342152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-5.6843418860808015E-14</v>
      </c>
      <c r="EK102" s="17">
        <f>EJ102*VLOOKUP('Données projet'!$B$15,Paramètres!$A$1:$I$89,3,0)*VLOOKUP('Données projet'!$B$15,Paramètres!$A$1:$I$89,5,0)</f>
        <v>-3.2543994166189806E-14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192.76157155207764</v>
      </c>
      <c r="EP102" s="59">
        <f t="shared" si="100"/>
        <v>413.66427458788348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18.977229395266864</v>
      </c>
      <c r="EW102" s="21">
        <f>EXP(-LN(2)/25)*EW101+(1-EXP(-LN(2)/25))/(LN(2)/25)*Calculateur!ER102*Calculateur!ET102*VLOOKUP('Données projet'!$B$15,Paramètres!$A$1:$I$89,3,0)*0.475*44/12</f>
        <v>2.7571534463544496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21.734382841621315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69.07158079938894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1.05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3.85</v>
      </c>
      <c r="H103" s="66">
        <f t="shared" si="56"/>
        <v>241.26666666666665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7.2909999999999968</v>
      </c>
      <c r="N103" s="13">
        <f>IF('Données projet'!$A$36&gt;35,N102+M103-V102,IF(A103&lt;'Données projet'!$A$36,$K$205^A103,IF(A103='Données projet'!$A$36,'Données projet'!$B$36,N102+M103-V102)))</f>
        <v>315.83700000000005</v>
      </c>
      <c r="O103" s="13">
        <f>N103*VLOOKUP('Données projet'!$B$9,Paramètres!$A$1:$I$89,3,0)*VLOOKUP('Données projet'!$B$9,Paramètres!$A$1:$I$89,5,0)</f>
        <v>285.76931760000002</v>
      </c>
      <c r="P103" s="13">
        <f t="shared" si="87"/>
        <v>68.184780544049019</v>
      </c>
      <c r="Q103" s="20">
        <f t="shared" si="107"/>
        <v>616.47005426755209</v>
      </c>
      <c r="R103" s="59">
        <f t="shared" si="55"/>
        <v>906.45823918946439</v>
      </c>
      <c r="S103" s="59">
        <f ca="1">AVERAGE(OFFSET($R$3,0,0,'Données projet'!$E$9+1,1))-AVERAGE(OFFSET($H$3,0,0,'Données projet'!$E$9+1,1))</f>
        <v>480.34707165277229</v>
      </c>
      <c r="T103" s="59">
        <f t="shared" si="88"/>
        <v>217.17128038304531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75.328981463230534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75.328981463230534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411.5710000000002</v>
      </c>
      <c r="AJ103" s="13">
        <f>AI103*VLOOKUP('Données projet'!$B$10,Paramètres!$A$1:$I$89,3,0)*VLOOKUP('Données projet'!$B$10,Paramètres!$A$1:$I$89,5,0)</f>
        <v>417.33299400000027</v>
      </c>
      <c r="AK103" s="13">
        <f t="shared" si="89"/>
        <v>95.281941338155363</v>
      </c>
      <c r="AL103" s="20">
        <f t="shared" si="58"/>
        <v>892.80434571395438</v>
      </c>
      <c r="AM103" s="59">
        <f t="shared" si="59"/>
        <v>1182.7925306358666</v>
      </c>
      <c r="AN103" s="59">
        <f ca="1">AVERAGE(OFFSET($AM$3,0,0,'Données projet'!$E$10+1,1))-AVERAGE(OFFSET($H$3,0,0,'Données projet'!$E$10+1,1))</f>
        <v>596.64394969449609</v>
      </c>
      <c r="AO103" s="59">
        <f t="shared" si="90"/>
        <v>312.55704723516362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139.15315224021921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139.15315224021921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222.76800000000003</v>
      </c>
      <c r="BF103" s="13">
        <f t="shared" si="91"/>
        <v>54.716058356609508</v>
      </c>
      <c r="BG103" s="20">
        <f t="shared" si="61"/>
        <v>483.28473497109491</v>
      </c>
      <c r="BH103" s="59">
        <f t="shared" si="62"/>
        <v>773.27291989300716</v>
      </c>
      <c r="BI103" s="59">
        <f ca="1">AVERAGE(OFFSET($BH$3,0,0,'Données projet'!$E$11+1,1))-AVERAGE(OFFSET($H$3,0,0,'Données projet'!$E$11+1,1))</f>
        <v>360.53625471540249</v>
      </c>
      <c r="BJ103" s="59">
        <f t="shared" si="92"/>
        <v>326.66299410556076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56.138821591858807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56.138821591858807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253.79640000000001</v>
      </c>
      <c r="CA103" s="13">
        <f t="shared" si="93"/>
        <v>61.39816832228076</v>
      </c>
      <c r="CB103" s="20">
        <f t="shared" si="64"/>
        <v>548.96387316130563</v>
      </c>
      <c r="CC103" s="59">
        <f t="shared" si="65"/>
        <v>838.95205808321793</v>
      </c>
      <c r="CD103" s="59">
        <f ca="1">AVERAGE(OFFSET($CC$3,0,0,'Données projet'!$E$12+1,1))-AVERAGE(OFFSET($H$3,0,0,'Données projet'!$E$12+1,1))</f>
        <v>358.39045200457502</v>
      </c>
      <c r="CE103" s="59">
        <f t="shared" si="94"/>
        <v>349.48764057925109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35.779570644040788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35.779570644040788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210.25641025641013</v>
      </c>
      <c r="CU103" s="17">
        <f>CT103*VLOOKUP('Données projet'!$B$13,Paramètres!$A$1:$I$89,3,0)*VLOOKUP('Données projet'!$B$13,Paramètres!$A$1:$I$89,5,0)</f>
        <v>163.99999999999991</v>
      </c>
      <c r="CV103" s="13">
        <f t="shared" si="95"/>
        <v>41.743425908362248</v>
      </c>
      <c r="CW103" s="20">
        <f t="shared" si="67"/>
        <v>358.33646679039742</v>
      </c>
      <c r="CX103" s="59">
        <f t="shared" si="68"/>
        <v>648.32465171230967</v>
      </c>
      <c r="CY103" s="59">
        <f ca="1">AVERAGE(OFFSET($CX$3,0,0,'Données projet'!$E$13+1,1))-AVERAGE(OFFSET($H$3,0,0,'Données projet'!$E$13+1,1))</f>
        <v>201.71903756761543</v>
      </c>
      <c r="CZ103" s="59">
        <f t="shared" si="96"/>
        <v>200.66422845182711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17.478682724036684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17.478682724036684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7.2909999999999968</v>
      </c>
      <c r="DO103" s="12">
        <f>IF('Données projet'!$A$166&gt;35,DO102+DN103-DW102,IF(A103&lt;'Données projet'!$A$166,$DL$205^A103,IF(A103='Données projet'!$A$166,'Données projet'!$B$166,DO102+DN103-DW102)))</f>
        <v>315.83700000000005</v>
      </c>
      <c r="DP103" s="17">
        <f>DO103*VLOOKUP('Données projet'!$B$14,Paramètres!$A$1:$I$89,3,0)*VLOOKUP('Données projet'!$B$14,Paramètres!$A$1:$I$89,5,0)</f>
        <v>300.55048920000007</v>
      </c>
      <c r="DQ103" s="13">
        <f t="shared" si="97"/>
        <v>71.291854840414302</v>
      </c>
      <c r="DR103" s="20">
        <f t="shared" si="70"/>
        <v>647.62541587038834</v>
      </c>
      <c r="DS103" s="59">
        <f t="shared" si="71"/>
        <v>937.61360079230053</v>
      </c>
      <c r="DT103" s="59">
        <f ca="1">AVERAGE(OFFSET($DS$3,0,0,'Données projet'!$E$14+1,1))-AVERAGE(OFFSET($H$3,0,0,'Données projet'!$E$14+1,1))</f>
        <v>502.4879901989737</v>
      </c>
      <c r="DU103" s="59">
        <f t="shared" si="98"/>
        <v>226.06453328626355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79.225308090639018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79.225308090639018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-5.6843418860808015E-14</v>
      </c>
      <c r="EK103" s="17">
        <f>EJ103*VLOOKUP('Données projet'!$B$15,Paramètres!$A$1:$I$89,3,0)*VLOOKUP('Données projet'!$B$15,Paramètres!$A$1:$I$89,5,0)</f>
        <v>-3.2543994166189806E-14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192.76157155207764</v>
      </c>
      <c r="EP103" s="59">
        <f t="shared" si="100"/>
        <v>413.66427458788348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18.605097501792677</v>
      </c>
      <c r="EW103" s="21">
        <f>EXP(-LN(2)/25)*EW102+(1-EXP(-LN(2)/25))/(LN(2)/25)*Calculateur!ER103*Calculateur!ET103*VLOOKUP('Données projet'!$B$15,Paramètres!$A$1:$I$89,3,0)*0.475*44/12</f>
        <v>2.681758940371489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21.286856442164165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69.087686796885166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1.05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3.85</v>
      </c>
      <c r="H104" s="66">
        <f t="shared" si="56"/>
        <v>241.26666666666665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7.2909999999999968</v>
      </c>
      <c r="N104" s="13">
        <f>IF('Données projet'!$A$36&gt;35,N103+M104-V103,IF(A104&lt;'Données projet'!$A$36,$K$205^A104,IF(A104='Données projet'!$A$36,'Données projet'!$B$36,N103+M104-V103)))</f>
        <v>323.12800000000004</v>
      </c>
      <c r="O104" s="13">
        <f>N104*VLOOKUP('Données projet'!$B$9,Paramètres!$A$1:$I$89,3,0)*VLOOKUP('Données projet'!$B$9,Paramètres!$A$1:$I$89,5,0)</f>
        <v>292.36621440000005</v>
      </c>
      <c r="P104" s="13">
        <f t="shared" si="87"/>
        <v>69.573736024839775</v>
      </c>
      <c r="Q104" s="20">
        <f t="shared" si="107"/>
        <v>630.37874698992925</v>
      </c>
      <c r="R104" s="59">
        <f t="shared" si="55"/>
        <v>920.42496275814824</v>
      </c>
      <c r="S104" s="59">
        <f ca="1">AVERAGE(OFFSET($R$3,0,0,'Données projet'!$E$9+1,1))-AVERAGE(OFFSET($H$3,0,0,'Données projet'!$E$9+1,1))</f>
        <v>480.34707165277229</v>
      </c>
      <c r="T104" s="59">
        <f t="shared" si="88"/>
        <v>217.17128038304531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73.851826082878475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73.851826082878475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421.28200000000021</v>
      </c>
      <c r="AJ104" s="13">
        <f>AI104*VLOOKUP('Données projet'!$B$10,Paramètres!$A$1:$I$89,3,0)*VLOOKUP('Données projet'!$B$10,Paramètres!$A$1:$I$89,5,0)</f>
        <v>427.17994800000019</v>
      </c>
      <c r="AK104" s="13">
        <f t="shared" si="89"/>
        <v>97.265723026471477</v>
      </c>
      <c r="AL104" s="20">
        <f t="shared" si="58"/>
        <v>913.40954370443831</v>
      </c>
      <c r="AM104" s="59">
        <f t="shared" si="59"/>
        <v>1203.4557594726573</v>
      </c>
      <c r="AN104" s="59">
        <f ca="1">AVERAGE(OFFSET($AM$3,0,0,'Données projet'!$E$10+1,1))-AVERAGE(OFFSET($H$3,0,0,'Données projet'!$E$10+1,1))</f>
        <v>596.64394969449609</v>
      </c>
      <c r="AO104" s="59">
        <f t="shared" si="90"/>
        <v>312.55704723516362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136.42444379983067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136.42444379983067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212.28480000000002</v>
      </c>
      <c r="BF104" s="13">
        <f t="shared" si="91"/>
        <v>52.434557099704193</v>
      </c>
      <c r="BG104" s="20">
        <f t="shared" si="61"/>
        <v>461.05288028198476</v>
      </c>
      <c r="BH104" s="59">
        <f t="shared" si="62"/>
        <v>751.09909605020368</v>
      </c>
      <c r="BI104" s="59">
        <f ca="1">AVERAGE(OFFSET($BH$3,0,0,'Données projet'!$E$11+1,1))-AVERAGE(OFFSET($H$3,0,0,'Données projet'!$E$11+1,1))</f>
        <v>360.53625471540249</v>
      </c>
      <c r="BJ104" s="59">
        <f t="shared" si="92"/>
        <v>326.66299410556076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55.037973541742581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55.037973541742581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253.79640000000001</v>
      </c>
      <c r="CA104" s="13">
        <f t="shared" si="93"/>
        <v>61.39816832228076</v>
      </c>
      <c r="CB104" s="20">
        <f t="shared" si="64"/>
        <v>548.96387316130563</v>
      </c>
      <c r="CC104" s="59">
        <f t="shared" si="65"/>
        <v>839.0100889295245</v>
      </c>
      <c r="CD104" s="59">
        <f ca="1">AVERAGE(OFFSET($CC$3,0,0,'Données projet'!$E$12+1,1))-AVERAGE(OFFSET($H$3,0,0,'Données projet'!$E$12+1,1))</f>
        <v>358.39045200457502</v>
      </c>
      <c r="CE104" s="59">
        <f t="shared" si="94"/>
        <v>349.48764057925109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35.077955087094359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35.077955087094359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210.25641025641013</v>
      </c>
      <c r="CU104" s="17">
        <f>CT104*VLOOKUP('Données projet'!$B$13,Paramètres!$A$1:$I$89,3,0)*VLOOKUP('Données projet'!$B$13,Paramètres!$A$1:$I$89,5,0)</f>
        <v>163.99999999999991</v>
      </c>
      <c r="CV104" s="13">
        <f t="shared" si="95"/>
        <v>41.743425908362248</v>
      </c>
      <c r="CW104" s="20">
        <f t="shared" si="67"/>
        <v>358.33646679039742</v>
      </c>
      <c r="CX104" s="59">
        <f t="shared" si="68"/>
        <v>648.38268255861635</v>
      </c>
      <c r="CY104" s="59">
        <f ca="1">AVERAGE(OFFSET($CX$3,0,0,'Données projet'!$E$13+1,1))-AVERAGE(OFFSET($H$3,0,0,'Données projet'!$E$13+1,1))</f>
        <v>201.71903756761543</v>
      </c>
      <c r="CZ104" s="59">
        <f t="shared" si="96"/>
        <v>200.66422845182711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17.135936416762107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17.135936416762107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7.2909999999999968</v>
      </c>
      <c r="DO104" s="12">
        <f>IF('Données projet'!$A$166&gt;35,DO103+DN104-DW103,IF(A104&lt;'Données projet'!$A$166,$DL$205^A104,IF(A104='Données projet'!$A$166,'Données projet'!$B$166,DO103+DN104-DW103)))</f>
        <v>323.12800000000004</v>
      </c>
      <c r="DP104" s="17">
        <f>DO104*VLOOKUP('Données projet'!$B$14,Paramètres!$A$1:$I$89,3,0)*VLOOKUP('Données projet'!$B$14,Paramètres!$A$1:$I$89,5,0)</f>
        <v>307.48860480000008</v>
      </c>
      <c r="DQ104" s="13">
        <f t="shared" si="97"/>
        <v>72.744102860078485</v>
      </c>
      <c r="DR104" s="20">
        <f t="shared" si="70"/>
        <v>662.23863250797024</v>
      </c>
      <c r="DS104" s="59">
        <f t="shared" si="71"/>
        <v>952.28484827618922</v>
      </c>
      <c r="DT104" s="59">
        <f ca="1">AVERAGE(OFFSET($DS$3,0,0,'Données projet'!$E$14+1,1))-AVERAGE(OFFSET($H$3,0,0,'Données projet'!$E$14+1,1))</f>
        <v>502.4879901989737</v>
      </c>
      <c r="DU104" s="59">
        <f t="shared" si="98"/>
        <v>226.06453328626355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77.671748121648051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77.671748121648051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-5.6843418860808015E-14</v>
      </c>
      <c r="EK104" s="17">
        <f>EJ104*VLOOKUP('Données projet'!$B$15,Paramètres!$A$1:$I$89,3,0)*VLOOKUP('Données projet'!$B$15,Paramètres!$A$1:$I$89,5,0)</f>
        <v>-3.2543994166189806E-14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192.76157155207764</v>
      </c>
      <c r="EP104" s="59">
        <f t="shared" si="100"/>
        <v>413.66427458788348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18.240262887771479</v>
      </c>
      <c r="EW104" s="21">
        <f>EXP(-LN(2)/25)*EW103+(1-EXP(-LN(2)/25))/(LN(2)/25)*Calculateur!ER104*Calculateur!ET104*VLOOKUP('Données projet'!$B$15,Paramètres!$A$1:$I$89,3,0)*0.475*44/12</f>
        <v>2.6084261011194574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20.848688988890935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69.103513391332442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1.05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3.85</v>
      </c>
      <c r="H105" s="66">
        <f t="shared" si="56"/>
        <v>241.26666666666665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7.2909999999999968</v>
      </c>
      <c r="N105" s="13">
        <f>IF('Données projet'!$A$36&gt;35,N104+M105-V104,IF(A105&lt;'Données projet'!$A$36,$K$205^A105,IF(A105='Données projet'!$A$36,'Données projet'!$B$36,N104+M105-V104)))</f>
        <v>330.41900000000004</v>
      </c>
      <c r="O105" s="13">
        <f>N105*VLOOKUP('Données projet'!$B$9,Paramètres!$A$1:$I$89,3,0)*VLOOKUP('Données projet'!$B$9,Paramètres!$A$1:$I$89,5,0)</f>
        <v>298.96311120000001</v>
      </c>
      <c r="P105" s="13">
        <f t="shared" si="87"/>
        <v>70.959047973808381</v>
      </c>
      <c r="Q105" s="20">
        <f t="shared" si="107"/>
        <v>644.28109389438293</v>
      </c>
      <c r="R105" s="59">
        <f t="shared" si="55"/>
        <v>934.38433380346271</v>
      </c>
      <c r="S105" s="59">
        <f ca="1">AVERAGE(OFFSET($R$3,0,0,'Données projet'!$E$9+1,1))-AVERAGE(OFFSET($H$3,0,0,'Données projet'!$E$9+1,1))</f>
        <v>480.34707165277229</v>
      </c>
      <c r="T105" s="59">
        <f t="shared" si="88"/>
        <v>217.17128038304531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72.403636818559292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72.403636818559292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430.99300000000022</v>
      </c>
      <c r="AJ105" s="13">
        <f>AI105*VLOOKUP('Données projet'!$B$10,Paramètres!$A$1:$I$89,3,0)*VLOOKUP('Données projet'!$B$10,Paramètres!$A$1:$I$89,5,0)</f>
        <v>437.02690200000023</v>
      </c>
      <c r="AK105" s="13">
        <f t="shared" si="89"/>
        <v>99.244188579159399</v>
      </c>
      <c r="AL105" s="20">
        <f t="shared" si="58"/>
        <v>934.0054827587029</v>
      </c>
      <c r="AM105" s="59">
        <f t="shared" si="59"/>
        <v>1224.1087226677828</v>
      </c>
      <c r="AN105" s="59">
        <f ca="1">AVERAGE(OFFSET($AM$3,0,0,'Données projet'!$E$10+1,1))-AVERAGE(OFFSET($H$3,0,0,'Données projet'!$E$10+1,1))</f>
        <v>596.64394969449609</v>
      </c>
      <c r="AO105" s="59">
        <f t="shared" si="90"/>
        <v>312.55704723516362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133.74924366761033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133.74924366761033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212.28480000000002</v>
      </c>
      <c r="BF105" s="13">
        <f t="shared" si="91"/>
        <v>52.434557099704193</v>
      </c>
      <c r="BG105" s="20">
        <f t="shared" si="61"/>
        <v>461.05288028198476</v>
      </c>
      <c r="BH105" s="59">
        <f t="shared" si="62"/>
        <v>751.15612019106447</v>
      </c>
      <c r="BI105" s="59">
        <f ca="1">AVERAGE(OFFSET($BH$3,0,0,'Données projet'!$E$11+1,1))-AVERAGE(OFFSET($H$3,0,0,'Données projet'!$E$11+1,1))</f>
        <v>360.53625471540249</v>
      </c>
      <c r="BJ105" s="59">
        <f t="shared" si="92"/>
        <v>326.66299410556076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53.958712450438121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53.958712450438121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253.79640000000001</v>
      </c>
      <c r="CA105" s="13">
        <f t="shared" si="93"/>
        <v>61.39816832228076</v>
      </c>
      <c r="CB105" s="20">
        <f t="shared" si="64"/>
        <v>548.96387316130563</v>
      </c>
      <c r="CC105" s="59">
        <f t="shared" si="65"/>
        <v>839.0671130703854</v>
      </c>
      <c r="CD105" s="59">
        <f ca="1">AVERAGE(OFFSET($CC$3,0,0,'Données projet'!$E$12+1,1))-AVERAGE(OFFSET($H$3,0,0,'Données projet'!$E$12+1,1))</f>
        <v>358.39045200457502</v>
      </c>
      <c r="CE105" s="59">
        <f t="shared" si="94"/>
        <v>349.48764057925109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34.390097783276417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34.390097783276417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210.25641025641013</v>
      </c>
      <c r="CU105" s="17">
        <f>CT105*VLOOKUP('Données projet'!$B$13,Paramètres!$A$1:$I$89,3,0)*VLOOKUP('Données projet'!$B$13,Paramètres!$A$1:$I$89,5,0)</f>
        <v>163.99999999999991</v>
      </c>
      <c r="CV105" s="13">
        <f t="shared" si="95"/>
        <v>41.743425908362248</v>
      </c>
      <c r="CW105" s="20">
        <f t="shared" si="67"/>
        <v>358.33646679039742</v>
      </c>
      <c r="CX105" s="59">
        <f t="shared" si="68"/>
        <v>648.43970669947726</v>
      </c>
      <c r="CY105" s="59">
        <f ca="1">AVERAGE(OFFSET($CX$3,0,0,'Données projet'!$E$13+1,1))-AVERAGE(OFFSET($H$3,0,0,'Données projet'!$E$13+1,1))</f>
        <v>201.71903756761543</v>
      </c>
      <c r="CZ105" s="59">
        <f t="shared" si="96"/>
        <v>200.66422845182711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16.799911155518579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16.799911155518579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7.2909999999999968</v>
      </c>
      <c r="DO105" s="12">
        <f>IF('Données projet'!$A$166&gt;35,DO104+DN105-DW104,IF(A105&lt;'Données projet'!$A$166,$DL$205^A105,IF(A105='Données projet'!$A$166,'Données projet'!$B$166,DO104+DN105-DW104)))</f>
        <v>330.41900000000004</v>
      </c>
      <c r="DP105" s="17">
        <f>DO105*VLOOKUP('Données projet'!$B$14,Paramètres!$A$1:$I$89,3,0)*VLOOKUP('Données projet'!$B$14,Paramètres!$A$1:$I$89,5,0)</f>
        <v>314.42672040000002</v>
      </c>
      <c r="DQ105" s="13">
        <f t="shared" si="97"/>
        <v>74.192541317847798</v>
      </c>
      <c r="DR105" s="20">
        <f t="shared" si="70"/>
        <v>676.84521415858501</v>
      </c>
      <c r="DS105" s="59">
        <f t="shared" si="71"/>
        <v>966.94845406766478</v>
      </c>
      <c r="DT105" s="59">
        <f ca="1">AVERAGE(OFFSET($DS$3,0,0,'Données projet'!$E$14+1,1))-AVERAGE(OFFSET($H$3,0,0,'Données projet'!$E$14+1,1))</f>
        <v>502.4879901989737</v>
      </c>
      <c r="DU105" s="59">
        <f t="shared" si="98"/>
        <v>226.06453328626355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76.148652516070982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76.148652516070982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-5.6843418860808015E-14</v>
      </c>
      <c r="EK105" s="17">
        <f>EJ105*VLOOKUP('Données projet'!$B$15,Paramètres!$A$1:$I$89,3,0)*VLOOKUP('Données projet'!$B$15,Paramètres!$A$1:$I$89,5,0)</f>
        <v>-3.2543994166189806E-14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192.76157155207764</v>
      </c>
      <c r="EP105" s="59">
        <f t="shared" si="100"/>
        <v>413.66427458788348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17.882582458004094</v>
      </c>
      <c r="EW105" s="21">
        <f>EXP(-LN(2)/25)*EW104+(1-EXP(-LN(2)/25))/(LN(2)/25)*Calculateur!ER105*Calculateur!ET105*VLOOKUP('Données projet'!$B$15,Paramètres!$A$1:$I$89,3,0)*0.475*44/12</f>
        <v>2.5370985522131786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20.419681010217275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69.119065429749028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1.05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3.85</v>
      </c>
      <c r="H106" s="66">
        <f t="shared" si="56"/>
        <v>241.26666666666665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337.71</v>
      </c>
      <c r="L106" s="12">
        <f>VLOOKUP(A106,'Données projet'!$A$35:$I$55,9,0)</f>
        <v>7.2909999999999968</v>
      </c>
      <c r="M106" s="12">
        <f t="array" ref="M106">INDEX(L:L,MIN(IF(ISNUMBER(L106:L302),ROW(L106:L302),"")))</f>
        <v>7.2909999999999968</v>
      </c>
      <c r="N106" s="13">
        <f>IF('Données projet'!$A$36&gt;35,N105+M106-V105,IF(A106&lt;'Données projet'!$A$36,$K$205^A106,IF(A106='Données projet'!$A$36,'Données projet'!$B$36,N105+M106-V105)))</f>
        <v>337.71000000000004</v>
      </c>
      <c r="O106" s="13">
        <f>N106*VLOOKUP('Données projet'!$B$9,Paramètres!$A$1:$I$89,3,0)*VLOOKUP('Données projet'!$B$9,Paramètres!$A$1:$I$89,5,0)</f>
        <v>305.56000800000004</v>
      </c>
      <c r="P106" s="13">
        <f t="shared" si="87"/>
        <v>72.340806046688243</v>
      </c>
      <c r="Q106" s="20">
        <f t="shared" si="107"/>
        <v>658.17725113131553</v>
      </c>
      <c r="R106" s="59">
        <f t="shared" si="55"/>
        <v>948.33652593989905</v>
      </c>
      <c r="S106" s="59">
        <f ca="1">AVERAGE(OFFSET($R$3,0,0,'Données projet'!$E$9+1,1))-AVERAGE(OFFSET($H$3,0,0,'Données projet'!$E$9+1,1))</f>
        <v>480.34707165277229</v>
      </c>
      <c r="T106" s="59">
        <f t="shared" si="88"/>
        <v>217.17128038304531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50.51</v>
      </c>
      <c r="W106" s="16">
        <f>IF(ISNA(VLOOKUP(A106,'Données projet'!$A$35:$I$55,5,0)),0%,VLOOKUP(A106,'Données projet'!$A$35:$I$55,5,0)*VLOOKUP('Données projet'!$B$9,Paramètres!$A$1:$I$89,7,0))</f>
        <v>0.43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92.708132400684292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92.708132400684292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440.70400000000024</v>
      </c>
      <c r="AJ106" s="13">
        <f>AI106*VLOOKUP('Données projet'!$B$10,Paramètres!$A$1:$I$89,3,0)*VLOOKUP('Données projet'!$B$10,Paramètres!$A$1:$I$89,5,0)</f>
        <v>446.87385600000033</v>
      </c>
      <c r="AK106" s="13">
        <f t="shared" si="89"/>
        <v>101.21747156793077</v>
      </c>
      <c r="AL106" s="20">
        <f t="shared" si="58"/>
        <v>954.59239551414669</v>
      </c>
      <c r="AM106" s="59">
        <f t="shared" si="59"/>
        <v>1244.7516703227302</v>
      </c>
      <c r="AN106" s="59">
        <f ca="1">AVERAGE(OFFSET($AM$3,0,0,'Données projet'!$E$10+1,1))-AVERAGE(OFFSET($H$3,0,0,'Données projet'!$E$10+1,1))</f>
        <v>596.64394969449609</v>
      </c>
      <c r="AO106" s="59">
        <f t="shared" si="90"/>
        <v>312.55704723516362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131.12650257827187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131.12650257827187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212.28480000000002</v>
      </c>
      <c r="BF106" s="13">
        <f t="shared" si="91"/>
        <v>52.434557099704193</v>
      </c>
      <c r="BG106" s="20">
        <f t="shared" si="61"/>
        <v>461.05288028198476</v>
      </c>
      <c r="BH106" s="59">
        <f t="shared" si="62"/>
        <v>751.21215509056822</v>
      </c>
      <c r="BI106" s="59">
        <f ca="1">AVERAGE(OFFSET($BH$3,0,0,'Données projet'!$E$11+1,1))-AVERAGE(OFFSET($H$3,0,0,'Données projet'!$E$11+1,1))</f>
        <v>360.53625471540249</v>
      </c>
      <c r="BJ106" s="59">
        <f t="shared" si="92"/>
        <v>326.66299410556076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52.900615010849876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52.900615010849876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253.79640000000001</v>
      </c>
      <c r="CA106" s="13">
        <f t="shared" si="93"/>
        <v>61.39816832228076</v>
      </c>
      <c r="CB106" s="20">
        <f t="shared" si="64"/>
        <v>548.96387316130563</v>
      </c>
      <c r="CC106" s="59">
        <f t="shared" si="65"/>
        <v>839.12314796988903</v>
      </c>
      <c r="CD106" s="59">
        <f ca="1">AVERAGE(OFFSET($CC$3,0,0,'Données projet'!$E$12+1,1))-AVERAGE(OFFSET($H$3,0,0,'Données projet'!$E$12+1,1))</f>
        <v>358.39045200457502</v>
      </c>
      <c r="CE106" s="59">
        <f t="shared" si="94"/>
        <v>349.48764057925109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33.715728941634815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33.715728941634815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210.25641025641013</v>
      </c>
      <c r="CU106" s="17">
        <f>CT106*VLOOKUP('Données projet'!$B$13,Paramètres!$A$1:$I$89,3,0)*VLOOKUP('Données projet'!$B$13,Paramètres!$A$1:$I$89,5,0)</f>
        <v>163.99999999999991</v>
      </c>
      <c r="CV106" s="13">
        <f t="shared" si="95"/>
        <v>41.743425908362248</v>
      </c>
      <c r="CW106" s="20">
        <f t="shared" si="67"/>
        <v>358.33646679039742</v>
      </c>
      <c r="CX106" s="59">
        <f t="shared" si="68"/>
        <v>648.49574159898089</v>
      </c>
      <c r="CY106" s="59">
        <f ca="1">AVERAGE(OFFSET($CX$3,0,0,'Données projet'!$E$13+1,1))-AVERAGE(OFFSET($H$3,0,0,'Données projet'!$E$13+1,1))</f>
        <v>201.71903756761543</v>
      </c>
      <c r="CZ106" s="59">
        <f t="shared" si="96"/>
        <v>200.66422845182711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16.470475144692863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16.470475144692863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337.71</v>
      </c>
      <c r="DM106" s="12">
        <f>VLOOKUP(A106,'Données projet'!$A$165:$I$185,9,0)</f>
        <v>7.2909999999999968</v>
      </c>
      <c r="DN106" s="12">
        <f t="array" ref="DN106">INDEX(DM:DM,MIN(IF(ISNUMBER(DM106:DM302),ROW(DM106:DM302),"")))</f>
        <v>7.2909999999999968</v>
      </c>
      <c r="DO106" s="12">
        <f>IF('Données projet'!$A$166&gt;35,DO105+DN106-DW105,IF(A106&lt;'Données projet'!$A$166,$DL$205^A106,IF(A106='Données projet'!$A$166,'Données projet'!$B$166,DO105+DN106-DW105)))</f>
        <v>337.71000000000004</v>
      </c>
      <c r="DP106" s="17">
        <f>DO106*VLOOKUP('Données projet'!$B$14,Paramètres!$A$1:$I$89,3,0)*VLOOKUP('Données projet'!$B$14,Paramètres!$A$1:$I$89,5,0)</f>
        <v>321.36483600000003</v>
      </c>
      <c r="DQ106" s="13">
        <f t="shared" si="97"/>
        <v>75.637263954927846</v>
      </c>
      <c r="DR106" s="20">
        <f t="shared" si="70"/>
        <v>691.44532408816588</v>
      </c>
      <c r="DS106" s="59">
        <f t="shared" si="71"/>
        <v>981.60459889674939</v>
      </c>
      <c r="DT106" s="59">
        <f ca="1">AVERAGE(OFFSET($DS$3,0,0,'Données projet'!$E$14+1,1))-AVERAGE(OFFSET($H$3,0,0,'Données projet'!$E$14+1,1))</f>
        <v>502.4879901989737</v>
      </c>
      <c r="DU106" s="59">
        <f t="shared" si="98"/>
        <v>226.06453328626355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50.51</v>
      </c>
      <c r="DX106" s="16">
        <f>IF(ISNA(VLOOKUP(A106,'Données projet'!$A$165:$I$185,5,0)),0%,VLOOKUP(A106,'Données projet'!$A$165:$I$185,5,0)*VLOOKUP('Données projet'!$B$14,Paramètres!$A$1:$I$89,7,0))</f>
        <v>0.43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97.503380628305905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97.503380628305905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-5.6843418860808015E-14</v>
      </c>
      <c r="EK106" s="17">
        <f>EJ106*VLOOKUP('Données projet'!$B$15,Paramètres!$A$1:$I$89,3,0)*VLOOKUP('Données projet'!$B$15,Paramètres!$A$1:$I$89,5,0)</f>
        <v>-3.2543994166189806E-14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192.76157155207764</v>
      </c>
      <c r="EP106" s="59">
        <f t="shared" si="100"/>
        <v>413.66427458788348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17.531915923300929</v>
      </c>
      <c r="EW106" s="21">
        <f>EXP(-LN(2)/25)*EW105+(1-EXP(-LN(2)/25))/(LN(2)/25)*Calculateur!ER106*Calculateur!ET106*VLOOKUP('Données projet'!$B$15,Paramètres!$A$1:$I$89,3,0)*0.475*44/12</f>
        <v>2.467721458882695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19.999637382183625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69.134347675068227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1.05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3.85</v>
      </c>
      <c r="H107" s="66">
        <f t="shared" si="56"/>
        <v>241.26666666666665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6.8850000000000025</v>
      </c>
      <c r="N107" s="13">
        <f>IF('Données projet'!$A$36&gt;35,N106+M107-V106,IF(A107&lt;'Données projet'!$A$36,$K$205^A107,IF(A107='Données projet'!$A$36,'Données projet'!$B$36,N106+M107-V106)))</f>
        <v>294.08500000000004</v>
      </c>
      <c r="O107" s="13">
        <f>N107*VLOOKUP('Données projet'!$B$9,Paramètres!$A$1:$I$89,3,0)*VLOOKUP('Données projet'!$B$9,Paramètres!$A$1:$I$89,5,0)</f>
        <v>266.08810800000003</v>
      </c>
      <c r="P107" s="13">
        <f t="shared" si="87"/>
        <v>64.018363220823872</v>
      </c>
      <c r="Q107" s="20">
        <f t="shared" si="107"/>
        <v>574.93543737626817</v>
      </c>
      <c r="R107" s="59">
        <f t="shared" si="55"/>
        <v>865.14977500412431</v>
      </c>
      <c r="S107" s="59">
        <f ca="1">AVERAGE(OFFSET($R$3,0,0,'Données projet'!$E$9+1,1))-AVERAGE(OFFSET($H$3,0,0,'Données projet'!$E$9+1,1))</f>
        <v>480.34707165277229</v>
      </c>
      <c r="T107" s="59">
        <f t="shared" si="88"/>
        <v>217.17128038304531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90.890182470684152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90.890182470684152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450.41500000000025</v>
      </c>
      <c r="AJ107" s="13">
        <f>AI107*VLOOKUP('Données projet'!$B$10,Paramètres!$A$1:$I$89,3,0)*VLOOKUP('Données projet'!$B$10,Paramètres!$A$1:$I$89,5,0)</f>
        <v>456.72081000000026</v>
      </c>
      <c r="AK107" s="13">
        <f t="shared" si="89"/>
        <v>103.18569934180985</v>
      </c>
      <c r="AL107" s="20">
        <f t="shared" si="58"/>
        <v>975.1705037703191</v>
      </c>
      <c r="AM107" s="59">
        <f t="shared" si="59"/>
        <v>1265.3848413981752</v>
      </c>
      <c r="AN107" s="59">
        <f ca="1">AVERAGE(OFFSET($AM$3,0,0,'Données projet'!$E$10+1,1))-AVERAGE(OFFSET($H$3,0,0,'Données projet'!$E$10+1,1))</f>
        <v>596.64394969449609</v>
      </c>
      <c r="AO107" s="59">
        <f t="shared" si="90"/>
        <v>312.55704723516362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128.55519184198124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128.55519184198124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212.28480000000002</v>
      </c>
      <c r="BF107" s="13">
        <f t="shared" si="91"/>
        <v>52.434557099704193</v>
      </c>
      <c r="BG107" s="20">
        <f t="shared" si="61"/>
        <v>461.05288028198476</v>
      </c>
      <c r="BH107" s="59">
        <f t="shared" si="62"/>
        <v>751.26721790984084</v>
      </c>
      <c r="BI107" s="59">
        <f ca="1">AVERAGE(OFFSET($BH$3,0,0,'Données projet'!$E$11+1,1))-AVERAGE(OFFSET($H$3,0,0,'Données projet'!$E$11+1,1))</f>
        <v>360.53625471540249</v>
      </c>
      <c r="BJ107" s="59">
        <f t="shared" si="92"/>
        <v>326.66299410556076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51.863266216676244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51.863266216676244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253.79640000000001</v>
      </c>
      <c r="CA107" s="13">
        <f t="shared" si="93"/>
        <v>61.39816832228076</v>
      </c>
      <c r="CB107" s="20">
        <f t="shared" si="64"/>
        <v>548.96387316130563</v>
      </c>
      <c r="CC107" s="59">
        <f t="shared" si="65"/>
        <v>839.17821078916177</v>
      </c>
      <c r="CD107" s="59">
        <f ca="1">AVERAGE(OFFSET($CC$3,0,0,'Données projet'!$E$12+1,1))-AVERAGE(OFFSET($H$3,0,0,'Données projet'!$E$12+1,1))</f>
        <v>358.39045200457502</v>
      </c>
      <c r="CE107" s="59">
        <f t="shared" si="94"/>
        <v>349.48764057925109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33.054584061653429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33.054584061653429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210.25641025641013</v>
      </c>
      <c r="CU107" s="17">
        <f>CT107*VLOOKUP('Données projet'!$B$13,Paramètres!$A$1:$I$89,3,0)*VLOOKUP('Données projet'!$B$13,Paramètres!$A$1:$I$89,5,0)</f>
        <v>163.99999999999991</v>
      </c>
      <c r="CV107" s="13">
        <f t="shared" si="95"/>
        <v>41.743425908362248</v>
      </c>
      <c r="CW107" s="20">
        <f t="shared" si="67"/>
        <v>358.33646679039742</v>
      </c>
      <c r="CX107" s="59">
        <f t="shared" si="68"/>
        <v>648.55080441825362</v>
      </c>
      <c r="CY107" s="59">
        <f ca="1">AVERAGE(OFFSET($CX$3,0,0,'Données projet'!$E$13+1,1))-AVERAGE(OFFSET($H$3,0,0,'Données projet'!$E$13+1,1))</f>
        <v>201.71903756761543</v>
      </c>
      <c r="CZ107" s="59">
        <f t="shared" si="96"/>
        <v>200.66422845182711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16.147499173103313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16.147499173103313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6.8850000000000025</v>
      </c>
      <c r="DO107" s="12">
        <f>IF('Données projet'!$A$166&gt;35,DO106+DN107-DW106,IF(A107&lt;'Données projet'!$A$166,$DL$205^A107,IF(A107='Données projet'!$A$166,'Données projet'!$B$166,DO106+DN107-DW106)))</f>
        <v>294.08500000000004</v>
      </c>
      <c r="DP107" s="17">
        <f>DO107*VLOOKUP('Données projet'!$B$14,Paramètres!$A$1:$I$89,3,0)*VLOOKUP('Données projet'!$B$14,Paramètres!$A$1:$I$89,5,0)</f>
        <v>279.85128600000002</v>
      </c>
      <c r="DQ107" s="13">
        <f t="shared" si="97"/>
        <v>66.93558036622926</v>
      </c>
      <c r="DR107" s="20">
        <f t="shared" si="70"/>
        <v>603.98712558784928</v>
      </c>
      <c r="DS107" s="59">
        <f t="shared" si="71"/>
        <v>894.20146321570542</v>
      </c>
      <c r="DT107" s="59">
        <f ca="1">AVERAGE(OFFSET($DS$3,0,0,'Données projet'!$E$14+1,1))-AVERAGE(OFFSET($H$3,0,0,'Données projet'!$E$14+1,1))</f>
        <v>502.4879901989737</v>
      </c>
      <c r="DU107" s="59">
        <f t="shared" si="98"/>
        <v>226.06453328626355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95.591398805374723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95.591398805374723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-5.6843418860808015E-14</v>
      </c>
      <c r="EK107" s="17">
        <f>EJ107*VLOOKUP('Données projet'!$B$15,Paramètres!$A$1:$I$89,3,0)*VLOOKUP('Données projet'!$B$15,Paramètres!$A$1:$I$89,5,0)</f>
        <v>-3.2543994166189806E-14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192.76157155207764</v>
      </c>
      <c r="EP107" s="59">
        <f t="shared" si="100"/>
        <v>413.66427458788348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17.188125745457825</v>
      </c>
      <c r="EW107" s="21">
        <f>EXP(-LN(2)/25)*EW106+(1-EXP(-LN(2)/25))/(LN(2)/25)*Calculateur!ER107*Calculateur!ET107*VLOOKUP('Données projet'!$B$15,Paramètres!$A$1:$I$89,3,0)*0.475*44/12</f>
        <v>2.4002414858177161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19.588367231275541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69.149364807597124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1.05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3.85</v>
      </c>
      <c r="H108" s="66">
        <f t="shared" si="56"/>
        <v>241.26666666666665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6.8850000000000025</v>
      </c>
      <c r="N108" s="13">
        <f>IF('Données projet'!$A$36&gt;35,N107+M108-V107,IF(A108&lt;'Données projet'!$A$36,$K$205^A108,IF(A108='Données projet'!$A$36,'Données projet'!$B$36,N107+M108-V107)))</f>
        <v>300.97000000000003</v>
      </c>
      <c r="O108" s="13">
        <f>N108*VLOOKUP('Données projet'!$B$9,Paramètres!$A$1:$I$89,3,0)*VLOOKUP('Données projet'!$B$9,Paramètres!$A$1:$I$89,5,0)</f>
        <v>272.317656</v>
      </c>
      <c r="P108" s="13">
        <f t="shared" si="87"/>
        <v>65.34088943839879</v>
      </c>
      <c r="Q108" s="20">
        <f t="shared" si="107"/>
        <v>588.08863330521115</v>
      </c>
      <c r="R108" s="59">
        <f t="shared" si="55"/>
        <v>878.35707853552753</v>
      </c>
      <c r="S108" s="59">
        <f ca="1">AVERAGE(OFFSET($R$3,0,0,'Données projet'!$E$9+1,1))-AVERAGE(OFFSET($H$3,0,0,'Données projet'!$E$9+1,1))</f>
        <v>480.34707165277229</v>
      </c>
      <c r="T108" s="59">
        <f t="shared" si="88"/>
        <v>217.17128038304531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89.107881429971343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89.107881429971343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460.12600000000026</v>
      </c>
      <c r="AJ108" s="13">
        <f>AI108*VLOOKUP('Données projet'!$B$10,Paramètres!$A$1:$I$89,3,0)*VLOOKUP('Données projet'!$B$10,Paramètres!$A$1:$I$89,5,0)</f>
        <v>466.5677640000003</v>
      </c>
      <c r="AK108" s="13">
        <f t="shared" si="89"/>
        <v>105.14899344484016</v>
      </c>
      <c r="AL108" s="20">
        <f t="shared" si="58"/>
        <v>995.74001921643048</v>
      </c>
      <c r="AM108" s="59">
        <f t="shared" si="59"/>
        <v>1286.008464446747</v>
      </c>
      <c r="AN108" s="59">
        <f ca="1">AVERAGE(OFFSET($AM$3,0,0,'Données projet'!$E$10+1,1))-AVERAGE(OFFSET($H$3,0,0,'Données projet'!$E$10+1,1))</f>
        <v>596.64394969449609</v>
      </c>
      <c r="AO108" s="59">
        <f t="shared" si="90"/>
        <v>312.55704723516362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126.03430294088457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126.03430294088457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212.28480000000002</v>
      </c>
      <c r="BF108" s="13">
        <f t="shared" si="91"/>
        <v>52.434557099704193</v>
      </c>
      <c r="BG108" s="20">
        <f t="shared" si="61"/>
        <v>461.05288028198476</v>
      </c>
      <c r="BH108" s="59">
        <f t="shared" si="62"/>
        <v>751.3213255123012</v>
      </c>
      <c r="BI108" s="59">
        <f ca="1">AVERAGE(OFFSET($BH$3,0,0,'Données projet'!$E$11+1,1))-AVERAGE(OFFSET($H$3,0,0,'Données projet'!$E$11+1,1))</f>
        <v>360.53625471540249</v>
      </c>
      <c r="BJ108" s="59">
        <f t="shared" si="92"/>
        <v>326.66299410556076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50.846259199636073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50.846259199636073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253.79640000000001</v>
      </c>
      <c r="CA108" s="13">
        <f t="shared" si="93"/>
        <v>61.39816832228076</v>
      </c>
      <c r="CB108" s="20">
        <f t="shared" si="64"/>
        <v>548.96387316130563</v>
      </c>
      <c r="CC108" s="59">
        <f t="shared" si="65"/>
        <v>839.23231839162202</v>
      </c>
      <c r="CD108" s="59">
        <f ca="1">AVERAGE(OFFSET($CC$3,0,0,'Données projet'!$E$12+1,1))-AVERAGE(OFFSET($H$3,0,0,'Données projet'!$E$12+1,1))</f>
        <v>358.39045200457502</v>
      </c>
      <c r="CE108" s="59">
        <f t="shared" si="94"/>
        <v>349.48764057925109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32.406403829509919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32.406403829509919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210.25641025641013</v>
      </c>
      <c r="CU108" s="17">
        <f>CT108*VLOOKUP('Données projet'!$B$13,Paramètres!$A$1:$I$89,3,0)*VLOOKUP('Données projet'!$B$13,Paramètres!$A$1:$I$89,5,0)</f>
        <v>163.99999999999991</v>
      </c>
      <c r="CV108" s="13">
        <f t="shared" si="95"/>
        <v>41.743425908362248</v>
      </c>
      <c r="CW108" s="20">
        <f t="shared" si="67"/>
        <v>358.33646679039742</v>
      </c>
      <c r="CX108" s="59">
        <f t="shared" si="68"/>
        <v>648.60491202071375</v>
      </c>
      <c r="CY108" s="59">
        <f ca="1">AVERAGE(OFFSET($CX$3,0,0,'Données projet'!$E$13+1,1))-AVERAGE(OFFSET($H$3,0,0,'Données projet'!$E$13+1,1))</f>
        <v>201.71903756761543</v>
      </c>
      <c r="CZ108" s="59">
        <f t="shared" si="96"/>
        <v>200.66422845182711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15.830856563320744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15.830856563320744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6.8850000000000025</v>
      </c>
      <c r="DO108" s="12">
        <f>IF('Données projet'!$A$166&gt;35,DO107+DN108-DW107,IF(A108&lt;'Données projet'!$A$166,$DL$205^A108,IF(A108='Données projet'!$A$166,'Données projet'!$B$166,DO107+DN108-DW107)))</f>
        <v>300.97000000000003</v>
      </c>
      <c r="DP108" s="17">
        <f>DO108*VLOOKUP('Données projet'!$B$14,Paramètres!$A$1:$I$89,3,0)*VLOOKUP('Données projet'!$B$14,Paramètres!$A$1:$I$89,5,0)</f>
        <v>286.403052</v>
      </c>
      <c r="DQ108" s="13">
        <f t="shared" si="97"/>
        <v>68.318372044572754</v>
      </c>
      <c r="DR108" s="20">
        <f t="shared" si="70"/>
        <v>617.8064802109642</v>
      </c>
      <c r="DS108" s="59">
        <f t="shared" si="71"/>
        <v>908.07492544128058</v>
      </c>
      <c r="DT108" s="59">
        <f ca="1">AVERAGE(OFFSET($DS$3,0,0,'Données projet'!$E$14+1,1))-AVERAGE(OFFSET($H$3,0,0,'Données projet'!$E$14+1,1))</f>
        <v>502.4879901989737</v>
      </c>
      <c r="DU108" s="59">
        <f t="shared" si="98"/>
        <v>226.06453328626355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93.716909779797462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93.716909779797462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-5.6843418860808015E-14</v>
      </c>
      <c r="EK108" s="17">
        <f>EJ108*VLOOKUP('Données projet'!$B$15,Paramètres!$A$1:$I$89,3,0)*VLOOKUP('Données projet'!$B$15,Paramètres!$A$1:$I$89,5,0)</f>
        <v>-3.2543994166189806E-14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192.76157155207764</v>
      </c>
      <c r="EP108" s="59">
        <f t="shared" si="100"/>
        <v>413.66427458788348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16.851077083310919</v>
      </c>
      <c r="EW108" s="21">
        <f>EXP(-LN(2)/25)*EW107+(1-EXP(-LN(2)/25))/(LN(2)/25)*Calculateur!ER108*Calculateur!ET108*VLOOKUP('Données projet'!$B$15,Paramètres!$A$1:$I$89,3,0)*0.475*44/12</f>
        <v>2.3346067561648169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19.185683839475736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69.164121426449924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1.05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3.85</v>
      </c>
      <c r="H109" s="66">
        <f t="shared" si="56"/>
        <v>241.26666666666665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6.8850000000000025</v>
      </c>
      <c r="N109" s="13">
        <f>IF('Données projet'!$A$36&gt;35,N108+M109-V108,IF(A109&lt;'Données projet'!$A$36,$K$205^A109,IF(A109='Données projet'!$A$36,'Données projet'!$B$36,N108+M109-V108)))</f>
        <v>307.85500000000002</v>
      </c>
      <c r="O109" s="13">
        <f>N109*VLOOKUP('Données projet'!$B$9,Paramètres!$A$1:$I$89,3,0)*VLOOKUP('Données projet'!$B$9,Paramètres!$A$1:$I$89,5,0)</f>
        <v>278.54720400000002</v>
      </c>
      <c r="P109" s="13">
        <f t="shared" si="87"/>
        <v>66.659898432534732</v>
      </c>
      <c r="Q109" s="20">
        <f t="shared" si="107"/>
        <v>601.23570340333129</v>
      </c>
      <c r="R109" s="59">
        <f t="shared" si="55"/>
        <v>891.55731759017181</v>
      </c>
      <c r="S109" s="59">
        <f ca="1">AVERAGE(OFFSET($R$3,0,0,'Données projet'!$E$9+1,1))-AVERAGE(OFFSET($H$3,0,0,'Données projet'!$E$9+1,1))</f>
        <v>480.34707165277229</v>
      </c>
      <c r="T109" s="59">
        <f t="shared" si="88"/>
        <v>217.17128038304531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87.360530225570614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87.360530225570614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469.83700000000027</v>
      </c>
      <c r="AJ109" s="13">
        <f>AI109*VLOOKUP('Données projet'!$B$10,Paramètres!$A$1:$I$89,3,0)*VLOOKUP('Données projet'!$B$10,Paramètres!$A$1:$I$89,5,0)</f>
        <v>476.41471800000028</v>
      </c>
      <c r="AK109" s="13">
        <f t="shared" si="89"/>
        <v>107.10746999753525</v>
      </c>
      <c r="AL109" s="20">
        <f t="shared" si="58"/>
        <v>1016.3011440957075</v>
      </c>
      <c r="AM109" s="59">
        <f t="shared" si="59"/>
        <v>1306.6227582825479</v>
      </c>
      <c r="AN109" s="59">
        <f ca="1">AVERAGE(OFFSET($AM$3,0,0,'Données projet'!$E$10+1,1))-AVERAGE(OFFSET($H$3,0,0,'Données projet'!$E$10+1,1))</f>
        <v>596.64394969449609</v>
      </c>
      <c r="AO109" s="59">
        <f t="shared" si="90"/>
        <v>312.55704723516362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123.562847133548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123.562847133548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212.28480000000002</v>
      </c>
      <c r="BF109" s="13">
        <f t="shared" si="91"/>
        <v>52.434557099704193</v>
      </c>
      <c r="BG109" s="20">
        <f t="shared" si="61"/>
        <v>461.05288028198476</v>
      </c>
      <c r="BH109" s="59">
        <f t="shared" si="62"/>
        <v>751.37449446882522</v>
      </c>
      <c r="BI109" s="59">
        <f ca="1">AVERAGE(OFFSET($BH$3,0,0,'Données projet'!$E$11+1,1))-AVERAGE(OFFSET($H$3,0,0,'Données projet'!$E$11+1,1))</f>
        <v>360.53625471540249</v>
      </c>
      <c r="BJ109" s="59">
        <f t="shared" si="92"/>
        <v>326.66299410556076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49.849195069887024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49.849195069887024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253.79640000000001</v>
      </c>
      <c r="CA109" s="13">
        <f t="shared" si="93"/>
        <v>61.39816832228076</v>
      </c>
      <c r="CB109" s="20">
        <f t="shared" si="64"/>
        <v>548.96387316130563</v>
      </c>
      <c r="CC109" s="59">
        <f t="shared" si="65"/>
        <v>839.28548734814603</v>
      </c>
      <c r="CD109" s="59">
        <f ca="1">AVERAGE(OFFSET($CC$3,0,0,'Données projet'!$E$12+1,1))-AVERAGE(OFFSET($H$3,0,0,'Données projet'!$E$12+1,1))</f>
        <v>358.39045200457502</v>
      </c>
      <c r="CE109" s="59">
        <f t="shared" si="94"/>
        <v>349.48764057925109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31.770934016367839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31.770934016367839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210.25641025641013</v>
      </c>
      <c r="CU109" s="17">
        <f>CT109*VLOOKUP('Données projet'!$B$13,Paramètres!$A$1:$I$89,3,0)*VLOOKUP('Données projet'!$B$13,Paramètres!$A$1:$I$89,5,0)</f>
        <v>163.99999999999991</v>
      </c>
      <c r="CV109" s="13">
        <f t="shared" si="95"/>
        <v>41.743425908362248</v>
      </c>
      <c r="CW109" s="20">
        <f t="shared" si="67"/>
        <v>358.33646679039742</v>
      </c>
      <c r="CX109" s="59">
        <f t="shared" si="68"/>
        <v>648.65808097723789</v>
      </c>
      <c r="CY109" s="59">
        <f ca="1">AVERAGE(OFFSET($CX$3,0,0,'Données projet'!$E$13+1,1))-AVERAGE(OFFSET($H$3,0,0,'Données projet'!$E$13+1,1))</f>
        <v>201.71903756761543</v>
      </c>
      <c r="CZ109" s="59">
        <f t="shared" si="96"/>
        <v>200.66422845182711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15.520423121983089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15.520423121983089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6.8850000000000025</v>
      </c>
      <c r="DO109" s="12">
        <f>IF('Données projet'!$A$166&gt;35,DO108+DN109-DW108,IF(A109&lt;'Données projet'!$A$166,$DL$205^A109,IF(A109='Données projet'!$A$166,'Données projet'!$B$166,DO108+DN109-DW108)))</f>
        <v>307.85500000000002</v>
      </c>
      <c r="DP109" s="17">
        <f>DO109*VLOOKUP('Données projet'!$B$14,Paramètres!$A$1:$I$89,3,0)*VLOOKUP('Données projet'!$B$14,Paramètres!$A$1:$I$89,5,0)</f>
        <v>292.95481799999999</v>
      </c>
      <c r="DQ109" s="13">
        <f t="shared" si="97"/>
        <v>69.697486225080993</v>
      </c>
      <c r="DR109" s="20">
        <f t="shared" si="70"/>
        <v>631.61942985868268</v>
      </c>
      <c r="DS109" s="59">
        <f t="shared" si="71"/>
        <v>921.94104404552309</v>
      </c>
      <c r="DT109" s="59">
        <f ca="1">AVERAGE(OFFSET($DS$3,0,0,'Données projet'!$E$14+1,1))-AVERAGE(OFFSET($H$3,0,0,'Données projet'!$E$14+1,1))</f>
        <v>502.4879901989737</v>
      </c>
      <c r="DU109" s="59">
        <f t="shared" si="98"/>
        <v>226.06453328626355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91.879178340686352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91.879178340686352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-5.6843418860808015E-14</v>
      </c>
      <c r="EK109" s="17">
        <f>EJ109*VLOOKUP('Données projet'!$B$15,Paramètres!$A$1:$I$89,3,0)*VLOOKUP('Données projet'!$B$15,Paramètres!$A$1:$I$89,5,0)</f>
        <v>-3.2543994166189806E-14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192.76157155207764</v>
      </c>
      <c r="EP109" s="59">
        <f t="shared" si="100"/>
        <v>413.66427458788348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16.520637739849331</v>
      </c>
      <c r="EW109" s="21">
        <f>EXP(-LN(2)/25)*EW108+(1-EXP(-LN(2)/25))/(LN(2)/25)*Calculateur!ER109*Calculateur!ET109*VLOOKUP('Données projet'!$B$15,Paramètres!$A$1:$I$89,3,0)*0.475*44/12</f>
        <v>2.2707668116458564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18.791404551495187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69.178622050956491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1.05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3.85</v>
      </c>
      <c r="H110" s="66">
        <f t="shared" si="56"/>
        <v>241.26666666666665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6.8850000000000025</v>
      </c>
      <c r="N110" s="13">
        <f>IF('Données projet'!$A$36&gt;35,N109+M110-V109,IF(A110&lt;'Données projet'!$A$36,$K$205^A110,IF(A110='Données projet'!$A$36,'Données projet'!$B$36,N109+M110-V109)))</f>
        <v>314.74</v>
      </c>
      <c r="O110" s="13">
        <f>N110*VLOOKUP('Données projet'!$B$9,Paramètres!$A$1:$I$89,3,0)*VLOOKUP('Données projet'!$B$9,Paramètres!$A$1:$I$89,5,0)</f>
        <v>284.77675199999999</v>
      </c>
      <c r="P110" s="13">
        <f t="shared" si="87"/>
        <v>67.975477920584154</v>
      </c>
      <c r="Q110" s="20">
        <f t="shared" si="107"/>
        <v>614.37680044501735</v>
      </c>
      <c r="R110" s="59">
        <f t="shared" si="55"/>
        <v>904.75066122585417</v>
      </c>
      <c r="S110" s="59">
        <f ca="1">AVERAGE(OFFSET($R$3,0,0,'Données projet'!$E$9+1,1))-AVERAGE(OFFSET($H$3,0,0,'Données projet'!$E$9+1,1))</f>
        <v>480.34707165277229</v>
      </c>
      <c r="T110" s="59">
        <f t="shared" si="88"/>
        <v>217.17128038304531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85.647443512509184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85.647443512509184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479.54800000000029</v>
      </c>
      <c r="AJ110" s="13">
        <f>AI110*VLOOKUP('Données projet'!$B$10,Paramètres!$A$1:$I$89,3,0)*VLOOKUP('Données projet'!$B$10,Paramètres!$A$1:$I$89,5,0)</f>
        <v>486.26167200000032</v>
      </c>
      <c r="AK110" s="13">
        <f t="shared" si="89"/>
        <v>109.06124004590019</v>
      </c>
      <c r="AL110" s="20">
        <f t="shared" si="58"/>
        <v>1036.8540718132765</v>
      </c>
      <c r="AM110" s="59">
        <f t="shared" si="59"/>
        <v>1327.2279325941133</v>
      </c>
      <c r="AN110" s="59">
        <f ca="1">AVERAGE(OFFSET($AM$3,0,0,'Données projet'!$E$10+1,1))-AVERAGE(OFFSET($H$3,0,0,'Données projet'!$E$10+1,1))</f>
        <v>596.64394969449609</v>
      </c>
      <c r="AO110" s="59">
        <f t="shared" si="90"/>
        <v>312.55704723516362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121.13985506715412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121.13985506715412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212.28480000000002</v>
      </c>
      <c r="BF110" s="13">
        <f t="shared" si="91"/>
        <v>52.434557099704193</v>
      </c>
      <c r="BG110" s="20">
        <f t="shared" si="61"/>
        <v>461.05288028198476</v>
      </c>
      <c r="BH110" s="59">
        <f t="shared" si="62"/>
        <v>751.42674106282152</v>
      </c>
      <c r="BI110" s="59">
        <f ca="1">AVERAGE(OFFSET($BH$3,0,0,'Données projet'!$E$11+1,1))-AVERAGE(OFFSET($H$3,0,0,'Données projet'!$E$11+1,1))</f>
        <v>360.53625471540249</v>
      </c>
      <c r="BJ110" s="59">
        <f t="shared" si="92"/>
        <v>326.66299410556076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48.871682759573289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48.871682759573289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253.79640000000001</v>
      </c>
      <c r="CA110" s="13">
        <f t="shared" si="93"/>
        <v>61.39816832228076</v>
      </c>
      <c r="CB110" s="20">
        <f t="shared" si="64"/>
        <v>548.96387316130563</v>
      </c>
      <c r="CC110" s="59">
        <f t="shared" si="65"/>
        <v>839.33773394214245</v>
      </c>
      <c r="CD110" s="59">
        <f ca="1">AVERAGE(OFFSET($CC$3,0,0,'Données projet'!$E$12+1,1))-AVERAGE(OFFSET($H$3,0,0,'Données projet'!$E$12+1,1))</f>
        <v>358.39045200457502</v>
      </c>
      <c r="CE110" s="59">
        <f t="shared" si="94"/>
        <v>349.48764057925109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31.14792537866316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31.14792537866316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210.25641025641013</v>
      </c>
      <c r="CU110" s="17">
        <f>CT110*VLOOKUP('Données projet'!$B$13,Paramètres!$A$1:$I$89,3,0)*VLOOKUP('Données projet'!$B$13,Paramètres!$A$1:$I$89,5,0)</f>
        <v>163.99999999999991</v>
      </c>
      <c r="CV110" s="13">
        <f t="shared" si="95"/>
        <v>41.743425908362248</v>
      </c>
      <c r="CW110" s="20">
        <f t="shared" si="67"/>
        <v>358.33646679039742</v>
      </c>
      <c r="CX110" s="59">
        <f t="shared" si="68"/>
        <v>648.71032757123419</v>
      </c>
      <c r="CY110" s="59">
        <f ca="1">AVERAGE(OFFSET($CX$3,0,0,'Données projet'!$E$13+1,1))-AVERAGE(OFFSET($H$3,0,0,'Données projet'!$E$13+1,1))</f>
        <v>201.71903756761543</v>
      </c>
      <c r="CZ110" s="59">
        <f t="shared" si="96"/>
        <v>200.66422845182711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15.216077091084363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15.216077091084363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6.8850000000000025</v>
      </c>
      <c r="DO110" s="12">
        <f>IF('Données projet'!$A$166&gt;35,DO109+DN110-DW109,IF(A110&lt;'Données projet'!$A$166,$DL$205^A110,IF(A110='Données projet'!$A$166,'Données projet'!$B$166,DO109+DN110-DW109)))</f>
        <v>314.74</v>
      </c>
      <c r="DP110" s="17">
        <f>DO110*VLOOKUP('Données projet'!$B$14,Paramètres!$A$1:$I$89,3,0)*VLOOKUP('Données projet'!$B$14,Paramètres!$A$1:$I$89,5,0)</f>
        <v>299.50658400000003</v>
      </c>
      <c r="DQ110" s="13">
        <f t="shared" si="97"/>
        <v>71.073014622249559</v>
      </c>
      <c r="DR110" s="20">
        <f t="shared" si="70"/>
        <v>645.42613426708465</v>
      </c>
      <c r="DS110" s="59">
        <f t="shared" si="71"/>
        <v>935.79999504792136</v>
      </c>
      <c r="DT110" s="59">
        <f ca="1">AVERAGE(OFFSET($DS$3,0,0,'Données projet'!$E$14+1,1))-AVERAGE(OFFSET($H$3,0,0,'Données projet'!$E$14+1,1))</f>
        <v>502.4879901989737</v>
      </c>
      <c r="DU110" s="59">
        <f t="shared" si="98"/>
        <v>226.06453328626355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90.077483694190718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90.077483694190718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-5.6843418860808015E-14</v>
      </c>
      <c r="EK110" s="17">
        <f>EJ110*VLOOKUP('Données projet'!$B$15,Paramètres!$A$1:$I$89,3,0)*VLOOKUP('Données projet'!$B$15,Paramètres!$A$1:$I$89,5,0)</f>
        <v>-3.2543994166189806E-14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192.76157155207764</v>
      </c>
      <c r="EP110" s="59">
        <f t="shared" si="100"/>
        <v>413.66427458788348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16.196678110364925</v>
      </c>
      <c r="EW110" s="21">
        <f>EXP(-LN(2)/25)*EW109+(1-EXP(-LN(2)/25))/(LN(2)/25)*Calculateur!ER110*Calculateur!ET110*VLOOKUP('Données projet'!$B$15,Paramètres!$A$1:$I$89,3,0)*0.475*44/12</f>
        <v>2.2086725737669637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18.405350684131889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69.192871122046398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1.05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3.85</v>
      </c>
      <c r="H111" s="66">
        <f t="shared" si="56"/>
        <v>241.26666666666665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6.8850000000000025</v>
      </c>
      <c r="N111" s="13">
        <f>IF('Données projet'!$A$36&gt;35,N110+M111-V110,IF(A111&lt;'Données projet'!$A$36,$K$205^A111,IF(A111='Données projet'!$A$36,'Données projet'!$B$36,N110+M111-V110)))</f>
        <v>321.625</v>
      </c>
      <c r="O111" s="13">
        <f>N111*VLOOKUP('Données projet'!$B$9,Paramètres!$A$1:$I$89,3,0)*VLOOKUP('Données projet'!$B$9,Paramètres!$A$1:$I$89,5,0)</f>
        <v>291.00630000000001</v>
      </c>
      <c r="P111" s="13">
        <f t="shared" si="87"/>
        <v>69.287711563071724</v>
      </c>
      <c r="Q111" s="20">
        <f t="shared" si="107"/>
        <v>627.5120701390166</v>
      </c>
      <c r="R111" s="59">
        <f t="shared" si="55"/>
        <v>917.93727115224988</v>
      </c>
      <c r="S111" s="59">
        <f ca="1">AVERAGE(OFFSET($R$3,0,0,'Données projet'!$E$9+1,1))-AVERAGE(OFFSET($H$3,0,0,'Données projet'!$E$9+1,1))</f>
        <v>480.34707165277229</v>
      </c>
      <c r="T111" s="59">
        <f t="shared" si="88"/>
        <v>217.17128038304531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83.967949385011167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83.967949385011167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489.2590000000003</v>
      </c>
      <c r="AJ111" s="13">
        <f>AI111*VLOOKUP('Données projet'!$B$10,Paramètres!$A$1:$I$89,3,0)*VLOOKUP('Données projet'!$B$10,Paramètres!$A$1:$I$89,5,0)</f>
        <v>496.10862600000036</v>
      </c>
      <c r="AK111" s="13">
        <f t="shared" si="89"/>
        <v>111.01040988138524</v>
      </c>
      <c r="AL111" s="20">
        <f t="shared" si="58"/>
        <v>1057.3989874934132</v>
      </c>
      <c r="AM111" s="59">
        <f t="shared" si="59"/>
        <v>1347.8241885066464</v>
      </c>
      <c r="AN111" s="59">
        <f ca="1">AVERAGE(OFFSET($AM$3,0,0,'Données projet'!$E$10+1,1))-AVERAGE(OFFSET($H$3,0,0,'Données projet'!$E$10+1,1))</f>
        <v>596.64394969449609</v>
      </c>
      <c r="AO111" s="59">
        <f t="shared" si="90"/>
        <v>312.55704723516362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118.76437639730298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118.76437639730298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212.28480000000002</v>
      </c>
      <c r="BF111" s="13">
        <f t="shared" si="91"/>
        <v>52.434557099704193</v>
      </c>
      <c r="BG111" s="20">
        <f t="shared" si="61"/>
        <v>461.05288028198476</v>
      </c>
      <c r="BH111" s="59">
        <f t="shared" si="62"/>
        <v>751.47808129521798</v>
      </c>
      <c r="BI111" s="59">
        <f ca="1">AVERAGE(OFFSET($BH$3,0,0,'Données projet'!$E$11+1,1))-AVERAGE(OFFSET($H$3,0,0,'Données projet'!$E$11+1,1))</f>
        <v>360.53625471540249</v>
      </c>
      <c r="BJ111" s="59">
        <f t="shared" si="92"/>
        <v>326.66299410556076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47.913338869441169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47.913338869441169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253.79640000000001</v>
      </c>
      <c r="CA111" s="13">
        <f t="shared" si="93"/>
        <v>61.39816832228076</v>
      </c>
      <c r="CB111" s="20">
        <f t="shared" si="64"/>
        <v>548.96387316130563</v>
      </c>
      <c r="CC111" s="59">
        <f t="shared" si="65"/>
        <v>839.38907417453879</v>
      </c>
      <c r="CD111" s="59">
        <f ca="1">AVERAGE(OFFSET($CC$3,0,0,'Données projet'!$E$12+1,1))-AVERAGE(OFFSET($H$3,0,0,'Données projet'!$E$12+1,1))</f>
        <v>358.39045200457502</v>
      </c>
      <c r="CE111" s="59">
        <f t="shared" si="94"/>
        <v>349.48764057925109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30.537133560346124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30.537133560346124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210.25641025641013</v>
      </c>
      <c r="CU111" s="17">
        <f>CT111*VLOOKUP('Données projet'!$B$13,Paramètres!$A$1:$I$89,3,0)*VLOOKUP('Données projet'!$B$13,Paramètres!$A$1:$I$89,5,0)</f>
        <v>163.99999999999991</v>
      </c>
      <c r="CV111" s="13">
        <f t="shared" si="95"/>
        <v>41.743425908362248</v>
      </c>
      <c r="CW111" s="20">
        <f t="shared" si="67"/>
        <v>358.33646679039742</v>
      </c>
      <c r="CX111" s="59">
        <f t="shared" si="68"/>
        <v>648.76166780363064</v>
      </c>
      <c r="CY111" s="59">
        <f ca="1">AVERAGE(OFFSET($CX$3,0,0,'Données projet'!$E$13+1,1))-AVERAGE(OFFSET($H$3,0,0,'Données projet'!$E$13+1,1))</f>
        <v>201.71903756761543</v>
      </c>
      <c r="CZ111" s="59">
        <f t="shared" si="96"/>
        <v>200.66422845182711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14.917699100218814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14.917699100218814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6.8850000000000025</v>
      </c>
      <c r="DO111" s="12">
        <f>IF('Données projet'!$A$166&gt;35,DO110+DN111-DW110,IF(A111&lt;'Données projet'!$A$166,$DL$205^A111,IF(A111='Données projet'!$A$166,'Données projet'!$B$166,DO110+DN111-DW110)))</f>
        <v>321.625</v>
      </c>
      <c r="DP111" s="17">
        <f>DO111*VLOOKUP('Données projet'!$B$14,Paramètres!$A$1:$I$89,3,0)*VLOOKUP('Données projet'!$B$14,Paramètres!$A$1:$I$89,5,0)</f>
        <v>306.05835000000002</v>
      </c>
      <c r="DQ111" s="13">
        <f t="shared" si="97"/>
        <v>72.445044708882975</v>
      </c>
      <c r="DR111" s="20">
        <f t="shared" si="70"/>
        <v>659.22674578463784</v>
      </c>
      <c r="DS111" s="59">
        <f t="shared" si="71"/>
        <v>949.65194679787101</v>
      </c>
      <c r="DT111" s="59">
        <f ca="1">AVERAGE(OFFSET($DS$3,0,0,'Données projet'!$E$14+1,1))-AVERAGE(OFFSET($H$3,0,0,'Données projet'!$E$14+1,1))</f>
        <v>502.4879901989737</v>
      </c>
      <c r="DU111" s="59">
        <f t="shared" si="98"/>
        <v>226.06453328626355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88.311119180787642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88.311119180787642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-5.6843418860808015E-14</v>
      </c>
      <c r="EK111" s="17">
        <f>EJ111*VLOOKUP('Données projet'!$B$15,Paramètres!$A$1:$I$89,3,0)*VLOOKUP('Données projet'!$B$15,Paramètres!$A$1:$I$89,5,0)</f>
        <v>-3.2543994166189806E-14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192.76157155207764</v>
      </c>
      <c r="EP111" s="59">
        <f t="shared" si="100"/>
        <v>413.66427458788348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15.879071131618845</v>
      </c>
      <c r="EW111" s="21">
        <f>EXP(-LN(2)/25)*EW110+(1-EXP(-LN(2)/25))/(LN(2)/25)*Calculateur!ER111*Calculateur!ET111*VLOOKUP('Données projet'!$B$15,Paramètres!$A$1:$I$89,3,0)*0.475*44/12</f>
        <v>2.1482763060882633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18.027347437707107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69.206873003609061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1.05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3.85</v>
      </c>
      <c r="H112" s="66">
        <f t="shared" si="56"/>
        <v>241.26666666666665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6.8850000000000025</v>
      </c>
      <c r="N112" s="13">
        <f>IF('Données projet'!$A$36&gt;35,N111+M112-V111,IF(A112&lt;'Données projet'!$A$36,$K$205^A112,IF(A112='Données projet'!$A$36,'Données projet'!$B$36,N111+M112-V111)))</f>
        <v>328.51</v>
      </c>
      <c r="O112" s="13">
        <f>N112*VLOOKUP('Données projet'!$B$9,Paramètres!$A$1:$I$89,3,0)*VLOOKUP('Données projet'!$B$9,Paramètres!$A$1:$I$89,5,0)</f>
        <v>297.23584799999998</v>
      </c>
      <c r="P112" s="13">
        <f t="shared" si="87"/>
        <v>70.596679234081364</v>
      </c>
      <c r="Q112" s="20">
        <f t="shared" si="107"/>
        <v>640.64165159935828</v>
      </c>
      <c r="R112" s="59">
        <f t="shared" si="55"/>
        <v>931.1173022067353</v>
      </c>
      <c r="S112" s="59">
        <f ca="1">AVERAGE(OFFSET($R$3,0,0,'Données projet'!$E$9+1,1))-AVERAGE(OFFSET($H$3,0,0,'Données projet'!$E$9+1,1))</f>
        <v>480.34707165277229</v>
      </c>
      <c r="T112" s="59">
        <f t="shared" si="88"/>
        <v>217.17128038304531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82.321389112963118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82.321389112963118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498.97000000000031</v>
      </c>
      <c r="AJ112" s="13">
        <f>AI112*VLOOKUP('Données projet'!$B$10,Paramètres!$A$1:$I$89,3,0)*VLOOKUP('Données projet'!$B$10,Paramètres!$A$1:$I$89,5,0)</f>
        <v>505.95558000000034</v>
      </c>
      <c r="AK112" s="13">
        <f t="shared" si="89"/>
        <v>112.9550813347188</v>
      </c>
      <c r="AL112" s="20">
        <f t="shared" si="58"/>
        <v>1077.9360684913026</v>
      </c>
      <c r="AM112" s="59">
        <f t="shared" si="59"/>
        <v>1368.4117190986797</v>
      </c>
      <c r="AN112" s="59">
        <f ca="1">AVERAGE(OFFSET($AM$3,0,0,'Données projet'!$E$10+1,1))-AVERAGE(OFFSET($H$3,0,0,'Données projet'!$E$10+1,1))</f>
        <v>596.64394969449609</v>
      </c>
      <c r="AO112" s="59">
        <f t="shared" si="90"/>
        <v>312.55704723516362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148.71068118469847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148.71068118469847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212.28480000000002</v>
      </c>
      <c r="BF112" s="13">
        <f t="shared" si="91"/>
        <v>52.434557099704193</v>
      </c>
      <c r="BG112" s="20">
        <f t="shared" si="61"/>
        <v>461.05288028198476</v>
      </c>
      <c r="BH112" s="59">
        <f t="shared" si="62"/>
        <v>751.52853088936183</v>
      </c>
      <c r="BI112" s="59">
        <f ca="1">AVERAGE(OFFSET($BH$3,0,0,'Données projet'!$E$11+1,1))-AVERAGE(OFFSET($H$3,0,0,'Données projet'!$E$11+1,1))</f>
        <v>360.53625471540249</v>
      </c>
      <c r="BJ112" s="59">
        <f t="shared" si="92"/>
        <v>326.66299410556076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46.97378751846248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46.97378751846248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253.79640000000001</v>
      </c>
      <c r="CA112" s="13">
        <f t="shared" si="93"/>
        <v>61.39816832228076</v>
      </c>
      <c r="CB112" s="20">
        <f t="shared" si="64"/>
        <v>548.96387316130563</v>
      </c>
      <c r="CC112" s="59">
        <f t="shared" si="65"/>
        <v>839.43952376868265</v>
      </c>
      <c r="CD112" s="59">
        <f ca="1">AVERAGE(OFFSET($CC$3,0,0,'Données projet'!$E$12+1,1))-AVERAGE(OFFSET($H$3,0,0,'Données projet'!$E$12+1,1))</f>
        <v>358.39045200457502</v>
      </c>
      <c r="CE112" s="59">
        <f t="shared" si="94"/>
        <v>349.48764057925109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29.938318997040064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29.938318997040064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210.25641025641013</v>
      </c>
      <c r="CU112" s="17">
        <f>CT112*VLOOKUP('Données projet'!$B$13,Paramètres!$A$1:$I$89,3,0)*VLOOKUP('Données projet'!$B$13,Paramètres!$A$1:$I$89,5,0)</f>
        <v>163.99999999999991</v>
      </c>
      <c r="CV112" s="13">
        <f t="shared" si="95"/>
        <v>41.743425908362248</v>
      </c>
      <c r="CW112" s="20">
        <f t="shared" si="67"/>
        <v>358.33646679039742</v>
      </c>
      <c r="CX112" s="59">
        <f t="shared" si="68"/>
        <v>648.8121173977745</v>
      </c>
      <c r="CY112" s="59">
        <f ca="1">AVERAGE(OFFSET($CX$3,0,0,'Données projet'!$E$13+1,1))-AVERAGE(OFFSET($H$3,0,0,'Données projet'!$E$13+1,1))</f>
        <v>201.71903756761543</v>
      </c>
      <c r="CZ112" s="59">
        <f t="shared" si="96"/>
        <v>200.66422845182711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14.625172119761531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14.625172119761531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6.8850000000000025</v>
      </c>
      <c r="DO112" s="12">
        <f>IF('Données projet'!$A$166&gt;35,DO111+DN112-DW111,IF(A112&lt;'Données projet'!$A$166,$DL$205^A112,IF(A112='Données projet'!$A$166,'Données projet'!$B$166,DO111+DN112-DW111)))</f>
        <v>328.51</v>
      </c>
      <c r="DP112" s="17">
        <f>DO112*VLOOKUP('Données projet'!$B$14,Paramètres!$A$1:$I$89,3,0)*VLOOKUP('Données projet'!$B$14,Paramètres!$A$1:$I$89,5,0)</f>
        <v>312.610116</v>
      </c>
      <c r="DQ112" s="13">
        <f t="shared" si="97"/>
        <v>73.813659998802876</v>
      </c>
      <c r="DR112" s="20">
        <f t="shared" si="70"/>
        <v>673.02140986458164</v>
      </c>
      <c r="DS112" s="59">
        <f t="shared" si="71"/>
        <v>963.49706047195878</v>
      </c>
      <c r="DT112" s="59">
        <f ca="1">AVERAGE(OFFSET($DS$3,0,0,'Données projet'!$E$14+1,1))-AVERAGE(OFFSET($H$3,0,0,'Données projet'!$E$14+1,1))</f>
        <v>502.4879901989737</v>
      </c>
      <c r="DU112" s="59">
        <f t="shared" si="98"/>
        <v>226.06453328626355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86.579391998116421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86.579391998116421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-5.6843418860808015E-14</v>
      </c>
      <c r="EK112" s="17">
        <f>EJ112*VLOOKUP('Données projet'!$B$15,Paramètres!$A$1:$I$89,3,0)*VLOOKUP('Données projet'!$B$15,Paramètres!$A$1:$I$89,5,0)</f>
        <v>-3.2543994166189806E-14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192.76157155207764</v>
      </c>
      <c r="EP112" s="59">
        <f t="shared" si="100"/>
        <v>413.66427458788348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15.567692232004848</v>
      </c>
      <c r="EW112" s="21">
        <f>EXP(-LN(2)/25)*EW111+(1-EXP(-LN(2)/25))/(LN(2)/25)*Calculateur!ER112*Calculateur!ET112*VLOOKUP('Données projet'!$B$15,Paramètres!$A$1:$I$89,3,0)*0.475*44/12</f>
        <v>2.0895315775253387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17.657223809530187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69.220631983830117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1.05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3.85</v>
      </c>
      <c r="H113" s="66">
        <f t="shared" si="56"/>
        <v>241.26666666666665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6.8850000000000025</v>
      </c>
      <c r="N113" s="13">
        <f>IF('Données projet'!$A$36&gt;35,N112+M113-V112,IF(A113&lt;'Données projet'!$A$36,$K$205^A113,IF(A113='Données projet'!$A$36,'Données projet'!$B$36,N112+M113-V112)))</f>
        <v>335.39499999999998</v>
      </c>
      <c r="O113" s="13">
        <f>N113*VLOOKUP('Données projet'!$B$9,Paramètres!$A$1:$I$89,3,0)*VLOOKUP('Données projet'!$B$9,Paramètres!$A$1:$I$89,5,0)</f>
        <v>303.46539599999994</v>
      </c>
      <c r="P113" s="13">
        <f t="shared" si="87"/>
        <v>71.902457268336448</v>
      </c>
      <c r="Q113" s="20">
        <f t="shared" si="107"/>
        <v>653.76567777568584</v>
      </c>
      <c r="R113" s="59">
        <f t="shared" si="55"/>
        <v>944.29090278953686</v>
      </c>
      <c r="S113" s="59">
        <f ca="1">AVERAGE(OFFSET($R$3,0,0,'Données projet'!$E$9+1,1))-AVERAGE(OFFSET($H$3,0,0,'Données projet'!$E$9+1,1))</f>
        <v>480.34707165277229</v>
      </c>
      <c r="T113" s="59">
        <f t="shared" si="88"/>
        <v>217.17128038304531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80.707116883547343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80.707116883547343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447.59278200000028</v>
      </c>
      <c r="AK113" s="13">
        <f t="shared" si="89"/>
        <v>101.36134141870193</v>
      </c>
      <c r="AL113" s="20">
        <f t="shared" si="58"/>
        <v>956.09509828757302</v>
      </c>
      <c r="AM113" s="59">
        <f t="shared" si="59"/>
        <v>1246.6203233014239</v>
      </c>
      <c r="AN113" s="59">
        <f ca="1">AVERAGE(OFFSET($AM$3,0,0,'Données projet'!$E$10+1,1))-AVERAGE(OFFSET($H$3,0,0,'Données projet'!$E$10+1,1))</f>
        <v>596.64394969449609</v>
      </c>
      <c r="AO113" s="59">
        <f t="shared" si="90"/>
        <v>312.55704723516362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145.79455543122572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145.79455543122572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212.28480000000002</v>
      </c>
      <c r="BF113" s="13">
        <f t="shared" si="91"/>
        <v>52.434557099704193</v>
      </c>
      <c r="BG113" s="20">
        <f t="shared" si="61"/>
        <v>461.05288028198476</v>
      </c>
      <c r="BH113" s="59">
        <f t="shared" si="62"/>
        <v>751.57810529583571</v>
      </c>
      <c r="BI113" s="59">
        <f ca="1">AVERAGE(OFFSET($BH$3,0,0,'Données projet'!$E$11+1,1))-AVERAGE(OFFSET($H$3,0,0,'Données projet'!$E$11+1,1))</f>
        <v>360.53625471540249</v>
      </c>
      <c r="BJ113" s="59">
        <f t="shared" si="92"/>
        <v>326.66299410556076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46.052660196406748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46.052660196406748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253.79640000000001</v>
      </c>
      <c r="CA113" s="13">
        <f t="shared" si="93"/>
        <v>61.39816832228076</v>
      </c>
      <c r="CB113" s="20">
        <f t="shared" si="64"/>
        <v>548.96387316130563</v>
      </c>
      <c r="CC113" s="59">
        <f t="shared" si="65"/>
        <v>839.48909817515664</v>
      </c>
      <c r="CD113" s="59">
        <f ca="1">AVERAGE(OFFSET($CC$3,0,0,'Données projet'!$E$12+1,1))-AVERAGE(OFFSET($H$3,0,0,'Données projet'!$E$12+1,1))</f>
        <v>358.39045200457502</v>
      </c>
      <c r="CE113" s="59">
        <f t="shared" si="94"/>
        <v>349.48764057925109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29.351246822079613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29.351246822079613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210.25641025641013</v>
      </c>
      <c r="CU113" s="17">
        <f>CT113*VLOOKUP('Données projet'!$B$13,Paramètres!$A$1:$I$89,3,0)*VLOOKUP('Données projet'!$B$13,Paramètres!$A$1:$I$89,5,0)</f>
        <v>163.99999999999991</v>
      </c>
      <c r="CV113" s="13">
        <f t="shared" si="95"/>
        <v>41.743425908362248</v>
      </c>
      <c r="CW113" s="20">
        <f t="shared" si="67"/>
        <v>358.33646679039742</v>
      </c>
      <c r="CX113" s="59">
        <f t="shared" si="68"/>
        <v>648.86169180424838</v>
      </c>
      <c r="CY113" s="59">
        <f ca="1">AVERAGE(OFFSET($CX$3,0,0,'Données projet'!$E$13+1,1))-AVERAGE(OFFSET($H$3,0,0,'Données projet'!$E$13+1,1))</f>
        <v>201.71903756761543</v>
      </c>
      <c r="CZ113" s="59">
        <f t="shared" si="96"/>
        <v>200.66422845182711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14.338381414967177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14.338381414967177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6.8850000000000025</v>
      </c>
      <c r="DO113" s="12">
        <f>IF('Données projet'!$A$166&gt;35,DO112+DN113-DW112,IF(A113&lt;'Données projet'!$A$166,$DL$205^A113,IF(A113='Données projet'!$A$166,'Données projet'!$B$166,DO112+DN113-DW112)))</f>
        <v>335.39499999999998</v>
      </c>
      <c r="DP113" s="17">
        <f>DO113*VLOOKUP('Données projet'!$B$14,Paramètres!$A$1:$I$89,3,0)*VLOOKUP('Données projet'!$B$14,Paramètres!$A$1:$I$89,5,0)</f>
        <v>319.16188199999999</v>
      </c>
      <c r="DQ113" s="13">
        <f t="shared" si="97"/>
        <v>75.178940305186956</v>
      </c>
      <c r="DR113" s="20">
        <f t="shared" si="70"/>
        <v>686.8102655148673</v>
      </c>
      <c r="DS113" s="59">
        <f t="shared" si="71"/>
        <v>977.33549052871831</v>
      </c>
      <c r="DT113" s="59">
        <f ca="1">AVERAGE(OFFSET($DS$3,0,0,'Données projet'!$E$14+1,1))-AVERAGE(OFFSET($H$3,0,0,'Données projet'!$E$14+1,1))</f>
        <v>502.4879901989737</v>
      </c>
      <c r="DU113" s="59">
        <f t="shared" si="98"/>
        <v>226.06453328626355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84.881622929248095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84.881622929248095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-5.6843418860808015E-14</v>
      </c>
      <c r="EK113" s="17">
        <f>EJ113*VLOOKUP('Données projet'!$B$15,Paramètres!$A$1:$I$89,3,0)*VLOOKUP('Données projet'!$B$15,Paramètres!$A$1:$I$89,5,0)</f>
        <v>-3.2543994166189806E-14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192.76157155207764</v>
      </c>
      <c r="EP113" s="59">
        <f t="shared" si="100"/>
        <v>413.66427458788348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15.262419282689907</v>
      </c>
      <c r="EW113" s="21">
        <f>EXP(-LN(2)/25)*EW112+(1-EXP(-LN(2)/25))/(LN(2)/25)*Calculateur!ER113*Calculateur!ET113*VLOOKUP('Données projet'!$B$15,Paramètres!$A$1:$I$89,3,0)*0.475*44/12</f>
        <v>2.0323932266542184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17.294812509344126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69.234152276504815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1.05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3.85</v>
      </c>
      <c r="H114" s="66">
        <f t="shared" si="56"/>
        <v>241.26666666666665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6.8850000000000025</v>
      </c>
      <c r="N114" s="13">
        <f>IF('Données projet'!$A$36&gt;35,N113+M114-V113,IF(A114&lt;'Données projet'!$A$36,$K$205^A114,IF(A114='Données projet'!$A$36,'Données projet'!$B$36,N113+M114-V113)))</f>
        <v>342.28</v>
      </c>
      <c r="O114" s="13">
        <f>N114*VLOOKUP('Données projet'!$B$9,Paramètres!$A$1:$I$89,3,0)*VLOOKUP('Données projet'!$B$9,Paramètres!$A$1:$I$89,5,0)</f>
        <v>309.69494399999996</v>
      </c>
      <c r="P114" s="13">
        <f t="shared" si="87"/>
        <v>73.205118687418178</v>
      </c>
      <c r="Q114" s="20">
        <f t="shared" si="107"/>
        <v>666.88427584725321</v>
      </c>
      <c r="R114" s="59">
        <f t="shared" si="55"/>
        <v>957.45821526245754</v>
      </c>
      <c r="S114" s="59">
        <f ca="1">AVERAGE(OFFSET($R$3,0,0,'Données projet'!$E$9+1,1))-AVERAGE(OFFSET($H$3,0,0,'Données projet'!$E$9+1,1))</f>
        <v>480.34707165277229</v>
      </c>
      <c r="T114" s="59">
        <f t="shared" si="88"/>
        <v>217.17128038304531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79.124499547941568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79.124499547941568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457.12742400000025</v>
      </c>
      <c r="AK114" s="13">
        <f t="shared" si="89"/>
        <v>103.26686723070357</v>
      </c>
      <c r="AL114" s="20">
        <f t="shared" si="58"/>
        <v>976.02005722680917</v>
      </c>
      <c r="AM114" s="59">
        <f t="shared" si="59"/>
        <v>1266.5939966420135</v>
      </c>
      <c r="AN114" s="59">
        <f ca="1">AVERAGE(OFFSET($AM$3,0,0,'Données projet'!$E$10+1,1))-AVERAGE(OFFSET($H$3,0,0,'Données projet'!$E$10+1,1))</f>
        <v>596.64394969449609</v>
      </c>
      <c r="AO114" s="59">
        <f t="shared" si="90"/>
        <v>312.55704723516362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142.9356131251175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142.9356131251175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212.28480000000002</v>
      </c>
      <c r="BF114" s="13">
        <f t="shared" si="91"/>
        <v>52.434557099704193</v>
      </c>
      <c r="BG114" s="20">
        <f t="shared" si="61"/>
        <v>461.05288028198476</v>
      </c>
      <c r="BH114" s="59">
        <f t="shared" si="62"/>
        <v>751.62681969718903</v>
      </c>
      <c r="BI114" s="59">
        <f ca="1">AVERAGE(OFFSET($BH$3,0,0,'Données projet'!$E$11+1,1))-AVERAGE(OFFSET($H$3,0,0,'Données projet'!$E$11+1,1))</f>
        <v>360.53625471540249</v>
      </c>
      <c r="BJ114" s="59">
        <f t="shared" si="92"/>
        <v>326.66299410556076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45.149595619304336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45.149595619304336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253.79640000000001</v>
      </c>
      <c r="CA114" s="13">
        <f t="shared" si="93"/>
        <v>61.39816832228076</v>
      </c>
      <c r="CB114" s="20">
        <f t="shared" si="64"/>
        <v>548.96387316130563</v>
      </c>
      <c r="CC114" s="59">
        <f t="shared" si="65"/>
        <v>839.53781257650985</v>
      </c>
      <c r="CD114" s="59">
        <f ca="1">AVERAGE(OFFSET($CC$3,0,0,'Données projet'!$E$12+1,1))-AVERAGE(OFFSET($H$3,0,0,'Données projet'!$E$12+1,1))</f>
        <v>358.39045200457502</v>
      </c>
      <c r="CE114" s="59">
        <f t="shared" si="94"/>
        <v>349.48764057925109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28.77568677439147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28.77568677439147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210.25641025641013</v>
      </c>
      <c r="CU114" s="17">
        <f>CT114*VLOOKUP('Données projet'!$B$13,Paramètres!$A$1:$I$89,3,0)*VLOOKUP('Données projet'!$B$13,Paramètres!$A$1:$I$89,5,0)</f>
        <v>163.99999999999991</v>
      </c>
      <c r="CV114" s="13">
        <f t="shared" si="95"/>
        <v>41.743425908362248</v>
      </c>
      <c r="CW114" s="20">
        <f t="shared" si="67"/>
        <v>358.33646679039742</v>
      </c>
      <c r="CX114" s="59">
        <f t="shared" si="68"/>
        <v>648.9104062056017</v>
      </c>
      <c r="CY114" s="59">
        <f ca="1">AVERAGE(OFFSET($CX$3,0,0,'Données projet'!$E$13+1,1))-AVERAGE(OFFSET($H$3,0,0,'Données projet'!$E$13+1,1))</f>
        <v>201.71903756761543</v>
      </c>
      <c r="CZ114" s="59">
        <f t="shared" si="96"/>
        <v>200.66422845182711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14.057214500968783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14.057214500968783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6.8850000000000025</v>
      </c>
      <c r="DO114" s="12">
        <f>IF('Données projet'!$A$166&gt;35,DO113+DN114-DW113,IF(A114&lt;'Données projet'!$A$166,$DL$205^A114,IF(A114='Données projet'!$A$166,'Données projet'!$B$166,DO113+DN114-DW113)))</f>
        <v>342.28</v>
      </c>
      <c r="DP114" s="17">
        <f>DO114*VLOOKUP('Données projet'!$B$14,Paramètres!$A$1:$I$89,3,0)*VLOOKUP('Données projet'!$B$14,Paramètres!$A$1:$I$89,5,0)</f>
        <v>325.71364799999998</v>
      </c>
      <c r="DQ114" s="13">
        <f t="shared" si="97"/>
        <v>76.540961977096387</v>
      </c>
      <c r="DR114" s="20">
        <f t="shared" si="70"/>
        <v>700.59344571010945</v>
      </c>
      <c r="DS114" s="59">
        <f t="shared" si="71"/>
        <v>991.16738512531379</v>
      </c>
      <c r="DT114" s="59">
        <f ca="1">AVERAGE(OFFSET($DS$3,0,0,'Données projet'!$E$14+1,1))-AVERAGE(OFFSET($H$3,0,0,'Données projet'!$E$14+1,1))</f>
        <v>502.4879901989737</v>
      </c>
      <c r="DU114" s="59">
        <f t="shared" si="98"/>
        <v>226.06453328626355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83.217146076283399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83.217146076283399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-5.6843418860808015E-14</v>
      </c>
      <c r="EK114" s="17">
        <f>EJ114*VLOOKUP('Données projet'!$B$15,Paramètres!$A$1:$I$89,3,0)*VLOOKUP('Données projet'!$B$15,Paramètres!$A$1:$I$89,5,0)</f>
        <v>-3.2543994166189806E-14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192.76157155207764</v>
      </c>
      <c r="EP114" s="59">
        <f t="shared" si="100"/>
        <v>413.66427458788348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14.963132549712917</v>
      </c>
      <c r="EW114" s="21">
        <f>EXP(-LN(2)/25)*EW113+(1-EXP(-LN(2)/25))/(LN(2)/25)*Calculateur!ER114*Calculateur!ET114*VLOOKUP('Données projet'!$B$15,Paramètres!$A$1:$I$89,3,0)*0.475*44/12</f>
        <v>1.9768173269924441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16.939949876705359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69.247438022328438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1.05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3.85</v>
      </c>
      <c r="H115" s="66">
        <f t="shared" si="56"/>
        <v>241.26666666666665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6.8850000000000025</v>
      </c>
      <c r="N115" s="13">
        <f>IF('Données projet'!$A$36&gt;35,N114+M115-V114,IF(A115&lt;'Données projet'!$A$36,$K$205^A115,IF(A115='Données projet'!$A$36,'Données projet'!$B$36,N114+M115-V114)))</f>
        <v>349.16499999999996</v>
      </c>
      <c r="O115" s="13">
        <f>N115*VLOOKUP('Données projet'!$B$9,Paramètres!$A$1:$I$89,3,0)*VLOOKUP('Données projet'!$B$9,Paramètres!$A$1:$I$89,5,0)</f>
        <v>315.92449199999993</v>
      </c>
      <c r="P115" s="13">
        <f t="shared" si="87"/>
        <v>74.504733407269114</v>
      </c>
      <c r="Q115" s="20">
        <f t="shared" si="107"/>
        <v>679.99756758432682</v>
      </c>
      <c r="R115" s="59">
        <f t="shared" si="55"/>
        <v>970.61937631493004</v>
      </c>
      <c r="S115" s="59">
        <f ca="1">AVERAGE(OFFSET($R$3,0,0,'Données projet'!$E$9+1,1))-AVERAGE(OFFSET($H$3,0,0,'Données projet'!$E$9+1,1))</f>
        <v>480.34707165277229</v>
      </c>
      <c r="T115" s="59">
        <f t="shared" si="88"/>
        <v>217.17128038304531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77.572916372985759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77.572916372985759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466.66206600000032</v>
      </c>
      <c r="AK115" s="13">
        <f t="shared" si="89"/>
        <v>105.1677719878311</v>
      </c>
      <c r="AL115" s="20">
        <f t="shared" si="58"/>
        <v>995.93696782880636</v>
      </c>
      <c r="AM115" s="59">
        <f t="shared" si="59"/>
        <v>1286.5587765594096</v>
      </c>
      <c r="AN115" s="59">
        <f ca="1">AVERAGE(OFFSET($AM$3,0,0,'Données projet'!$E$10+1,1))-AVERAGE(OFFSET($H$3,0,0,'Données projet'!$E$10+1,1))</f>
        <v>596.64394969449609</v>
      </c>
      <c r="AO115" s="59">
        <f t="shared" si="90"/>
        <v>312.55704723516362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140.13273293384944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140.13273293384944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212.28480000000002</v>
      </c>
      <c r="BF115" s="13">
        <f t="shared" si="91"/>
        <v>52.434557099704193</v>
      </c>
      <c r="BG115" s="20">
        <f t="shared" si="61"/>
        <v>461.05288028198476</v>
      </c>
      <c r="BH115" s="59">
        <f t="shared" si="62"/>
        <v>751.67468901258803</v>
      </c>
      <c r="BI115" s="59">
        <f ca="1">AVERAGE(OFFSET($BH$3,0,0,'Données projet'!$E$11+1,1))-AVERAGE(OFFSET($H$3,0,0,'Données projet'!$E$11+1,1))</f>
        <v>360.53625471540249</v>
      </c>
      <c r="BJ115" s="59">
        <f t="shared" si="92"/>
        <v>326.66299410556076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44.264239587743901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44.264239587743901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253.79640000000001</v>
      </c>
      <c r="CA115" s="13">
        <f t="shared" si="93"/>
        <v>61.39816832228076</v>
      </c>
      <c r="CB115" s="20">
        <f t="shared" si="64"/>
        <v>548.96387316130563</v>
      </c>
      <c r="CC115" s="59">
        <f t="shared" si="65"/>
        <v>839.58568189190885</v>
      </c>
      <c r="CD115" s="59">
        <f ca="1">AVERAGE(OFFSET($CC$3,0,0,'Données projet'!$E$12+1,1))-AVERAGE(OFFSET($H$3,0,0,'Données projet'!$E$12+1,1))</f>
        <v>358.39045200457502</v>
      </c>
      <c r="CE115" s="59">
        <f t="shared" si="94"/>
        <v>349.48764057925109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28.211413108181524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28.211413108181524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210.25641025641013</v>
      </c>
      <c r="CU115" s="17">
        <f>CT115*VLOOKUP('Données projet'!$B$13,Paramètres!$A$1:$I$89,3,0)*VLOOKUP('Données projet'!$B$13,Paramètres!$A$1:$I$89,5,0)</f>
        <v>163.99999999999991</v>
      </c>
      <c r="CV115" s="13">
        <f t="shared" si="95"/>
        <v>41.743425908362248</v>
      </c>
      <c r="CW115" s="20">
        <f t="shared" si="67"/>
        <v>358.33646679039742</v>
      </c>
      <c r="CX115" s="59">
        <f t="shared" si="68"/>
        <v>648.95827552100059</v>
      </c>
      <c r="CY115" s="59">
        <f ca="1">AVERAGE(OFFSET($CX$3,0,0,'Données projet'!$E$13+1,1))-AVERAGE(OFFSET($H$3,0,0,'Données projet'!$E$13+1,1))</f>
        <v>201.71903756761543</v>
      </c>
      <c r="CZ115" s="59">
        <f t="shared" si="96"/>
        <v>200.66422845182711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13.781561098659013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13.781561098659013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6.8850000000000025</v>
      </c>
      <c r="DO115" s="12">
        <f>IF('Données projet'!$A$166&gt;35,DO114+DN115-DW114,IF(A115&lt;'Données projet'!$A$166,$DL$205^A115,IF(A115='Données projet'!$A$166,'Données projet'!$B$166,DO114+DN115-DW114)))</f>
        <v>349.16499999999996</v>
      </c>
      <c r="DP115" s="17">
        <f>DO115*VLOOKUP('Données projet'!$B$14,Paramètres!$A$1:$I$89,3,0)*VLOOKUP('Données projet'!$B$14,Paramètres!$A$1:$I$89,5,0)</f>
        <v>332.26541399999996</v>
      </c>
      <c r="DQ115" s="13">
        <f t="shared" si="97"/>
        <v>77.899798116434297</v>
      </c>
      <c r="DR115" s="20">
        <f t="shared" si="70"/>
        <v>714.37107776945629</v>
      </c>
      <c r="DS115" s="59">
        <f t="shared" si="71"/>
        <v>1004.9928865000595</v>
      </c>
      <c r="DT115" s="59">
        <f ca="1">AVERAGE(OFFSET($DS$3,0,0,'Données projet'!$E$14+1,1))-AVERAGE(OFFSET($H$3,0,0,'Données projet'!$E$14+1,1))</f>
        <v>502.4879901989737</v>
      </c>
      <c r="DU115" s="59">
        <f t="shared" si="98"/>
        <v>226.06453328626355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81.585308599174709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81.585308599174709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-5.6843418860808015E-14</v>
      </c>
      <c r="EK115" s="17">
        <f>EJ115*VLOOKUP('Données projet'!$B$15,Paramètres!$A$1:$I$89,3,0)*VLOOKUP('Données projet'!$B$15,Paramètres!$A$1:$I$89,5,0)</f>
        <v>-3.2543994166189806E-14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192.76157155207764</v>
      </c>
      <c r="EP115" s="59">
        <f t="shared" si="100"/>
        <v>413.66427458788348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14.669714647022724</v>
      </c>
      <c r="EW115" s="21">
        <f>EXP(-LN(2)/25)*EW114+(1-EXP(-LN(2)/25))/(LN(2)/25)*Calculateur!ER115*Calculateur!ET115*VLOOKUP('Données projet'!$B$15,Paramètres!$A$1:$I$89,3,0)*0.475*44/12</f>
        <v>1.9227611532295306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16.592475800252256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69.260493290164518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1.05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3.85</v>
      </c>
      <c r="H116" s="66">
        <f t="shared" si="56"/>
        <v>241.26666666666665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356.05</v>
      </c>
      <c r="L116" s="12">
        <f>VLOOKUP(A116,'Données projet'!$A$35:$I$55,9,0)</f>
        <v>6.8850000000000025</v>
      </c>
      <c r="M116" s="12">
        <f t="array" ref="M116">INDEX(L:L,MIN(IF(ISNUMBER(L116:L312),ROW(L116:L312),"")))</f>
        <v>6.8850000000000025</v>
      </c>
      <c r="N116" s="13">
        <f>IF('Données projet'!$A$36&gt;35,N115+M116-V115,IF(A116&lt;'Données projet'!$A$36,$K$205^A116,IF(A116='Données projet'!$A$36,'Données projet'!$B$36,N115+M116-V115)))</f>
        <v>356.04999999999995</v>
      </c>
      <c r="O116" s="13">
        <f>N116*VLOOKUP('Données projet'!$B$9,Paramètres!$A$1:$I$89,3,0)*VLOOKUP('Données projet'!$B$9,Paramètres!$A$1:$I$89,5,0)</f>
        <v>322.15403999999995</v>
      </c>
      <c r="P116" s="13">
        <f t="shared" si="87"/>
        <v>75.80136842886715</v>
      </c>
      <c r="Q116" s="20">
        <f t="shared" si="107"/>
        <v>693.10566968027672</v>
      </c>
      <c r="R116" s="59">
        <f t="shared" si="55"/>
        <v>983.77451730067651</v>
      </c>
      <c r="S116" s="59">
        <f ca="1">AVERAGE(OFFSET($R$3,0,0,'Données projet'!$E$9+1,1))-AVERAGE(OFFSET($H$3,0,0,'Données projet'!$E$9+1,1))</f>
        <v>480.34707165277229</v>
      </c>
      <c r="T116" s="59">
        <f t="shared" si="88"/>
        <v>217.17128038304531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40.479999999999997</v>
      </c>
      <c r="W116" s="16">
        <f>IF(ISNA(VLOOKUP(A116,'Données projet'!$A$35:$I$55,5,0)),0%,VLOOKUP(A116,'Données projet'!$A$35:$I$55,5,0)*VLOOKUP('Données projet'!$B$9,Paramètres!$A$1:$I$89,7,0))</f>
        <v>0.43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93.462155296739311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93.462155296739311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476.1967080000004</v>
      </c>
      <c r="AK116" s="13">
        <f t="shared" si="89"/>
        <v>107.06416098502906</v>
      </c>
      <c r="AL116" s="20">
        <f t="shared" si="58"/>
        <v>1015.8460134822595</v>
      </c>
      <c r="AM116" s="59">
        <f t="shared" si="59"/>
        <v>1306.5148611026593</v>
      </c>
      <c r="AN116" s="59">
        <f ca="1">AVERAGE(OFFSET($AM$3,0,0,'Données projet'!$E$10+1,1))-AVERAGE(OFFSET($H$3,0,0,'Données projet'!$E$10+1,1))</f>
        <v>596.64394969449609</v>
      </c>
      <c r="AO116" s="59">
        <f t="shared" si="90"/>
        <v>312.55704723516362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137.38481551354403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137.38481551354403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212.28480000000002</v>
      </c>
      <c r="BF116" s="13">
        <f t="shared" si="91"/>
        <v>52.434557099704193</v>
      </c>
      <c r="BG116" s="20">
        <f t="shared" si="61"/>
        <v>461.05288028198476</v>
      </c>
      <c r="BH116" s="59">
        <f t="shared" si="62"/>
        <v>751.72172790238449</v>
      </c>
      <c r="BI116" s="59">
        <f ca="1">AVERAGE(OFFSET($BH$3,0,0,'Données projet'!$E$11+1,1))-AVERAGE(OFFSET($H$3,0,0,'Données projet'!$E$11+1,1))</f>
        <v>360.53625471540249</v>
      </c>
      <c r="BJ116" s="59">
        <f t="shared" si="92"/>
        <v>326.66299410556076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43.396244847948509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43.396244847948509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253.79640000000001</v>
      </c>
      <c r="CA116" s="13">
        <f t="shared" si="93"/>
        <v>61.39816832228076</v>
      </c>
      <c r="CB116" s="20">
        <f t="shared" si="64"/>
        <v>548.96387316130563</v>
      </c>
      <c r="CC116" s="59">
        <f t="shared" si="65"/>
        <v>839.6327207817053</v>
      </c>
      <c r="CD116" s="59">
        <f ca="1">AVERAGE(OFFSET($CC$3,0,0,'Données projet'!$E$12+1,1))-AVERAGE(OFFSET($H$3,0,0,'Données projet'!$E$12+1,1))</f>
        <v>358.39045200457502</v>
      </c>
      <c r="CE116" s="59">
        <f t="shared" si="94"/>
        <v>349.48764057925109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27.658204504393005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27.658204504393005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210.25641025641013</v>
      </c>
      <c r="CU116" s="17">
        <f>CT116*VLOOKUP('Données projet'!$B$13,Paramètres!$A$1:$I$89,3,0)*VLOOKUP('Données projet'!$B$13,Paramètres!$A$1:$I$89,5,0)</f>
        <v>163.99999999999991</v>
      </c>
      <c r="CV116" s="13">
        <f t="shared" si="95"/>
        <v>41.743425908362248</v>
      </c>
      <c r="CW116" s="20">
        <f t="shared" si="67"/>
        <v>358.33646679039742</v>
      </c>
      <c r="CX116" s="59">
        <f t="shared" si="68"/>
        <v>649.00531441079715</v>
      </c>
      <c r="CY116" s="59">
        <f ca="1">AVERAGE(OFFSET($CX$3,0,0,'Données projet'!$E$13+1,1))-AVERAGE(OFFSET($H$3,0,0,'Données projet'!$E$13+1,1))</f>
        <v>201.71903756761543</v>
      </c>
      <c r="CZ116" s="59">
        <f t="shared" si="96"/>
        <v>200.66422845182711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13.511313091436564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13.511313091436564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356.05</v>
      </c>
      <c r="DM116" s="12">
        <f>VLOOKUP(A116,'Données projet'!$A$165:$I$185,9,0)</f>
        <v>6.8850000000000025</v>
      </c>
      <c r="DN116" s="12">
        <f t="array" ref="DN116">INDEX(DM:DM,MIN(IF(ISNUMBER(DM116:DM312),ROW(DM116:DM312),"")))</f>
        <v>6.8850000000000025</v>
      </c>
      <c r="DO116" s="12">
        <f>IF('Données projet'!$A$166&gt;35,DO115+DN116-DW115,IF(A116&lt;'Données projet'!$A$166,$DL$205^A116,IF(A116='Données projet'!$A$166,'Données projet'!$B$166,DO115+DN116-DW115)))</f>
        <v>356.04999999999995</v>
      </c>
      <c r="DP116" s="17">
        <f>DO116*VLOOKUP('Données projet'!$B$14,Paramètres!$A$1:$I$89,3,0)*VLOOKUP('Données projet'!$B$14,Paramètres!$A$1:$I$89,5,0)</f>
        <v>338.81717999999995</v>
      </c>
      <c r="DQ116" s="13">
        <f t="shared" si="97"/>
        <v>79.255518777308779</v>
      </c>
      <c r="DR116" s="20">
        <f t="shared" si="70"/>
        <v>728.1432837038127</v>
      </c>
      <c r="DS116" s="59">
        <f t="shared" si="71"/>
        <v>1018.8121313242125</v>
      </c>
      <c r="DT116" s="59">
        <f ca="1">AVERAGE(OFFSET($DS$3,0,0,'Données projet'!$E$14+1,1))-AVERAGE(OFFSET($H$3,0,0,'Données projet'!$E$14+1,1))</f>
        <v>502.4879901989737</v>
      </c>
      <c r="DU116" s="59">
        <f t="shared" si="98"/>
        <v>226.06453328626355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40.479999999999997</v>
      </c>
      <c r="DX116" s="16">
        <f>IF(ISNA(VLOOKUP(A116,'Données projet'!$A$165:$I$185,5,0)),0%,VLOOKUP(A116,'Données projet'!$A$165:$I$185,5,0)*VLOOKUP('Données projet'!$B$14,Paramètres!$A$1:$I$89,7,0))</f>
        <v>0.43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98.296404708639656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98.296404708639656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-5.6843418860808015E-14</v>
      </c>
      <c r="EK116" s="17">
        <f>EJ116*VLOOKUP('Données projet'!$B$15,Paramètres!$A$1:$I$89,3,0)*VLOOKUP('Données projet'!$B$15,Paramètres!$A$1:$I$89,5,0)</f>
        <v>-3.2543994166189806E-14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192.76157155207764</v>
      </c>
      <c r="EP116" s="59">
        <f t="shared" si="100"/>
        <v>413.66427458788348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14.382050490437036</v>
      </c>
      <c r="EW116" s="21">
        <f>EXP(-LN(2)/25)*EW115+(1-EXP(-LN(2)/25))/(LN(2)/25)*Calculateur!ER116*Calculateur!ET116*VLOOKUP('Données projet'!$B$15,Paramètres!$A$1:$I$89,3,0)*0.475*44/12</f>
        <v>1.8701831483808544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16.252233638817891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69.273322078290846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1.05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3.85</v>
      </c>
      <c r="H117" s="66">
        <f t="shared" si="56"/>
        <v>241.26666666666665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7.4200000000000017</v>
      </c>
      <c r="N117" s="13">
        <f>IF('Données projet'!$A$36&gt;35,N116+M117-V116,IF(A117&lt;'Données projet'!$A$36,$K$205^A117,IF(A117='Données projet'!$A$36,'Données projet'!$B$36,N116+M117-V116)))</f>
        <v>322.98999999999995</v>
      </c>
      <c r="O117" s="13">
        <f>N117*VLOOKUP('Données projet'!$B$9,Paramètres!$A$1:$I$89,3,0)*VLOOKUP('Données projet'!$B$9,Paramètres!$A$1:$I$89,5,0)</f>
        <v>292.24135199999995</v>
      </c>
      <c r="P117" s="13">
        <f t="shared" si="87"/>
        <v>69.54748076489652</v>
      </c>
      <c r="Q117" s="20">
        <f t="shared" si="107"/>
        <v>630.11555039886127</v>
      </c>
      <c r="R117" s="59">
        <f t="shared" si="55"/>
        <v>920.83062088948282</v>
      </c>
      <c r="S117" s="59">
        <f ca="1">AVERAGE(OFFSET($R$3,0,0,'Données projet'!$E$9+1,1))-AVERAGE(OFFSET($H$3,0,0,'Données projet'!$E$9+1,1))</f>
        <v>480.34707165277229</v>
      </c>
      <c r="T117" s="59">
        <f t="shared" si="88"/>
        <v>217.17128038304531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91.629419437656082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91.629419437656082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485.73135000000036</v>
      </c>
      <c r="AK117" s="13">
        <f t="shared" si="89"/>
        <v>108.95613505960884</v>
      </c>
      <c r="AL117" s="20">
        <f t="shared" si="58"/>
        <v>1035.7473698121528</v>
      </c>
      <c r="AM117" s="59">
        <f t="shared" si="59"/>
        <v>1326.4624403027742</v>
      </c>
      <c r="AN117" s="59">
        <f ca="1">AVERAGE(OFFSET($AM$3,0,0,'Données projet'!$E$10+1,1))-AVERAGE(OFFSET($H$3,0,0,'Données projet'!$E$10+1,1))</f>
        <v>596.64394969449609</v>
      </c>
      <c r="AO117" s="59">
        <f t="shared" si="90"/>
        <v>312.55704723516362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134.69078307778668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134.69078307778668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212.28480000000002</v>
      </c>
      <c r="BF117" s="13">
        <f t="shared" si="91"/>
        <v>52.434557099704193</v>
      </c>
      <c r="BG117" s="20">
        <f t="shared" si="61"/>
        <v>461.05288028198476</v>
      </c>
      <c r="BH117" s="59">
        <f t="shared" si="62"/>
        <v>751.76795077260624</v>
      </c>
      <c r="BI117" s="59">
        <f ca="1">AVERAGE(OFFSET($BH$3,0,0,'Données projet'!$E$11+1,1))-AVERAGE(OFFSET($H$3,0,0,'Données projet'!$E$11+1,1))</f>
        <v>360.53625471540249</v>
      </c>
      <c r="BJ117" s="59">
        <f t="shared" si="92"/>
        <v>326.66299410556076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42.545270955575987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42.545270955575987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253.79640000000001</v>
      </c>
      <c r="CA117" s="13">
        <f t="shared" si="93"/>
        <v>61.39816832228076</v>
      </c>
      <c r="CB117" s="20">
        <f t="shared" si="64"/>
        <v>548.96387316130563</v>
      </c>
      <c r="CC117" s="59">
        <f t="shared" si="65"/>
        <v>839.67894365192706</v>
      </c>
      <c r="CD117" s="59">
        <f ca="1">AVERAGE(OFFSET($CC$3,0,0,'Données projet'!$E$12+1,1))-AVERAGE(OFFSET($H$3,0,0,'Données projet'!$E$12+1,1))</f>
        <v>358.39045200457502</v>
      </c>
      <c r="CE117" s="59">
        <f t="shared" si="94"/>
        <v>349.48764057925109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27.115843983900849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27.115843983900849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210.25641025641013</v>
      </c>
      <c r="CU117" s="17">
        <f>CT117*VLOOKUP('Données projet'!$B$13,Paramètres!$A$1:$I$89,3,0)*VLOOKUP('Données projet'!$B$13,Paramètres!$A$1:$I$89,5,0)</f>
        <v>163.99999999999991</v>
      </c>
      <c r="CV117" s="13">
        <f t="shared" si="95"/>
        <v>41.743425908362248</v>
      </c>
      <c r="CW117" s="20">
        <f t="shared" si="67"/>
        <v>358.33646679039742</v>
      </c>
      <c r="CX117" s="59">
        <f t="shared" si="68"/>
        <v>649.05153728101891</v>
      </c>
      <c r="CY117" s="59">
        <f ca="1">AVERAGE(OFFSET($CX$3,0,0,'Données projet'!$E$13+1,1))-AVERAGE(OFFSET($H$3,0,0,'Données projet'!$E$13+1,1))</f>
        <v>201.71903756761543</v>
      </c>
      <c r="CZ117" s="59">
        <f t="shared" si="96"/>
        <v>200.66422845182711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13.24636448280074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13.24636448280074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7.4200000000000017</v>
      </c>
      <c r="DO117" s="12">
        <f>IF('Données projet'!$A$166&gt;35,DO116+DN117-DW116,IF(A117&lt;'Données projet'!$A$166,$DL$205^A117,IF(A117='Données projet'!$A$166,'Données projet'!$B$166,DO116+DN117-DW116)))</f>
        <v>322.98999999999995</v>
      </c>
      <c r="DP117" s="17">
        <f>DO117*VLOOKUP('Données projet'!$B$14,Paramètres!$A$1:$I$89,3,0)*VLOOKUP('Données projet'!$B$14,Paramètres!$A$1:$I$89,5,0)</f>
        <v>307.35728399999994</v>
      </c>
      <c r="DQ117" s="13">
        <f t="shared" si="97"/>
        <v>72.71665118881495</v>
      </c>
      <c r="DR117" s="20">
        <f t="shared" si="70"/>
        <v>661.96210378718581</v>
      </c>
      <c r="DS117" s="59">
        <f t="shared" si="71"/>
        <v>952.67717427780735</v>
      </c>
      <c r="DT117" s="59">
        <f ca="1">AVERAGE(OFFSET($DS$3,0,0,'Données projet'!$E$14+1,1))-AVERAGE(OFFSET($H$3,0,0,'Données projet'!$E$14+1,1))</f>
        <v>502.4879901989737</v>
      </c>
      <c r="DU117" s="59">
        <f t="shared" si="98"/>
        <v>226.06453328626355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96.368872167190048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96.368872167190048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-5.6843418860808015E-14</v>
      </c>
      <c r="EK117" s="17">
        <f>EJ117*VLOOKUP('Données projet'!$B$15,Paramètres!$A$1:$I$89,3,0)*VLOOKUP('Données projet'!$B$15,Paramètres!$A$1:$I$89,5,0)</f>
        <v>-3.2543994166189806E-14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192.76157155207764</v>
      </c>
      <c r="EP117" s="59">
        <f t="shared" si="100"/>
        <v>413.66427458788348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14.100027252504184</v>
      </c>
      <c r="EW117" s="21">
        <f>EXP(-LN(2)/25)*EW116+(1-EXP(-LN(2)/25))/(LN(2)/25)*Calculateur!ER117*Calculateur!ET117*VLOOKUP('Données projet'!$B$15,Paramètres!$A$1:$I$89,3,0)*0.475*44/12</f>
        <v>1.8190428918397226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15.919070144343905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69.285928315624048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1.05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3.85</v>
      </c>
      <c r="H118" s="66">
        <f t="shared" si="56"/>
        <v>241.26666666666665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7.4200000000000017</v>
      </c>
      <c r="N118" s="13">
        <f>IF('Données projet'!$A$36&gt;35,N117+M118-V117,IF(A118&lt;'Données projet'!$A$36,$K$205^A118,IF(A118='Données projet'!$A$36,'Données projet'!$B$36,N117+M118-V117)))</f>
        <v>330.40999999999997</v>
      </c>
      <c r="O118" s="13">
        <f>N118*VLOOKUP('Données projet'!$B$9,Paramètres!$A$1:$I$89,3,0)*VLOOKUP('Données projet'!$B$9,Paramètres!$A$1:$I$89,5,0)</f>
        <v>298.95496799999995</v>
      </c>
      <c r="P118" s="13">
        <f t="shared" si="87"/>
        <v>70.957340155469637</v>
      </c>
      <c r="Q118" s="20">
        <f t="shared" si="107"/>
        <v>644.2639367041096</v>
      </c>
      <c r="R118" s="59">
        <f t="shared" si="55"/>
        <v>935.02442820149338</v>
      </c>
      <c r="S118" s="59">
        <f ca="1">AVERAGE(OFFSET($R$3,0,0,'Données projet'!$E$9+1,1))-AVERAGE(OFFSET($H$3,0,0,'Données projet'!$E$9+1,1))</f>
        <v>480.34707165277229</v>
      </c>
      <c r="T118" s="59">
        <f t="shared" si="88"/>
        <v>217.17128038304531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89.832622410910986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89.832622410910986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495.26599200000038</v>
      </c>
      <c r="AK118" s="13">
        <f t="shared" si="89"/>
        <v>110.84379086369486</v>
      </c>
      <c r="AL118" s="20">
        <f t="shared" si="58"/>
        <v>1055.6412051542693</v>
      </c>
      <c r="AM118" s="59">
        <f t="shared" si="59"/>
        <v>1346.4016966516531</v>
      </c>
      <c r="AN118" s="59">
        <f ca="1">AVERAGE(OFFSET($AM$3,0,0,'Données projet'!$E$10+1,1))-AVERAGE(OFFSET($H$3,0,0,'Données projet'!$E$10+1,1))</f>
        <v>596.64394969449609</v>
      </c>
      <c r="AO118" s="59">
        <f t="shared" si="90"/>
        <v>312.55704723516362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132.049578974897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132.049578974897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212.28480000000002</v>
      </c>
      <c r="BF118" s="13">
        <f t="shared" si="91"/>
        <v>52.434557099704193</v>
      </c>
      <c r="BG118" s="20">
        <f t="shared" si="61"/>
        <v>461.05288028198476</v>
      </c>
      <c r="BH118" s="59">
        <f t="shared" si="62"/>
        <v>751.81337177936848</v>
      </c>
      <c r="BI118" s="59">
        <f ca="1">AVERAGE(OFFSET($BH$3,0,0,'Données projet'!$E$11+1,1))-AVERAGE(OFFSET($H$3,0,0,'Données projet'!$E$11+1,1))</f>
        <v>360.53625471540249</v>
      </c>
      <c r="BJ118" s="59">
        <f t="shared" si="92"/>
        <v>326.66299410556076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41.710984142190071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41.710984142190071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253.79640000000001</v>
      </c>
      <c r="CA118" s="13">
        <f t="shared" si="93"/>
        <v>61.39816832228076</v>
      </c>
      <c r="CB118" s="20">
        <f t="shared" si="64"/>
        <v>548.96387316130563</v>
      </c>
      <c r="CC118" s="59">
        <f t="shared" si="65"/>
        <v>839.72436465868941</v>
      </c>
      <c r="CD118" s="59">
        <f ca="1">AVERAGE(OFFSET($CC$3,0,0,'Données projet'!$E$12+1,1))-AVERAGE(OFFSET($H$3,0,0,'Données projet'!$E$12+1,1))</f>
        <v>358.39045200457502</v>
      </c>
      <c r="CE118" s="59">
        <f t="shared" si="94"/>
        <v>349.48764057925109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26.584118822408289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26.584118822408289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210.25641025641013</v>
      </c>
      <c r="CU118" s="17">
        <f>CT118*VLOOKUP('Données projet'!$B$13,Paramètres!$A$1:$I$89,3,0)*VLOOKUP('Données projet'!$B$13,Paramètres!$A$1:$I$89,5,0)</f>
        <v>163.99999999999991</v>
      </c>
      <c r="CV118" s="13">
        <f t="shared" si="95"/>
        <v>41.743425908362248</v>
      </c>
      <c r="CW118" s="20">
        <f t="shared" si="67"/>
        <v>358.33646679039742</v>
      </c>
      <c r="CX118" s="59">
        <f t="shared" si="68"/>
        <v>649.09695828778126</v>
      </c>
      <c r="CY118" s="59">
        <f ca="1">AVERAGE(OFFSET($CX$3,0,0,'Données projet'!$E$13+1,1))-AVERAGE(OFFSET($H$3,0,0,'Données projet'!$E$13+1,1))</f>
        <v>201.71903756761543</v>
      </c>
      <c r="CZ118" s="59">
        <f t="shared" si="96"/>
        <v>200.66422845182711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12.986611354777569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12.986611354777569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7.4200000000000017</v>
      </c>
      <c r="DO118" s="12">
        <f>IF('Données projet'!$A$166&gt;35,DO117+DN118-DW117,IF(A118&lt;'Données projet'!$A$166,$DL$205^A118,IF(A118='Données projet'!$A$166,'Données projet'!$B$166,DO117+DN118-DW117)))</f>
        <v>330.40999999999997</v>
      </c>
      <c r="DP118" s="17">
        <f>DO118*VLOOKUP('Données projet'!$B$14,Paramètres!$A$1:$I$89,3,0)*VLOOKUP('Données projet'!$B$14,Paramètres!$A$1:$I$89,5,0)</f>
        <v>314.41815600000001</v>
      </c>
      <c r="DQ118" s="13">
        <f t="shared" si="97"/>
        <v>74.190755676886184</v>
      </c>
      <c r="DR118" s="20">
        <f t="shared" si="70"/>
        <v>676.8271878372434</v>
      </c>
      <c r="DS118" s="59">
        <f t="shared" si="71"/>
        <v>967.58767933462718</v>
      </c>
      <c r="DT118" s="59">
        <f ca="1">AVERAGE(OFFSET($DS$3,0,0,'Données projet'!$E$14+1,1))-AVERAGE(OFFSET($H$3,0,0,'Données projet'!$E$14+1,1))</f>
        <v>502.4879901989737</v>
      </c>
      <c r="DU118" s="59">
        <f t="shared" si="98"/>
        <v>226.06453328626355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94.479137363199513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94.479137363199513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-5.6843418860808015E-14</v>
      </c>
      <c r="EK118" s="17">
        <f>EJ118*VLOOKUP('Données projet'!$B$15,Paramètres!$A$1:$I$89,3,0)*VLOOKUP('Données projet'!$B$15,Paramètres!$A$1:$I$89,5,0)</f>
        <v>-3.2543994166189806E-14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192.76157155207764</v>
      </c>
      <c r="EP118" s="59">
        <f t="shared" si="100"/>
        <v>413.66427458788348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13.823534318250005</v>
      </c>
      <c r="EW118" s="21">
        <f>EXP(-LN(2)/25)*EW117+(1-EXP(-LN(2)/25))/(LN(2)/25)*Calculateur!ER118*Calculateur!ET118*VLOOKUP('Données projet'!$B$15,Paramètres!$A$1:$I$89,3,0)*0.475*44/12</f>
        <v>1.7693010683030572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15.592835386553062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69.298315862922848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1.05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3.85</v>
      </c>
      <c r="H119" s="66">
        <f t="shared" si="56"/>
        <v>241.26666666666665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7.4200000000000017</v>
      </c>
      <c r="N119" s="13">
        <f>IF('Données projet'!$A$36&gt;35,N118+M119-V118,IF(A119&lt;'Données projet'!$A$36,$K$205^A119,IF(A119='Données projet'!$A$36,'Données projet'!$B$36,N118+M119-V118)))</f>
        <v>337.83</v>
      </c>
      <c r="O119" s="13">
        <f>N119*VLOOKUP('Données projet'!$B$9,Paramètres!$A$1:$I$89,3,0)*VLOOKUP('Données projet'!$B$9,Paramètres!$A$1:$I$89,5,0)</f>
        <v>305.66858400000001</v>
      </c>
      <c r="P119" s="13">
        <f t="shared" si="87"/>
        <v>72.363518675095591</v>
      </c>
      <c r="Q119" s="20">
        <f t="shared" si="107"/>
        <v>658.4059121591248</v>
      </c>
      <c r="R119" s="59">
        <f t="shared" si="55"/>
        <v>949.21103671034962</v>
      </c>
      <c r="S119" s="59">
        <f ca="1">AVERAGE(OFFSET($R$3,0,0,'Données projet'!$E$9+1,1))-AVERAGE(OFFSET($H$3,0,0,'Données projet'!$E$9+1,1))</f>
        <v>480.34707165277229</v>
      </c>
      <c r="T119" s="59">
        <f t="shared" si="88"/>
        <v>217.17128038304531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88.07105947792239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88.07105947792239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504.80063400000034</v>
      </c>
      <c r="AK119" s="13">
        <f t="shared" si="89"/>
        <v>112.72722111509829</v>
      </c>
      <c r="AL119" s="20">
        <f t="shared" si="58"/>
        <v>1075.5276809921299</v>
      </c>
      <c r="AM119" s="59">
        <f t="shared" si="59"/>
        <v>1366.3328055433549</v>
      </c>
      <c r="AN119" s="59">
        <f ca="1">AVERAGE(OFFSET($AM$3,0,0,'Données projet'!$E$10+1,1))-AVERAGE(OFFSET($H$3,0,0,'Données projet'!$E$10+1,1))</f>
        <v>596.64394969449609</v>
      </c>
      <c r="AO119" s="59">
        <f t="shared" si="90"/>
        <v>312.55704723516362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129.46016727348956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129.46016727348956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212.28480000000002</v>
      </c>
      <c r="BF119" s="13">
        <f t="shared" si="91"/>
        <v>52.434557099704193</v>
      </c>
      <c r="BG119" s="20">
        <f t="shared" si="61"/>
        <v>461.05288028198476</v>
      </c>
      <c r="BH119" s="59">
        <f t="shared" si="62"/>
        <v>751.85800483320963</v>
      </c>
      <c r="BI119" s="59">
        <f ca="1">AVERAGE(OFFSET($BH$3,0,0,'Données projet'!$E$11+1,1))-AVERAGE(OFFSET($H$3,0,0,'Données projet'!$E$11+1,1))</f>
        <v>360.53625471540249</v>
      </c>
      <c r="BJ119" s="59">
        <f t="shared" si="92"/>
        <v>326.66299410556076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40.893057184349942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40.893057184349942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253.79640000000001</v>
      </c>
      <c r="CA119" s="13">
        <f t="shared" si="93"/>
        <v>61.39816832228076</v>
      </c>
      <c r="CB119" s="20">
        <f t="shared" si="64"/>
        <v>548.96387316130563</v>
      </c>
      <c r="CC119" s="59">
        <f t="shared" si="65"/>
        <v>839.76899771253056</v>
      </c>
      <c r="CD119" s="59">
        <f ca="1">AVERAGE(OFFSET($CC$3,0,0,'Données projet'!$E$12+1,1))-AVERAGE(OFFSET($H$3,0,0,'Données projet'!$E$12+1,1))</f>
        <v>358.39045200457502</v>
      </c>
      <c r="CE119" s="59">
        <f t="shared" si="94"/>
        <v>349.48764057925109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26.062820467012276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26.062820467012276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210.25641025641013</v>
      </c>
      <c r="CU119" s="17">
        <f>CT119*VLOOKUP('Données projet'!$B$13,Paramètres!$A$1:$I$89,3,0)*VLOOKUP('Données projet'!$B$13,Paramètres!$A$1:$I$89,5,0)</f>
        <v>163.99999999999991</v>
      </c>
      <c r="CV119" s="13">
        <f t="shared" si="95"/>
        <v>41.743425908362248</v>
      </c>
      <c r="CW119" s="20">
        <f t="shared" si="67"/>
        <v>358.33646679039742</v>
      </c>
      <c r="CX119" s="59">
        <f t="shared" si="68"/>
        <v>649.1415913416223</v>
      </c>
      <c r="CY119" s="59">
        <f ca="1">AVERAGE(OFFSET($CX$3,0,0,'Données projet'!$E$13+1,1))-AVERAGE(OFFSET($H$3,0,0,'Données projet'!$E$13+1,1))</f>
        <v>201.71903756761543</v>
      </c>
      <c r="CZ119" s="59">
        <f t="shared" si="96"/>
        <v>200.66422845182711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12.731951827161168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12.731951827161168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7.4200000000000017</v>
      </c>
      <c r="DO119" s="12">
        <f>IF('Données projet'!$A$166&gt;35,DO118+DN119-DW118,IF(A119&lt;'Données projet'!$A$166,$DL$205^A119,IF(A119='Données projet'!$A$166,'Données projet'!$B$166,DO118+DN119-DW118)))</f>
        <v>337.83</v>
      </c>
      <c r="DP119" s="17">
        <f>DO119*VLOOKUP('Données projet'!$B$14,Paramètres!$A$1:$I$89,3,0)*VLOOKUP('Données projet'!$B$14,Paramètres!$A$1:$I$89,5,0)</f>
        <v>321.47902799999997</v>
      </c>
      <c r="DQ119" s="13">
        <f t="shared" si="97"/>
        <v>75.661011562451691</v>
      </c>
      <c r="DR119" s="20">
        <f t="shared" si="70"/>
        <v>691.68556890460331</v>
      </c>
      <c r="DS119" s="59">
        <f t="shared" si="71"/>
        <v>982.49069345582825</v>
      </c>
      <c r="DT119" s="59">
        <f ca="1">AVERAGE(OFFSET($DS$3,0,0,'Données projet'!$E$14+1,1))-AVERAGE(OFFSET($H$3,0,0,'Données projet'!$E$14+1,1))</f>
        <v>502.4879901989737</v>
      </c>
      <c r="DU119" s="59">
        <f t="shared" si="98"/>
        <v>226.06453328626355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92.626459106090806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92.626459106090806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-5.6843418860808015E-14</v>
      </c>
      <c r="EK119" s="17">
        <f>EJ119*VLOOKUP('Données projet'!$B$15,Paramètres!$A$1:$I$89,3,0)*VLOOKUP('Données projet'!$B$15,Paramètres!$A$1:$I$89,5,0)</f>
        <v>-3.2543994166189806E-14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192.76157155207764</v>
      </c>
      <c r="EP119" s="59">
        <f t="shared" si="100"/>
        <v>413.66427458788348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13.552463241792513</v>
      </c>
      <c r="EW119" s="21">
        <f>EXP(-LN(2)/25)*EW118+(1-EXP(-LN(2)/25))/(LN(2)/25)*Calculateur!ER119*Calculateur!ET119*VLOOKUP('Données projet'!$B$15,Paramètres!$A$1:$I$89,3,0)*0.475*44/12</f>
        <v>1.7209194375468106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15.273382679339324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69.310488513970412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1.05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3.85</v>
      </c>
      <c r="H120" s="66">
        <f t="shared" si="56"/>
        <v>241.26666666666665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7.4200000000000017</v>
      </c>
      <c r="N120" s="13">
        <f>IF('Données projet'!$A$36&gt;35,N119+M120-V119,IF(A120&lt;'Données projet'!$A$36,$K$205^A120,IF(A120='Données projet'!$A$36,'Données projet'!$B$36,N119+M120-V119)))</f>
        <v>345.25</v>
      </c>
      <c r="O120" s="13">
        <f>N120*VLOOKUP('Données projet'!$B$9,Paramètres!$A$1:$I$89,3,0)*VLOOKUP('Données projet'!$B$9,Paramètres!$A$1:$I$89,5,0)</f>
        <v>312.38219999999995</v>
      </c>
      <c r="P120" s="13">
        <f t="shared" si="87"/>
        <v>73.766106479148277</v>
      </c>
      <c r="Q120" s="20">
        <f t="shared" si="107"/>
        <v>672.54163378451642</v>
      </c>
      <c r="R120" s="59">
        <f t="shared" si="55"/>
        <v>963.39061710588271</v>
      </c>
      <c r="S120" s="59">
        <f ca="1">AVERAGE(OFFSET($R$3,0,0,'Données projet'!$E$9+1,1))-AVERAGE(OFFSET($H$3,0,0,'Données projet'!$E$9+1,1))</f>
        <v>480.34707165277229</v>
      </c>
      <c r="T120" s="59">
        <f t="shared" si="88"/>
        <v>217.17128038304531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86.344039719602392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86.344039719602392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514.33527600000036</v>
      </c>
      <c r="AK120" s="13">
        <f t="shared" si="89"/>
        <v>114.6065148287007</v>
      </c>
      <c r="AL120" s="20">
        <f t="shared" si="58"/>
        <v>1095.4069523599876</v>
      </c>
      <c r="AM120" s="59">
        <f t="shared" si="59"/>
        <v>1386.255935681354</v>
      </c>
      <c r="AN120" s="59">
        <f ca="1">AVERAGE(OFFSET($AM$3,0,0,'Données projet'!$E$10+1,1))-AVERAGE(OFFSET($H$3,0,0,'Données projet'!$E$10+1,1))</f>
        <v>596.64394969449609</v>
      </c>
      <c r="AO120" s="59">
        <f t="shared" si="90"/>
        <v>312.55704723516362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126.92153235616152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126.92153235616152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212.28480000000002</v>
      </c>
      <c r="BF120" s="13">
        <f t="shared" si="91"/>
        <v>52.434557099704193</v>
      </c>
      <c r="BG120" s="20">
        <f t="shared" si="61"/>
        <v>461.05288028198476</v>
      </c>
      <c r="BH120" s="59">
        <f t="shared" si="62"/>
        <v>751.9018636033511</v>
      </c>
      <c r="BI120" s="59">
        <f ca="1">AVERAGE(OFFSET($BH$3,0,0,'Données projet'!$E$11+1,1))-AVERAGE(OFFSET($H$3,0,0,'Données projet'!$E$11+1,1))</f>
        <v>360.53625471540249</v>
      </c>
      <c r="BJ120" s="59">
        <f t="shared" si="92"/>
        <v>326.66299410556076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40.091169275266871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40.091169275266871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253.79640000000001</v>
      </c>
      <c r="CA120" s="13">
        <f t="shared" si="93"/>
        <v>61.39816832228076</v>
      </c>
      <c r="CB120" s="20">
        <f t="shared" si="64"/>
        <v>548.96387316130563</v>
      </c>
      <c r="CC120" s="59">
        <f t="shared" si="65"/>
        <v>839.81285648267203</v>
      </c>
      <c r="CD120" s="59">
        <f ca="1">AVERAGE(OFFSET($CC$3,0,0,'Données projet'!$E$12+1,1))-AVERAGE(OFFSET($H$3,0,0,'Données projet'!$E$12+1,1))</f>
        <v>358.39045200457502</v>
      </c>
      <c r="CE120" s="59">
        <f t="shared" si="94"/>
        <v>349.48764057925109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25.551744454404975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25.551744454404975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210.25641025641013</v>
      </c>
      <c r="CU120" s="17">
        <f>CT120*VLOOKUP('Données projet'!$B$13,Paramètres!$A$1:$I$89,3,0)*VLOOKUP('Données projet'!$B$13,Paramètres!$A$1:$I$89,5,0)</f>
        <v>163.99999999999991</v>
      </c>
      <c r="CV120" s="13">
        <f t="shared" si="95"/>
        <v>41.743425908362248</v>
      </c>
      <c r="CW120" s="20">
        <f t="shared" si="67"/>
        <v>358.33646679039742</v>
      </c>
      <c r="CX120" s="59">
        <f t="shared" si="68"/>
        <v>649.18545011176377</v>
      </c>
      <c r="CY120" s="59">
        <f ca="1">AVERAGE(OFFSET($CX$3,0,0,'Données projet'!$E$13+1,1))-AVERAGE(OFFSET($H$3,0,0,'Données projet'!$E$13+1,1))</f>
        <v>201.71903756761543</v>
      </c>
      <c r="CZ120" s="59">
        <f t="shared" si="96"/>
        <v>200.66422845182711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12.482286017554351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12.482286017554351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7.4200000000000017</v>
      </c>
      <c r="DO120" s="12">
        <f>IF('Données projet'!$A$166&gt;35,DO119+DN120-DW119,IF(A120&lt;'Données projet'!$A$166,$DL$205^A120,IF(A120='Données projet'!$A$166,'Données projet'!$B$166,DO119+DN120-DW119)))</f>
        <v>345.25</v>
      </c>
      <c r="DP120" s="17">
        <f>DO120*VLOOKUP('Données projet'!$B$14,Paramètres!$A$1:$I$89,3,0)*VLOOKUP('Données projet'!$B$14,Paramètres!$A$1:$I$89,5,0)</f>
        <v>328.53989999999999</v>
      </c>
      <c r="DQ120" s="13">
        <f t="shared" si="97"/>
        <v>77.127513109125545</v>
      </c>
      <c r="DR120" s="20">
        <f t="shared" si="70"/>
        <v>706.53741116506023</v>
      </c>
      <c r="DS120" s="59">
        <f t="shared" si="71"/>
        <v>997.38639448642652</v>
      </c>
      <c r="DT120" s="59">
        <f ca="1">AVERAGE(OFFSET($DS$3,0,0,'Données projet'!$E$14+1,1))-AVERAGE(OFFSET($H$3,0,0,'Données projet'!$E$14+1,1))</f>
        <v>502.4879901989737</v>
      </c>
      <c r="DU120" s="59">
        <f t="shared" si="98"/>
        <v>226.06453328626355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90.810110739581845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90.810110739581845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-5.6843418860808015E-14</v>
      </c>
      <c r="EK120" s="17">
        <f>EJ120*VLOOKUP('Données projet'!$B$15,Paramètres!$A$1:$I$89,3,0)*VLOOKUP('Données projet'!$B$15,Paramètres!$A$1:$I$89,5,0)</f>
        <v>-3.2543994166189806E-14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192.76157155207764</v>
      </c>
      <c r="EP120" s="59">
        <f t="shared" si="100"/>
        <v>413.66427458788348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13.286707703807322</v>
      </c>
      <c r="EW120" s="21">
        <f>EXP(-LN(2)/25)*EW119+(1-EXP(-LN(2)/25))/(LN(2)/25)*Calculateur!ER120*Calculateur!ET120*VLOOKUP('Données projet'!$B$15,Paramètres!$A$1:$I$89,3,0)*0.475*44/12</f>
        <v>1.6738608050278732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14.960568508835195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69.322449996736282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1.05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3.85</v>
      </c>
      <c r="H121" s="66">
        <f t="shared" si="56"/>
        <v>241.26666666666665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7.4200000000000017</v>
      </c>
      <c r="N121" s="13">
        <f>IF('Données projet'!$A$36&gt;35,N120+M121-V120,IF(A121&lt;'Données projet'!$A$36,$K$205^A121,IF(A121='Données projet'!$A$36,'Données projet'!$B$36,N120+M121-V120)))</f>
        <v>352.67</v>
      </c>
      <c r="O121" s="13">
        <f>N121*VLOOKUP('Données projet'!$B$9,Paramètres!$A$1:$I$89,3,0)*VLOOKUP('Données projet'!$B$9,Paramètres!$A$1:$I$89,5,0)</f>
        <v>319.09581600000001</v>
      </c>
      <c r="P121" s="13">
        <f t="shared" si="87"/>
        <v>75.165189626464382</v>
      </c>
      <c r="Q121" s="20">
        <f t="shared" si="107"/>
        <v>686.67125146609214</v>
      </c>
      <c r="R121" s="59">
        <f t="shared" si="55"/>
        <v>977.56333270599157</v>
      </c>
      <c r="S121" s="59">
        <f ca="1">AVERAGE(OFFSET($R$3,0,0,'Données projet'!$E$9+1,1))-AVERAGE(OFFSET($H$3,0,0,'Données projet'!$E$9+1,1))</f>
        <v>480.34707165277229</v>
      </c>
      <c r="T121" s="59">
        <f t="shared" si="88"/>
        <v>217.17128038304531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84.650885765365018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84.650885765365018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523.86991800000044</v>
      </c>
      <c r="AK121" s="13">
        <f t="shared" si="89"/>
        <v>116.48175753019471</v>
      </c>
      <c r="AL121" s="20">
        <f t="shared" si="58"/>
        <v>1115.2791682150898</v>
      </c>
      <c r="AM121" s="59">
        <f t="shared" si="59"/>
        <v>1406.1712494549893</v>
      </c>
      <c r="AN121" s="59">
        <f ca="1">AVERAGE(OFFSET($AM$3,0,0,'Données projet'!$E$10+1,1))-AVERAGE(OFFSET($H$3,0,0,'Données projet'!$E$10+1,1))</f>
        <v>596.64394969449609</v>
      </c>
      <c r="AO121" s="59">
        <f t="shared" si="90"/>
        <v>312.55704723516362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124.43267852114788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124.43267852114788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212.28480000000002</v>
      </c>
      <c r="BF121" s="13">
        <f t="shared" si="91"/>
        <v>52.434557099704193</v>
      </c>
      <c r="BG121" s="20">
        <f t="shared" si="61"/>
        <v>461.05288028198476</v>
      </c>
      <c r="BH121" s="59">
        <f t="shared" si="62"/>
        <v>751.94496152188424</v>
      </c>
      <c r="BI121" s="59">
        <f ca="1">AVERAGE(OFFSET($BH$3,0,0,'Données projet'!$E$11+1,1))-AVERAGE(OFFSET($H$3,0,0,'Données projet'!$E$11+1,1))</f>
        <v>360.53625471540249</v>
      </c>
      <c r="BJ121" s="59">
        <f t="shared" si="92"/>
        <v>326.66299410556076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39.305005898977591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39.305005898977591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253.79640000000001</v>
      </c>
      <c r="CA121" s="13">
        <f t="shared" si="93"/>
        <v>61.39816832228076</v>
      </c>
      <c r="CB121" s="20">
        <f t="shared" si="64"/>
        <v>548.96387316130563</v>
      </c>
      <c r="CC121" s="59">
        <f t="shared" si="65"/>
        <v>839.85595440120505</v>
      </c>
      <c r="CD121" s="59">
        <f ca="1">AVERAGE(OFFSET($CC$3,0,0,'Données projet'!$E$12+1,1))-AVERAGE(OFFSET($H$3,0,0,'Données projet'!$E$12+1,1))</f>
        <v>358.39045200457502</v>
      </c>
      <c r="CE121" s="59">
        <f t="shared" si="94"/>
        <v>349.48764057925109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25.050690330679316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25.050690330679316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210.25641025641013</v>
      </c>
      <c r="CU121" s="17">
        <f>CT121*VLOOKUP('Données projet'!$B$13,Paramètres!$A$1:$I$89,3,0)*VLOOKUP('Données projet'!$B$13,Paramètres!$A$1:$I$89,5,0)</f>
        <v>163.99999999999991</v>
      </c>
      <c r="CV121" s="13">
        <f t="shared" si="95"/>
        <v>41.743425908362248</v>
      </c>
      <c r="CW121" s="20">
        <f t="shared" si="67"/>
        <v>358.33646679039742</v>
      </c>
      <c r="CX121" s="59">
        <f t="shared" si="68"/>
        <v>649.22854803029691</v>
      </c>
      <c r="CY121" s="59">
        <f ca="1">AVERAGE(OFFSET($CX$3,0,0,'Données projet'!$E$13+1,1))-AVERAGE(OFFSET($H$3,0,0,'Données projet'!$E$13+1,1))</f>
        <v>201.71903756761543</v>
      </c>
      <c r="CZ121" s="59">
        <f t="shared" si="96"/>
        <v>200.66422845182711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12.237516002192816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12.237516002192816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7.4200000000000017</v>
      </c>
      <c r="DO121" s="12">
        <f>IF('Données projet'!$A$166&gt;35,DO120+DN121-DW120,IF(A121&lt;'Données projet'!$A$166,$DL$205^A121,IF(A121='Données projet'!$A$166,'Données projet'!$B$166,DO120+DN121-DW120)))</f>
        <v>352.67</v>
      </c>
      <c r="DP121" s="17">
        <f>DO121*VLOOKUP('Données projet'!$B$14,Paramètres!$A$1:$I$89,3,0)*VLOOKUP('Données projet'!$B$14,Paramètres!$A$1:$I$89,5,0)</f>
        <v>335.60077200000001</v>
      </c>
      <c r="DQ121" s="13">
        <f t="shared" si="97"/>
        <v>78.590350297311446</v>
      </c>
      <c r="DR121" s="20">
        <f t="shared" si="70"/>
        <v>721.38287133448409</v>
      </c>
      <c r="DS121" s="59">
        <f t="shared" si="71"/>
        <v>1012.2749525743836</v>
      </c>
      <c r="DT121" s="59">
        <f ca="1">AVERAGE(OFFSET($DS$3,0,0,'Données projet'!$E$14+1,1))-AVERAGE(OFFSET($H$3,0,0,'Données projet'!$E$14+1,1))</f>
        <v>502.4879901989737</v>
      </c>
      <c r="DU121" s="59">
        <f t="shared" si="98"/>
        <v>226.06453328626355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89.029379856677011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89.029379856677011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-5.6843418860808015E-14</v>
      </c>
      <c r="EK121" s="17">
        <f>EJ121*VLOOKUP('Données projet'!$B$15,Paramètres!$A$1:$I$89,3,0)*VLOOKUP('Données projet'!$B$15,Paramètres!$A$1:$I$89,5,0)</f>
        <v>-3.2543994166189806E-14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192.76157155207764</v>
      </c>
      <c r="EP121" s="59">
        <f t="shared" si="100"/>
        <v>413.66427458788348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13.026163469827146</v>
      </c>
      <c r="EW121" s="21">
        <f>EXP(-LN(2)/25)*EW120+(1-EXP(-LN(2)/25))/(LN(2)/25)*Calculateur!ER121*Calculateur!ET121*VLOOKUP('Données projet'!$B$15,Paramètres!$A$1:$I$89,3,0)*0.475*44/12</f>
        <v>1.6280889932898719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14.654252463117018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69.334203974518033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1.05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3.85</v>
      </c>
      <c r="H122" s="66">
        <f t="shared" si="56"/>
        <v>241.26666666666665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7.4200000000000017</v>
      </c>
      <c r="N122" s="13">
        <f>IF('Données projet'!$A$36&gt;35,N121+M122-V121,IF(A122&lt;'Données projet'!$A$36,$K$205^A122,IF(A122='Données projet'!$A$36,'Données projet'!$B$36,N121+M122-V121)))</f>
        <v>360.09000000000003</v>
      </c>
      <c r="O122" s="13">
        <f>N122*VLOOKUP('Données projet'!$B$9,Paramètres!$A$1:$I$89,3,0)*VLOOKUP('Données projet'!$B$9,Paramètres!$A$1:$I$89,5,0)</f>
        <v>325.80943200000002</v>
      </c>
      <c r="P122" s="13">
        <f t="shared" si="87"/>
        <v>76.56085034769346</v>
      </c>
      <c r="Q122" s="20">
        <f t="shared" si="107"/>
        <v>700.79490842223277</v>
      </c>
      <c r="R122" s="59">
        <f t="shared" si="55"/>
        <v>991.72933992813125</v>
      </c>
      <c r="S122" s="59">
        <f ca="1">AVERAGE(OFFSET($R$3,0,0,'Données projet'!$E$9+1,1))-AVERAGE(OFFSET($H$3,0,0,'Données projet'!$E$9+1,1))</f>
        <v>480.34707165277229</v>
      </c>
      <c r="T122" s="59">
        <f t="shared" si="88"/>
        <v>217.17128038304531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82.990933527448291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82.990933527448291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533.4045600000004</v>
      </c>
      <c r="AK122" s="13">
        <f t="shared" si="89"/>
        <v>118.35303145382375</v>
      </c>
      <c r="AL122" s="20">
        <f t="shared" si="58"/>
        <v>1135.1444717820771</v>
      </c>
      <c r="AM122" s="59">
        <f t="shared" si="59"/>
        <v>1426.0789032879757</v>
      </c>
      <c r="AN122" s="59">
        <f ca="1">AVERAGE(OFFSET($AM$3,0,0,'Données projet'!$E$10+1,1))-AVERAGE(OFFSET($H$3,0,0,'Données projet'!$E$10+1,1))</f>
        <v>596.64394969449609</v>
      </c>
      <c r="AO122" s="59">
        <f t="shared" si="90"/>
        <v>312.55704723516362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216.68776309869008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216.68776309869008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212.28480000000002</v>
      </c>
      <c r="BF122" s="13">
        <f t="shared" si="91"/>
        <v>52.434557099704193</v>
      </c>
      <c r="BG122" s="20">
        <f t="shared" si="61"/>
        <v>461.05288028198476</v>
      </c>
      <c r="BH122" s="59">
        <f t="shared" si="62"/>
        <v>751.9873117878833</v>
      </c>
      <c r="BI122" s="59">
        <f ca="1">AVERAGE(OFFSET($BH$3,0,0,'Données projet'!$E$11+1,1))-AVERAGE(OFFSET($H$3,0,0,'Données projet'!$E$11+1,1))</f>
        <v>360.53625471540249</v>
      </c>
      <c r="BJ122" s="59">
        <f t="shared" si="92"/>
        <v>326.66299410556076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38.534258706985035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38.534258706985035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253.79640000000001</v>
      </c>
      <c r="CA122" s="13">
        <f t="shared" si="93"/>
        <v>61.39816832228076</v>
      </c>
      <c r="CB122" s="20">
        <f t="shared" si="64"/>
        <v>548.96387316130563</v>
      </c>
      <c r="CC122" s="59">
        <f t="shared" si="65"/>
        <v>839.89830466720412</v>
      </c>
      <c r="CD122" s="59">
        <f ca="1">AVERAGE(OFFSET($CC$3,0,0,'Données projet'!$E$12+1,1))-AVERAGE(OFFSET($H$3,0,0,'Données projet'!$E$12+1,1))</f>
        <v>358.39045200457502</v>
      </c>
      <c r="CE122" s="59">
        <f t="shared" si="94"/>
        <v>349.48764057925109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24.559461572707079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24.559461572707079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210.25641025641013</v>
      </c>
      <c r="CU122" s="17">
        <f>CT122*VLOOKUP('Données projet'!$B$13,Paramètres!$A$1:$I$89,3,0)*VLOOKUP('Données projet'!$B$13,Paramètres!$A$1:$I$89,5,0)</f>
        <v>163.99999999999991</v>
      </c>
      <c r="CV122" s="13">
        <f t="shared" si="95"/>
        <v>41.743425908362248</v>
      </c>
      <c r="CW122" s="20">
        <f t="shared" si="67"/>
        <v>358.33646679039742</v>
      </c>
      <c r="CX122" s="59">
        <f t="shared" si="68"/>
        <v>649.27089829629585</v>
      </c>
      <c r="CY122" s="59">
        <f ca="1">AVERAGE(OFFSET($CX$3,0,0,'Données projet'!$E$13+1,1))-AVERAGE(OFFSET($H$3,0,0,'Données projet'!$E$13+1,1))</f>
        <v>201.71903756761543</v>
      </c>
      <c r="CZ122" s="59">
        <f t="shared" si="96"/>
        <v>200.66422845182711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11.997545777537553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11.997545777537553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7.4200000000000017</v>
      </c>
      <c r="DO122" s="12">
        <f>IF('Données projet'!$A$166&gt;35,DO121+DN122-DW121,IF(A122&lt;'Données projet'!$A$166,$DL$205^A122,IF(A122='Données projet'!$A$166,'Données projet'!$B$166,DO121+DN122-DW121)))</f>
        <v>360.09000000000003</v>
      </c>
      <c r="DP122" s="17">
        <f>DO122*VLOOKUP('Données projet'!$B$14,Paramètres!$A$1:$I$89,3,0)*VLOOKUP('Données projet'!$B$14,Paramètres!$A$1:$I$89,5,0)</f>
        <v>342.66164400000008</v>
      </c>
      <c r="DQ122" s="13">
        <f t="shared" si="97"/>
        <v>80.049609104781581</v>
      </c>
      <c r="DR122" s="20">
        <f t="shared" si="70"/>
        <v>736.22209915749488</v>
      </c>
      <c r="DS122" s="59">
        <f t="shared" si="71"/>
        <v>1027.1565306633934</v>
      </c>
      <c r="DT122" s="59">
        <f ca="1">AVERAGE(OFFSET($DS$3,0,0,'Données projet'!$E$14+1,1))-AVERAGE(OFFSET($H$3,0,0,'Données projet'!$E$14+1,1))</f>
        <v>502.4879901989737</v>
      </c>
      <c r="DU122" s="59">
        <f t="shared" si="98"/>
        <v>226.06453328626355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87.283568020247358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87.283568020247358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-5.6843418860808015E-14</v>
      </c>
      <c r="EK122" s="17">
        <f>EJ122*VLOOKUP('Données projet'!$B$15,Paramètres!$A$1:$I$89,3,0)*VLOOKUP('Données projet'!$B$15,Paramètres!$A$1:$I$89,5,0)</f>
        <v>-3.2543994166189806E-14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192.76157155207764</v>
      </c>
      <c r="EP122" s="59">
        <f t="shared" si="100"/>
        <v>413.66427458788348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12.770728349359032</v>
      </c>
      <c r="EW122" s="21">
        <f>EXP(-LN(2)/25)*EW121+(1-EXP(-LN(2)/25))/(LN(2)/25)*Calculateur!ER122*Calculateur!ET122*VLOOKUP('Données projet'!$B$15,Paramètres!$A$1:$I$89,3,0)*0.475*44/12</f>
        <v>1.5835688141508812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14.354297163509914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69.345754047063224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1.05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3.85</v>
      </c>
      <c r="H123" s="66">
        <f t="shared" si="56"/>
        <v>241.26666666666665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7.4200000000000017</v>
      </c>
      <c r="N123" s="13">
        <f>IF('Données projet'!$A$36&gt;35,N122+M123-V122,IF(A123&lt;'Données projet'!$A$36,$K$205^A123,IF(A123='Données projet'!$A$36,'Données projet'!$B$36,N122+M123-V122)))</f>
        <v>367.51000000000005</v>
      </c>
      <c r="O123" s="13">
        <f>N123*VLOOKUP('Données projet'!$B$9,Paramètres!$A$1:$I$89,3,0)*VLOOKUP('Données projet'!$B$9,Paramètres!$A$1:$I$89,5,0)</f>
        <v>332.52304800000002</v>
      </c>
      <c r="P123" s="13">
        <f t="shared" si="87"/>
        <v>77.953167290905412</v>
      </c>
      <c r="Q123" s="20">
        <f t="shared" si="107"/>
        <v>714.9127416316602</v>
      </c>
      <c r="R123" s="59">
        <f t="shared" si="55"/>
        <v>1005.8887887211235</v>
      </c>
      <c r="S123" s="59">
        <f ca="1">AVERAGE(OFFSET($R$3,0,0,'Données projet'!$E$9+1,1))-AVERAGE(OFFSET($H$3,0,0,'Données projet'!$E$9+1,1))</f>
        <v>480.34707165277229</v>
      </c>
      <c r="T123" s="59">
        <f t="shared" si="88"/>
        <v>217.17128038304531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81.363531940446222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81.363531940446222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333.81640500000049</v>
      </c>
      <c r="AK123" s="13">
        <f t="shared" si="89"/>
        <v>78.221015013130113</v>
      </c>
      <c r="AL123" s="20">
        <f t="shared" si="58"/>
        <v>717.63183985620242</v>
      </c>
      <c r="AM123" s="59">
        <f t="shared" si="59"/>
        <v>1008.6078869456658</v>
      </c>
      <c r="AN123" s="59">
        <f ca="1">AVERAGE(OFFSET($AM$3,0,0,'Données projet'!$E$10+1,1))-AVERAGE(OFFSET($H$3,0,0,'Données projet'!$E$10+1,1))</f>
        <v>596.64394969449609</v>
      </c>
      <c r="AO123" s="59">
        <f t="shared" si="90"/>
        <v>312.55704723516362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212.43864823080992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212.43864823080992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212.28480000000002</v>
      </c>
      <c r="BF123" s="13">
        <f t="shared" si="91"/>
        <v>52.434557099704193</v>
      </c>
      <c r="BG123" s="20">
        <f t="shared" si="61"/>
        <v>461.05288028198476</v>
      </c>
      <c r="BH123" s="59">
        <f t="shared" si="62"/>
        <v>752.02892737144816</v>
      </c>
      <c r="BI123" s="59">
        <f ca="1">AVERAGE(OFFSET($BH$3,0,0,'Données projet'!$E$11+1,1))-AVERAGE(OFFSET($H$3,0,0,'Données projet'!$E$11+1,1))</f>
        <v>360.53625471540249</v>
      </c>
      <c r="BJ123" s="59">
        <f t="shared" si="92"/>
        <v>326.66299410556076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37.778625397318088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37.778625397318088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253.79640000000001</v>
      </c>
      <c r="CA123" s="13">
        <f t="shared" si="93"/>
        <v>61.39816832228076</v>
      </c>
      <c r="CB123" s="20">
        <f t="shared" si="64"/>
        <v>548.96387316130563</v>
      </c>
      <c r="CC123" s="59">
        <f t="shared" si="65"/>
        <v>839.93992025076909</v>
      </c>
      <c r="CD123" s="59">
        <f ca="1">AVERAGE(OFFSET($CC$3,0,0,'Données projet'!$E$12+1,1))-AVERAGE(OFFSET($H$3,0,0,'Données projet'!$E$12+1,1))</f>
        <v>358.39045200457502</v>
      </c>
      <c r="CE123" s="59">
        <f t="shared" si="94"/>
        <v>349.48764057925109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24.077865511058722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24.077865511058722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210.25641025641013</v>
      </c>
      <c r="CU123" s="17">
        <f>CT123*VLOOKUP('Données projet'!$B$13,Paramètres!$A$1:$I$89,3,0)*VLOOKUP('Données projet'!$B$13,Paramètres!$A$1:$I$89,5,0)</f>
        <v>163.99999999999991</v>
      </c>
      <c r="CV123" s="13">
        <f t="shared" si="95"/>
        <v>41.743425908362248</v>
      </c>
      <c r="CW123" s="20">
        <f t="shared" si="67"/>
        <v>358.33646679039742</v>
      </c>
      <c r="CX123" s="59">
        <f t="shared" si="68"/>
        <v>649.31251387986083</v>
      </c>
      <c r="CY123" s="59">
        <f ca="1">AVERAGE(OFFSET($CX$3,0,0,'Données projet'!$E$13+1,1))-AVERAGE(OFFSET($H$3,0,0,'Données projet'!$E$13+1,1))</f>
        <v>201.71903756761543</v>
      </c>
      <c r="CZ123" s="59">
        <f t="shared" si="96"/>
        <v>200.66422845182711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11.762281222620395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11.762281222620395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7.4200000000000017</v>
      </c>
      <c r="DO123" s="12">
        <f>IF('Données projet'!$A$166&gt;35,DO122+DN123-DW122,IF(A123&lt;'Données projet'!$A$166,$DL$205^A123,IF(A123='Données projet'!$A$166,'Données projet'!$B$166,DO122+DN123-DW122)))</f>
        <v>367.51000000000005</v>
      </c>
      <c r="DP123" s="17">
        <f>DO123*VLOOKUP('Données projet'!$B$14,Paramètres!$A$1:$I$89,3,0)*VLOOKUP('Données projet'!$B$14,Paramètres!$A$1:$I$89,5,0)</f>
        <v>349.72251600000004</v>
      </c>
      <c r="DQ123" s="13">
        <f t="shared" si="97"/>
        <v>81.505371763476234</v>
      </c>
      <c r="DR123" s="20">
        <f t="shared" si="70"/>
        <v>751.05523785472121</v>
      </c>
      <c r="DS123" s="59">
        <f t="shared" si="71"/>
        <v>1042.0312849441846</v>
      </c>
      <c r="DT123" s="59">
        <f ca="1">AVERAGE(OFFSET($DS$3,0,0,'Données projet'!$E$14+1,1))-AVERAGE(OFFSET($H$3,0,0,'Données projet'!$E$14+1,1))</f>
        <v>502.4879901989737</v>
      </c>
      <c r="DU123" s="59">
        <f t="shared" si="98"/>
        <v>226.06453328626355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85.571990489090012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85.571990489090012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-5.6843418860808015E-14</v>
      </c>
      <c r="EK123" s="17">
        <f>EJ123*VLOOKUP('Données projet'!$B$15,Paramètres!$A$1:$I$89,3,0)*VLOOKUP('Données projet'!$B$15,Paramètres!$A$1:$I$89,5,0)</f>
        <v>-3.2543994166189806E-14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192.76157155207764</v>
      </c>
      <c r="EP123" s="59">
        <f t="shared" si="100"/>
        <v>413.66427458788348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12.520302155803257</v>
      </c>
      <c r="EW123" s="21">
        <f>EXP(-LN(2)/25)*EW122+(1-EXP(-LN(2)/25))/(LN(2)/25)*Calculateur!ER123*Calculateur!ET123*VLOOKUP('Données projet'!$B$15,Paramètres!$A$1:$I$89,3,0)*0.475*44/12</f>
        <v>1.5402660416516607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14.060568197454918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69.357103751671843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1.05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3.85</v>
      </c>
      <c r="H124" s="66">
        <f t="shared" si="56"/>
        <v>241.26666666666665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7.4200000000000017</v>
      </c>
      <c r="N124" s="13">
        <f>IF('Données projet'!$A$36&gt;35,N123+M124-V123,IF(A124&lt;'Données projet'!$A$36,$K$205^A124,IF(A124='Données projet'!$A$36,'Données projet'!$B$36,N123+M124-V123)))</f>
        <v>374.93000000000006</v>
      </c>
      <c r="O124" s="13">
        <f>N124*VLOOKUP('Données projet'!$B$9,Paramètres!$A$1:$I$89,3,0)*VLOOKUP('Données projet'!$B$9,Paramètres!$A$1:$I$89,5,0)</f>
        <v>339.23666400000002</v>
      </c>
      <c r="P124" s="13">
        <f t="shared" si="87"/>
        <v>79.342215746802893</v>
      </c>
      <c r="Q124" s="20">
        <f t="shared" si="107"/>
        <v>729.02488222568172</v>
      </c>
      <c r="R124" s="59">
        <f t="shared" si="55"/>
        <v>1020.0418229613738</v>
      </c>
      <c r="S124" s="59">
        <f ca="1">AVERAGE(OFFSET($R$3,0,0,'Données projet'!$E$9+1,1))-AVERAGE(OFFSET($H$3,0,0,'Données projet'!$E$9+1,1))</f>
        <v>480.34707165277229</v>
      </c>
      <c r="T124" s="59">
        <f t="shared" si="88"/>
        <v>217.17128038304531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79.768042705948304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79.768042705948304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333.43869000000046</v>
      </c>
      <c r="AK124" s="13">
        <f t="shared" si="89"/>
        <v>78.142804646517234</v>
      </c>
      <c r="AL124" s="20">
        <f t="shared" si="58"/>
        <v>716.83776984268491</v>
      </c>
      <c r="AM124" s="59">
        <f t="shared" si="59"/>
        <v>1007.854710578377</v>
      </c>
      <c r="AN124" s="59">
        <f ca="1">AVERAGE(OFFSET($AM$3,0,0,'Données projet'!$E$10+1,1))-AVERAGE(OFFSET($H$3,0,0,'Données projet'!$E$10+1,1))</f>
        <v>596.64394969449609</v>
      </c>
      <c r="AO124" s="59">
        <f t="shared" si="90"/>
        <v>312.55704723516362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208.2728559137847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208.2728559137847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212.28480000000002</v>
      </c>
      <c r="BF124" s="13">
        <f t="shared" si="91"/>
        <v>52.434557099704193</v>
      </c>
      <c r="BG124" s="20">
        <f t="shared" si="61"/>
        <v>461.05288028198476</v>
      </c>
      <c r="BH124" s="59">
        <f t="shared" si="62"/>
        <v>752.06982101767676</v>
      </c>
      <c r="BI124" s="59">
        <f ca="1">AVERAGE(OFFSET($BH$3,0,0,'Données projet'!$E$11+1,1))-AVERAGE(OFFSET($H$3,0,0,'Données projet'!$E$11+1,1))</f>
        <v>360.53625471540249</v>
      </c>
      <c r="BJ124" s="59">
        <f t="shared" si="92"/>
        <v>326.66299410556076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37.037809595962898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37.037809595962898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253.79640000000001</v>
      </c>
      <c r="CA124" s="13">
        <f t="shared" si="93"/>
        <v>61.39816832228076</v>
      </c>
      <c r="CB124" s="20">
        <f t="shared" si="64"/>
        <v>548.96387316130563</v>
      </c>
      <c r="CC124" s="59">
        <f t="shared" si="65"/>
        <v>839.98081389699769</v>
      </c>
      <c r="CD124" s="59">
        <f ca="1">AVERAGE(OFFSET($CC$3,0,0,'Données projet'!$E$12+1,1))-AVERAGE(OFFSET($H$3,0,0,'Données projet'!$E$12+1,1))</f>
        <v>358.39045200457502</v>
      </c>
      <c r="CE124" s="59">
        <f t="shared" si="94"/>
        <v>349.48764057925109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23.605713254434693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23.605713254434693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210.25641025641013</v>
      </c>
      <c r="CU124" s="17">
        <f>CT124*VLOOKUP('Données projet'!$B$13,Paramètres!$A$1:$I$89,3,0)*VLOOKUP('Données projet'!$B$13,Paramètres!$A$1:$I$89,5,0)</f>
        <v>163.99999999999991</v>
      </c>
      <c r="CV124" s="13">
        <f t="shared" si="95"/>
        <v>41.743425908362248</v>
      </c>
      <c r="CW124" s="20">
        <f t="shared" si="67"/>
        <v>358.33646679039742</v>
      </c>
      <c r="CX124" s="59">
        <f t="shared" si="68"/>
        <v>649.35340752608954</v>
      </c>
      <c r="CY124" s="59">
        <f ca="1">AVERAGE(OFFSET($CX$3,0,0,'Données projet'!$E$13+1,1))-AVERAGE(OFFSET($H$3,0,0,'Données projet'!$E$13+1,1))</f>
        <v>201.71903756761543</v>
      </c>
      <c r="CZ124" s="59">
        <f t="shared" si="96"/>
        <v>200.66422845182711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11.531630062127952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11.531630062127952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7.4200000000000017</v>
      </c>
      <c r="DO124" s="12">
        <f>IF('Données projet'!$A$166&gt;35,DO123+DN124-DW123,IF(A124&lt;'Données projet'!$A$166,$DL$205^A124,IF(A124='Données projet'!$A$166,'Données projet'!$B$166,DO123+DN124-DW123)))</f>
        <v>374.93000000000006</v>
      </c>
      <c r="DP124" s="17">
        <f>DO124*VLOOKUP('Données projet'!$B$14,Paramètres!$A$1:$I$89,3,0)*VLOOKUP('Données projet'!$B$14,Paramètres!$A$1:$I$89,5,0)</f>
        <v>356.78338800000006</v>
      </c>
      <c r="DQ124" s="13">
        <f t="shared" si="97"/>
        <v>82.957716994978085</v>
      </c>
      <c r="DR124" s="20">
        <f t="shared" si="70"/>
        <v>765.88242453292025</v>
      </c>
      <c r="DS124" s="59">
        <f t="shared" si="71"/>
        <v>1056.8993652686122</v>
      </c>
      <c r="DT124" s="59">
        <f ca="1">AVERAGE(OFFSET($DS$3,0,0,'Données projet'!$E$14+1,1))-AVERAGE(OFFSET($H$3,0,0,'Données projet'!$E$14+1,1))</f>
        <v>502.4879901989737</v>
      </c>
      <c r="DU124" s="59">
        <f t="shared" si="98"/>
        <v>226.06453328626355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83.893975949359444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83.893975949359444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-3.2543994166189806E-14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192.76157155207764</v>
      </c>
      <c r="EP124" s="59">
        <f t="shared" si="100"/>
        <v>413.66427458788348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12.274786667158216</v>
      </c>
      <c r="EW124" s="21">
        <f>EXP(-LN(2)/25)*EW123+(1-EXP(-LN(2)/25))/(LN(2)/25)*Calculateur!ER124*Calculateur!ET124*VLOOKUP('Données projet'!$B$15,Paramètres!$A$1:$I$89,3,0)*0.475*44/12</f>
        <v>1.4981473857436252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13.77293405290184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69.368256564279648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1.05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3.85</v>
      </c>
      <c r="H125" s="66">
        <f t="shared" si="56"/>
        <v>241.26666666666665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7.4200000000000017</v>
      </c>
      <c r="N125" s="13">
        <f>IF('Données projet'!$A$36&gt;35,N124+M125-V124,IF(A125&lt;'Données projet'!$A$36,$K$205^A125,IF(A125='Données projet'!$A$36,'Données projet'!$B$36,N124+M125-V124)))</f>
        <v>382.35000000000008</v>
      </c>
      <c r="O125" s="13">
        <f>N125*VLOOKUP('Données projet'!$B$9,Paramètres!$A$1:$I$89,3,0)*VLOOKUP('Données projet'!$B$9,Paramètres!$A$1:$I$89,5,0)</f>
        <v>345.95028000000008</v>
      </c>
      <c r="P125" s="13">
        <f t="shared" si="87"/>
        <v>80.728067855601395</v>
      </c>
      <c r="Q125" s="20">
        <f t="shared" si="107"/>
        <v>743.13145584850588</v>
      </c>
      <c r="R125" s="59">
        <f t="shared" si="55"/>
        <v>1034.1885808170889</v>
      </c>
      <c r="S125" s="59">
        <f ca="1">AVERAGE(OFFSET($R$3,0,0,'Données projet'!$E$9+1,1))-AVERAGE(OFFSET($H$3,0,0,'Données projet'!$E$9+1,1))</f>
        <v>480.34707165277229</v>
      </c>
      <c r="T125" s="59">
        <f t="shared" si="88"/>
        <v>217.17128038304531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78.203840042186556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78.203840042186556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333.0609750000005</v>
      </c>
      <c r="AK125" s="13">
        <f t="shared" si="89"/>
        <v>78.064583966684552</v>
      </c>
      <c r="AL125" s="20">
        <f t="shared" si="58"/>
        <v>716.04368186697639</v>
      </c>
      <c r="AM125" s="59">
        <f t="shared" si="59"/>
        <v>1007.1008068355595</v>
      </c>
      <c r="AN125" s="59">
        <f ca="1">AVERAGE(OFFSET($AM$3,0,0,'Données projet'!$E$10+1,1))-AVERAGE(OFFSET($H$3,0,0,'Données projet'!$E$10+1,1))</f>
        <v>596.64394969449609</v>
      </c>
      <c r="AO125" s="59">
        <f t="shared" si="90"/>
        <v>312.55704723516362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204.18875224321394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204.18875224321394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212.28480000000002</v>
      </c>
      <c r="BF125" s="13">
        <f t="shared" si="91"/>
        <v>52.434557099704193</v>
      </c>
      <c r="BG125" s="20">
        <f t="shared" si="61"/>
        <v>461.05288028198476</v>
      </c>
      <c r="BH125" s="59">
        <f t="shared" si="62"/>
        <v>752.11000525056784</v>
      </c>
      <c r="BI125" s="59">
        <f ca="1">AVERAGE(OFFSET($BH$3,0,0,'Données projet'!$E$11+1,1))-AVERAGE(OFFSET($H$3,0,0,'Données projet'!$E$11+1,1))</f>
        <v>360.53625471540249</v>
      </c>
      <c r="BJ125" s="59">
        <f t="shared" si="92"/>
        <v>326.66299410556076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36.311520740619258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36.311520740619258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253.79640000000001</v>
      </c>
      <c r="CA125" s="13">
        <f t="shared" si="93"/>
        <v>61.39816832228076</v>
      </c>
      <c r="CB125" s="20">
        <f t="shared" si="64"/>
        <v>548.96387316130563</v>
      </c>
      <c r="CC125" s="59">
        <f t="shared" si="65"/>
        <v>840.02099812988877</v>
      </c>
      <c r="CD125" s="59">
        <f ca="1">AVERAGE(OFFSET($CC$3,0,0,'Données projet'!$E$12+1,1))-AVERAGE(OFFSET($H$3,0,0,'Données projet'!$E$12+1,1))</f>
        <v>358.39045200457502</v>
      </c>
      <c r="CE125" s="59">
        <f t="shared" si="94"/>
        <v>349.48764057925109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23.142819615578624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23.142819615578624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210.25641025641013</v>
      </c>
      <c r="CU125" s="17">
        <f>CT125*VLOOKUP('Données projet'!$B$13,Paramètres!$A$1:$I$89,3,0)*VLOOKUP('Données projet'!$B$13,Paramètres!$A$1:$I$89,5,0)</f>
        <v>163.99999999999991</v>
      </c>
      <c r="CV125" s="13">
        <f t="shared" si="95"/>
        <v>41.743425908362248</v>
      </c>
      <c r="CW125" s="20">
        <f t="shared" si="67"/>
        <v>358.33646679039742</v>
      </c>
      <c r="CX125" s="59">
        <f t="shared" si="68"/>
        <v>649.39359175898051</v>
      </c>
      <c r="CY125" s="59">
        <f ca="1">AVERAGE(OFFSET($CX$3,0,0,'Données projet'!$E$13+1,1))-AVERAGE(OFFSET($H$3,0,0,'Données projet'!$E$13+1,1))</f>
        <v>201.71903756761543</v>
      </c>
      <c r="CZ125" s="59">
        <f t="shared" si="96"/>
        <v>200.66422845182711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11.305501830209451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11.305501830209451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7.4200000000000017</v>
      </c>
      <c r="DO125" s="12">
        <f>IF('Données projet'!$A$166&gt;35,DO124+DN125-DW124,IF(A125&lt;'Données projet'!$A$166,$DL$205^A125,IF(A125='Données projet'!$A$166,'Données projet'!$B$166,DO124+DN125-DW124)))</f>
        <v>382.35000000000008</v>
      </c>
      <c r="DP125" s="17">
        <f>DO125*VLOOKUP('Données projet'!$B$14,Paramètres!$A$1:$I$89,3,0)*VLOOKUP('Données projet'!$B$14,Paramètres!$A$1:$I$89,5,0)</f>
        <v>363.84426000000008</v>
      </c>
      <c r="DQ125" s="13">
        <f t="shared" si="97"/>
        <v>84.4067202268198</v>
      </c>
      <c r="DR125" s="20">
        <f t="shared" si="70"/>
        <v>780.70379056171123</v>
      </c>
      <c r="DS125" s="59">
        <f t="shared" si="71"/>
        <v>1071.7609155302944</v>
      </c>
      <c r="DT125" s="59">
        <f ca="1">AVERAGE(OFFSET($DS$3,0,0,'Données projet'!$E$14+1,1))-AVERAGE(OFFSET($H$3,0,0,'Données projet'!$E$14+1,1))</f>
        <v>502.4879901989737</v>
      </c>
      <c r="DU125" s="59">
        <f t="shared" si="98"/>
        <v>226.06453328626355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82.248866251265184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82.248866251265184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-3.2543994166189806E-14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192.76157155207764</v>
      </c>
      <c r="EP125" s="59">
        <f t="shared" si="100"/>
        <v>413.66427458788348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12.034085587495841</v>
      </c>
      <c r="EW125" s="21">
        <f>EXP(-LN(2)/25)*EW124+(1-EXP(-LN(2)/25))/(LN(2)/25)*Calculateur!ER125*Calculateur!ET125*VLOOKUP('Données projet'!$B$15,Paramètres!$A$1:$I$89,3,0)*0.475*44/12</f>
        <v>1.4571804666963188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13.49126605419216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69.379215900522667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1.05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3.85</v>
      </c>
      <c r="H126" s="66">
        <f t="shared" si="56"/>
        <v>241.26666666666665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7.4200000000000017</v>
      </c>
      <c r="N126" s="13">
        <f>IF('Données projet'!$A$36&gt;35,N125+M126-V125,IF(A126&lt;'Données projet'!$A$36,$K$205^A126,IF(A126='Données projet'!$A$36,'Données projet'!$B$36,N125+M126-V125)))</f>
        <v>389.7700000000001</v>
      </c>
      <c r="O126" s="13">
        <f>N126*VLOOKUP('Données projet'!$B$9,Paramètres!$A$1:$I$89,3,0)*VLOOKUP('Données projet'!$B$9,Paramètres!$A$1:$I$89,5,0)</f>
        <v>352.66389600000008</v>
      </c>
      <c r="P126" s="13">
        <f t="shared" si="87"/>
        <v>82.1107927973964</v>
      </c>
      <c r="Q126" s="20">
        <f t="shared" si="107"/>
        <v>757.23258298879875</v>
      </c>
      <c r="R126" s="59">
        <f t="shared" si="55"/>
        <v>1048.3291950836708</v>
      </c>
      <c r="S126" s="59">
        <f ca="1">AVERAGE(OFFSET($R$3,0,0,'Données projet'!$E$9+1,1))-AVERAGE(OFFSET($H$3,0,0,'Données projet'!$E$9+1,1))</f>
        <v>480.34707165277229</v>
      </c>
      <c r="T126" s="59">
        <f t="shared" si="88"/>
        <v>217.17128038304531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76.670310438591756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76.670310438591756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332.68326000000047</v>
      </c>
      <c r="AK126" s="13">
        <f t="shared" si="89"/>
        <v>77.986352960573853</v>
      </c>
      <c r="AL126" s="20">
        <f t="shared" si="58"/>
        <v>715.24957590633358</v>
      </c>
      <c r="AM126" s="59">
        <f t="shared" si="59"/>
        <v>1006.3461880012055</v>
      </c>
      <c r="AN126" s="59">
        <f ca="1">AVERAGE(OFFSET($AM$3,0,0,'Données projet'!$E$10+1,1))-AVERAGE(OFFSET($H$3,0,0,'Données projet'!$E$10+1,1))</f>
        <v>596.64394969449609</v>
      </c>
      <c r="AO126" s="59">
        <f t="shared" si="90"/>
        <v>312.55704723516362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248.67465915989186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248.67465915989186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212.28480000000002</v>
      </c>
      <c r="BF126" s="13">
        <f t="shared" si="91"/>
        <v>52.434557099704193</v>
      </c>
      <c r="BG126" s="20">
        <f t="shared" si="61"/>
        <v>461.05288028198476</v>
      </c>
      <c r="BH126" s="59">
        <f t="shared" si="62"/>
        <v>752.14949237685676</v>
      </c>
      <c r="BI126" s="59">
        <f ca="1">AVERAGE(OFFSET($BH$3,0,0,'Données projet'!$E$11+1,1))-AVERAGE(OFFSET($H$3,0,0,'Données projet'!$E$11+1,1))</f>
        <v>360.53625471540249</v>
      </c>
      <c r="BJ126" s="59">
        <f t="shared" si="92"/>
        <v>326.66299410556076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35.599473966736447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35.599473966736447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253.79640000000001</v>
      </c>
      <c r="CA126" s="13">
        <f t="shared" si="93"/>
        <v>61.39816832228076</v>
      </c>
      <c r="CB126" s="20">
        <f t="shared" si="64"/>
        <v>548.96387316130563</v>
      </c>
      <c r="CC126" s="59">
        <f t="shared" si="65"/>
        <v>840.06048525617757</v>
      </c>
      <c r="CD126" s="59">
        <f ca="1">AVERAGE(OFFSET($CC$3,0,0,'Données projet'!$E$12+1,1))-AVERAGE(OFFSET($H$3,0,0,'Données projet'!$E$12+1,1))</f>
        <v>358.39045200457502</v>
      </c>
      <c r="CE126" s="59">
        <f t="shared" si="94"/>
        <v>349.48764057925109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22.689003038643282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22.689003038643282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210.25641025641013</v>
      </c>
      <c r="CU126" s="17">
        <f>CT126*VLOOKUP('Données projet'!$B$13,Paramètres!$A$1:$I$89,3,0)*VLOOKUP('Données projet'!$B$13,Paramètres!$A$1:$I$89,5,0)</f>
        <v>163.99999999999991</v>
      </c>
      <c r="CV126" s="13">
        <f t="shared" si="95"/>
        <v>41.743425908362248</v>
      </c>
      <c r="CW126" s="20">
        <f t="shared" si="67"/>
        <v>358.33646679039742</v>
      </c>
      <c r="CX126" s="59">
        <f t="shared" si="68"/>
        <v>649.43307888526942</v>
      </c>
      <c r="CY126" s="59">
        <f ca="1">AVERAGE(OFFSET($CX$3,0,0,'Données projet'!$E$13+1,1))-AVERAGE(OFFSET($H$3,0,0,'Données projet'!$E$13+1,1))</f>
        <v>201.71903756761543</v>
      </c>
      <c r="CZ126" s="59">
        <f t="shared" si="96"/>
        <v>200.66422845182711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11.083807834994269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11.083807834994269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7.4200000000000017</v>
      </c>
      <c r="DO126" s="12">
        <f>IF('Données projet'!$A$166&gt;35,DO125+DN126-DW125,IF(A126&lt;'Données projet'!$A$166,$DL$205^A126,IF(A126='Données projet'!$A$166,'Données projet'!$B$166,DO125+DN126-DW125)))</f>
        <v>389.7700000000001</v>
      </c>
      <c r="DP126" s="17">
        <f>DO126*VLOOKUP('Données projet'!$B$14,Paramètres!$A$1:$I$89,3,0)*VLOOKUP('Données projet'!$B$14,Paramètres!$A$1:$I$89,5,0)</f>
        <v>370.90513200000009</v>
      </c>
      <c r="DQ126" s="13">
        <f t="shared" si="97"/>
        <v>85.852453791526244</v>
      </c>
      <c r="DR126" s="20">
        <f t="shared" si="70"/>
        <v>795.51946192024172</v>
      </c>
      <c r="DS126" s="59">
        <f t="shared" si="71"/>
        <v>1086.6160740151138</v>
      </c>
      <c r="DT126" s="59">
        <f ca="1">AVERAGE(OFFSET($DS$3,0,0,'Données projet'!$E$14+1,1))-AVERAGE(OFFSET($H$3,0,0,'Données projet'!$E$14+1,1))</f>
        <v>502.4879901989737</v>
      </c>
      <c r="DU126" s="59">
        <f t="shared" si="98"/>
        <v>226.06453328626355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80.636016150932718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80.636016150932718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-3.2543994166189806E-14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192.76157155207764</v>
      </c>
      <c r="EP126" s="59">
        <f t="shared" si="100"/>
        <v>413.66427458788348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11.798104509192484</v>
      </c>
      <c r="EW126" s="21">
        <f>EXP(-LN(2)/25)*EW125+(1-EXP(-LN(2)/25))/(LN(2)/25)*Calculateur!ER126*Calculateur!ET126*VLOOKUP('Données projet'!$B$15,Paramètres!$A$1:$I$89,3,0)*0.475*44/12</f>
        <v>1.4173337902047176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13.215438299397201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69.389985116783265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1.05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3.85</v>
      </c>
      <c r="H127" s="66">
        <f t="shared" si="56"/>
        <v>241.26666666666665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7.4200000000000017</v>
      </c>
      <c r="N127" s="13">
        <f>IF('Données projet'!$A$36&gt;35,N126+M127-V126,IF(A127&lt;'Données projet'!$A$36,$K$205^A127,IF(A127='Données projet'!$A$36,'Données projet'!$B$36,N126+M127-V126)))</f>
        <v>397.19000000000011</v>
      </c>
      <c r="O127" s="13">
        <f>N127*VLOOKUP('Données projet'!$B$9,Paramètres!$A$1:$I$89,3,0)*VLOOKUP('Données projet'!$B$9,Paramètres!$A$1:$I$89,5,0)</f>
        <v>359.37751200000008</v>
      </c>
      <c r="P127" s="13">
        <f t="shared" si="87"/>
        <v>83.490456967625121</v>
      </c>
      <c r="Q127" s="20">
        <f t="shared" si="107"/>
        <v>771.32837928528045</v>
      </c>
      <c r="R127" s="59">
        <f t="shared" si="55"/>
        <v>1062.4637934930802</v>
      </c>
      <c r="S127" s="59">
        <f ca="1">AVERAGE(OFFSET($R$3,0,0,'Données projet'!$E$9+1,1))-AVERAGE(OFFSET($H$3,0,0,'Données projet'!$E$9+1,1))</f>
        <v>480.34707165277229</v>
      </c>
      <c r="T127" s="59">
        <f t="shared" si="88"/>
        <v>217.17128038304531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75.166852415162751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75.166852415162751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230.87512500000042</v>
      </c>
      <c r="AK127" s="13">
        <f t="shared" si="89"/>
        <v>56.471862173466945</v>
      </c>
      <c r="AL127" s="20">
        <f t="shared" si="58"/>
        <v>500.46266932712228</v>
      </c>
      <c r="AM127" s="59">
        <f t="shared" si="59"/>
        <v>791.59808353492213</v>
      </c>
      <c r="AN127" s="59">
        <f ca="1">AVERAGE(OFFSET($AM$3,0,0,'Données projet'!$E$10+1,1))-AVERAGE(OFFSET($H$3,0,0,'Données projet'!$E$10+1,1))</f>
        <v>596.64394969449609</v>
      </c>
      <c r="AO127" s="59">
        <f t="shared" si="90"/>
        <v>312.55704723516362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243.79830077033165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243.79830077033165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212.28480000000002</v>
      </c>
      <c r="BF127" s="13">
        <f t="shared" si="91"/>
        <v>52.434557099704193</v>
      </c>
      <c r="BG127" s="20">
        <f t="shared" si="61"/>
        <v>461.05288028198476</v>
      </c>
      <c r="BH127" s="59">
        <f t="shared" si="62"/>
        <v>752.18829448978454</v>
      </c>
      <c r="BI127" s="59">
        <f ca="1">AVERAGE(OFFSET($BH$3,0,0,'Données projet'!$E$11+1,1))-AVERAGE(OFFSET($H$3,0,0,'Données projet'!$E$11+1,1))</f>
        <v>360.53625471540249</v>
      </c>
      <c r="BJ127" s="59">
        <f t="shared" si="92"/>
        <v>326.66299410556076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34.90138999578383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34.90138999578383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253.79640000000001</v>
      </c>
      <c r="CA127" s="13">
        <f t="shared" si="93"/>
        <v>61.39816832228076</v>
      </c>
      <c r="CB127" s="20">
        <f t="shared" si="64"/>
        <v>548.96387316130563</v>
      </c>
      <c r="CC127" s="59">
        <f t="shared" si="65"/>
        <v>840.09928736910547</v>
      </c>
      <c r="CD127" s="59">
        <f ca="1">AVERAGE(OFFSET($CC$3,0,0,'Données projet'!$E$12+1,1))-AVERAGE(OFFSET($H$3,0,0,'Données projet'!$E$12+1,1))</f>
        <v>358.39045200457502</v>
      </c>
      <c r="CE127" s="59">
        <f t="shared" si="94"/>
        <v>349.48764057925109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22.244085527980861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22.244085527980861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210.25641025641013</v>
      </c>
      <c r="CU127" s="17">
        <f>CT127*VLOOKUP('Données projet'!$B$13,Paramètres!$A$1:$I$89,3,0)*VLOOKUP('Données projet'!$B$13,Paramètres!$A$1:$I$89,5,0)</f>
        <v>163.99999999999991</v>
      </c>
      <c r="CV127" s="13">
        <f t="shared" si="95"/>
        <v>41.743425908362248</v>
      </c>
      <c r="CW127" s="20">
        <f t="shared" si="67"/>
        <v>358.33646679039742</v>
      </c>
      <c r="CX127" s="59">
        <f t="shared" si="68"/>
        <v>649.47188099819721</v>
      </c>
      <c r="CY127" s="59">
        <f ca="1">AVERAGE(OFFSET($CX$3,0,0,'Données projet'!$E$13+1,1))-AVERAGE(OFFSET($H$3,0,0,'Données projet'!$E$13+1,1))</f>
        <v>201.71903756761543</v>
      </c>
      <c r="CZ127" s="59">
        <f t="shared" si="96"/>
        <v>200.66422845182711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10.866461123805271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10.866461123805271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7.4200000000000017</v>
      </c>
      <c r="DO127" s="12">
        <f>IF('Données projet'!$A$166&gt;35,DO126+DN127-DW126,IF(A127&lt;'Données projet'!$A$166,$DL$205^A127,IF(A127='Données projet'!$A$166,'Données projet'!$B$166,DO126+DN127-DW126)))</f>
        <v>397.19000000000011</v>
      </c>
      <c r="DP127" s="17">
        <f>DO127*VLOOKUP('Données projet'!$B$14,Paramètres!$A$1:$I$89,3,0)*VLOOKUP('Données projet'!$B$14,Paramètres!$A$1:$I$89,5,0)</f>
        <v>377.96600400000011</v>
      </c>
      <c r="DQ127" s="13">
        <f t="shared" si="97"/>
        <v>87.294987110071048</v>
      </c>
      <c r="DR127" s="20">
        <f t="shared" si="70"/>
        <v>810.32955951670726</v>
      </c>
      <c r="DS127" s="59">
        <f t="shared" si="71"/>
        <v>1101.464973724507</v>
      </c>
      <c r="DT127" s="59">
        <f ca="1">AVERAGE(OFFSET($DS$3,0,0,'Données projet'!$E$14+1,1))-AVERAGE(OFFSET($H$3,0,0,'Données projet'!$E$14+1,1))</f>
        <v>502.4879901989737</v>
      </c>
      <c r="DU127" s="59">
        <f t="shared" si="98"/>
        <v>226.06453328626355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79.05479305732635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79.05479305732635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-3.2543994166189806E-14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192.76157155207764</v>
      </c>
      <c r="EP127" s="59">
        <f t="shared" si="100"/>
        <v>413.66427458788348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11.566750875900411</v>
      </c>
      <c r="EW127" s="21">
        <f>EXP(-LN(2)/25)*EW126+(1-EXP(-LN(2)/25))/(LN(2)/25)*Calculateur!ER127*Calculateur!ET127*VLOOKUP('Données projet'!$B$15,Paramètres!$A$1:$I$89,3,0)*0.475*44/12</f>
        <v>1.378576723177225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12.945327599077636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69.400567511218114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1.05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3.85</v>
      </c>
      <c r="H128" s="66">
        <f t="shared" si="56"/>
        <v>241.26666666666665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404.61</v>
      </c>
      <c r="L128" s="12">
        <f>VLOOKUP(A128,'Données projet'!$A$35:$I$55,9,0)</f>
        <v>7.4200000000000017</v>
      </c>
      <c r="M128" s="12">
        <f t="array" ref="M128">INDEX(L:L,MIN(IF(ISNUMBER(L128:L324),ROW(L128:L324),"")))</f>
        <v>7.4200000000000017</v>
      </c>
      <c r="N128" s="13">
        <f>IF('Données projet'!$A$36&gt;35,N127+M128-V127,IF(A128&lt;'Données projet'!$A$36,$K$205^A128,IF(A128='Données projet'!$A$36,'Données projet'!$B$36,N127+M128-V127)))</f>
        <v>404.61000000000013</v>
      </c>
      <c r="O128" s="13">
        <f>N128*VLOOKUP('Données projet'!$B$9,Paramètres!$A$1:$I$89,3,0)*VLOOKUP('Données projet'!$B$9,Paramètres!$A$1:$I$89,5,0)</f>
        <v>366.09112800000008</v>
      </c>
      <c r="P128" s="13">
        <f t="shared" si="87"/>
        <v>84.867124139045259</v>
      </c>
      <c r="Q128" s="20">
        <f t="shared" si="107"/>
        <v>785.41895580883727</v>
      </c>
      <c r="R128" s="59">
        <f t="shared" si="55"/>
        <v>1076.592498999654</v>
      </c>
      <c r="S128" s="59">
        <f ca="1">AVERAGE(OFFSET($R$3,0,0,'Données projet'!$E$9+1,1))-AVERAGE(OFFSET($H$3,0,0,'Données projet'!$E$9+1,1))</f>
        <v>480.34707165277229</v>
      </c>
      <c r="T128" s="59">
        <f t="shared" si="88"/>
        <v>217.17128038304531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61.5</v>
      </c>
      <c r="W128" s="16">
        <f>IF(ISNA(VLOOKUP(A128,'Données projet'!$A$35:$I$55,5,0)),0%,VLOOKUP(A128,'Données projet'!$A$35:$I$55,5,0)*VLOOKUP('Données projet'!$B$9,Paramètres!$A$1:$I$89,7,0))</f>
        <v>0.43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100.1439480427247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100.1439480427247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231.07539000000048</v>
      </c>
      <c r="AK128" s="13">
        <f t="shared" si="89"/>
        <v>56.515142826931459</v>
      </c>
      <c r="AL128" s="20">
        <f t="shared" si="58"/>
        <v>500.88684467357308</v>
      </c>
      <c r="AM128" s="59">
        <f t="shared" si="59"/>
        <v>792.06038786438978</v>
      </c>
      <c r="AN128" s="59">
        <f ca="1">AVERAGE(OFFSET($AM$3,0,0,'Données projet'!$E$10+1,1))-AVERAGE(OFFSET($H$3,0,0,'Données projet'!$E$10+1,1))</f>
        <v>596.64394969449609</v>
      </c>
      <c r="AO128" s="59">
        <f t="shared" si="90"/>
        <v>312.55704723516362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239.01756479450577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239.01756479450577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212.28480000000002</v>
      </c>
      <c r="BF128" s="13">
        <f t="shared" si="91"/>
        <v>52.434557099704193</v>
      </c>
      <c r="BG128" s="20">
        <f t="shared" si="61"/>
        <v>461.05288028198476</v>
      </c>
      <c r="BH128" s="59">
        <f t="shared" si="62"/>
        <v>752.22642347280146</v>
      </c>
      <c r="BI128" s="59">
        <f ca="1">AVERAGE(OFFSET($BH$3,0,0,'Données projet'!$E$11+1,1))-AVERAGE(OFFSET($H$3,0,0,'Données projet'!$E$11+1,1))</f>
        <v>360.53625471540249</v>
      </c>
      <c r="BJ128" s="59">
        <f t="shared" si="92"/>
        <v>326.66299410556076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34.216995025712414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34.216995025712414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253.79640000000001</v>
      </c>
      <c r="CA128" s="13">
        <f t="shared" si="93"/>
        <v>61.39816832228076</v>
      </c>
      <c r="CB128" s="20">
        <f t="shared" si="64"/>
        <v>548.96387316130563</v>
      </c>
      <c r="CC128" s="59">
        <f t="shared" si="65"/>
        <v>840.13741635212227</v>
      </c>
      <c r="CD128" s="59">
        <f ca="1">AVERAGE(OFFSET($CC$3,0,0,'Données projet'!$E$12+1,1))-AVERAGE(OFFSET($H$3,0,0,'Données projet'!$E$12+1,1))</f>
        <v>358.39045200457502</v>
      </c>
      <c r="CE128" s="59">
        <f t="shared" si="94"/>
        <v>349.48764057925109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21.807892578329643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21.807892578329643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210.25641025641013</v>
      </c>
      <c r="CU128" s="17">
        <f>CT128*VLOOKUP('Données projet'!$B$13,Paramètres!$A$1:$I$89,3,0)*VLOOKUP('Données projet'!$B$13,Paramètres!$A$1:$I$89,5,0)</f>
        <v>163.99999999999991</v>
      </c>
      <c r="CV128" s="13">
        <f t="shared" si="95"/>
        <v>41.743425908362248</v>
      </c>
      <c r="CW128" s="20">
        <f t="shared" si="67"/>
        <v>358.33646679039742</v>
      </c>
      <c r="CX128" s="59">
        <f t="shared" si="68"/>
        <v>649.51000998121413</v>
      </c>
      <c r="CY128" s="59">
        <f ca="1">AVERAGE(OFFSET($CX$3,0,0,'Données projet'!$E$13+1,1))-AVERAGE(OFFSET($H$3,0,0,'Données projet'!$E$13+1,1))</f>
        <v>201.71903756761543</v>
      </c>
      <c r="CZ128" s="59">
        <f t="shared" si="96"/>
        <v>200.66422845182711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10.653376449054285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10.653376449054285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404.61</v>
      </c>
      <c r="DM128" s="12">
        <f>VLOOKUP(A128,'Données projet'!$A$165:$I$185,9,0)</f>
        <v>7.4200000000000017</v>
      </c>
      <c r="DN128" s="12">
        <f t="array" ref="DN128">INDEX(DM:DM,MIN(IF(ISNUMBER(DM128:DM324),ROW(DM128:DM324),"")))</f>
        <v>7.4200000000000017</v>
      </c>
      <c r="DO128" s="12">
        <f>IF('Données projet'!$A$166&gt;35,DO127+DN128-DW127,IF(A128&lt;'Données projet'!$A$166,$DL$205^A128,IF(A128='Données projet'!$A$166,'Données projet'!$B$166,DO127+DN128-DW127)))</f>
        <v>404.61000000000013</v>
      </c>
      <c r="DP128" s="17">
        <f>DO128*VLOOKUP('Données projet'!$B$14,Paramètres!$A$1:$I$89,3,0)*VLOOKUP('Données projet'!$B$14,Paramètres!$A$1:$I$89,5,0)</f>
        <v>385.02687600000013</v>
      </c>
      <c r="DQ128" s="13">
        <f t="shared" si="97"/>
        <v>88.734386861237638</v>
      </c>
      <c r="DR128" s="20">
        <f t="shared" si="70"/>
        <v>825.13419948332239</v>
      </c>
      <c r="DS128" s="59">
        <f t="shared" si="71"/>
        <v>1116.307742674139</v>
      </c>
      <c r="DT128" s="59">
        <f ca="1">AVERAGE(OFFSET($DS$3,0,0,'Données projet'!$E$14+1,1))-AVERAGE(OFFSET($H$3,0,0,'Données projet'!$E$14+1,1))</f>
        <v>502.4879901989737</v>
      </c>
      <c r="DU128" s="59">
        <f t="shared" si="98"/>
        <v>226.06453328626355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61.5</v>
      </c>
      <c r="DX128" s="16">
        <f>IF(ISNA(VLOOKUP(A128,'Données projet'!$A$165:$I$185,5,0)),0%,VLOOKUP(A128,'Données projet'!$A$165:$I$185,5,0)*VLOOKUP('Données projet'!$B$14,Paramètres!$A$1:$I$89,7,0))</f>
        <v>0.43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105.32380742424496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105.32380742424496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-3.2543994166189806E-14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192.76157155207764</v>
      </c>
      <c r="EP128" s="59">
        <f t="shared" si="100"/>
        <v>413.66427458788348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11.339933946245413</v>
      </c>
      <c r="EW128" s="21">
        <f>EXP(-LN(2)/25)*EW127+(1-EXP(-LN(2)/25))/(LN(2)/25)*Calculateur!ER128*Calculateur!ET128*VLOOKUP('Données projet'!$B$15,Paramètres!$A$1:$I$89,3,0)*0.475*44/12</f>
        <v>1.3408794701857447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12.680813416431157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69.410966324768197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1.05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3.85</v>
      </c>
      <c r="H129" s="66">
        <f t="shared" si="56"/>
        <v>241.26666666666665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7.0766666666666636</v>
      </c>
      <c r="N129" s="13">
        <f>IF('Données projet'!$A$36&gt;35,N128+M129-V128,IF(A129&lt;'Données projet'!$A$36,$K$205^A129,IF(A129='Données projet'!$A$36,'Données projet'!$B$36,N128+M129-V128)))</f>
        <v>350.18666666666678</v>
      </c>
      <c r="O129" s="13">
        <f>N129*VLOOKUP('Données projet'!$B$9,Paramètres!$A$1:$I$89,3,0)*VLOOKUP('Données projet'!$B$9,Paramètres!$A$1:$I$89,5,0)</f>
        <v>316.84889600000008</v>
      </c>
      <c r="P129" s="13">
        <f t="shared" si="87"/>
        <v>74.697328052662286</v>
      </c>
      <c r="Q129" s="20">
        <f t="shared" si="107"/>
        <v>681.94300689172019</v>
      </c>
      <c r="R129" s="59">
        <f t="shared" si="55"/>
        <v>973.1540176129422</v>
      </c>
      <c r="S129" s="59">
        <f ca="1">AVERAGE(OFFSET($R$3,0,0,'Données projet'!$E$9+1,1))-AVERAGE(OFFSET($H$3,0,0,'Données projet'!$E$9+1,1))</f>
        <v>480.34707165277229</v>
      </c>
      <c r="T129" s="59">
        <f t="shared" si="88"/>
        <v>217.17128038304531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98.180186303383849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98.180186303383849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231.27565500000046</v>
      </c>
      <c r="AK129" s="13">
        <f t="shared" si="89"/>
        <v>56.558419114470617</v>
      </c>
      <c r="AL129" s="20">
        <f t="shared" si="58"/>
        <v>501.31101241603716</v>
      </c>
      <c r="AM129" s="59">
        <f t="shared" si="59"/>
        <v>792.52202313725911</v>
      </c>
      <c r="AN129" s="59">
        <f ca="1">AVERAGE(OFFSET($AM$3,0,0,'Données projet'!$E$10+1,1))-AVERAGE(OFFSET($H$3,0,0,'Données projet'!$E$10+1,1))</f>
        <v>596.64394969449609</v>
      </c>
      <c r="AO129" s="59">
        <f t="shared" si="90"/>
        <v>312.55704723516362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234.33057613520484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234.33057613520484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212.28480000000002</v>
      </c>
      <c r="BF129" s="13">
        <f t="shared" si="91"/>
        <v>52.434557099704193</v>
      </c>
      <c r="BG129" s="20">
        <f t="shared" si="61"/>
        <v>461.05288028198476</v>
      </c>
      <c r="BH129" s="59">
        <f t="shared" si="62"/>
        <v>752.26389100320671</v>
      </c>
      <c r="BI129" s="59">
        <f ca="1">AVERAGE(OFFSET($BH$3,0,0,'Données projet'!$E$11+1,1))-AVERAGE(OFFSET($H$3,0,0,'Données projet'!$E$11+1,1))</f>
        <v>360.53625471540249</v>
      </c>
      <c r="BJ129" s="59">
        <f t="shared" si="92"/>
        <v>326.66299410556076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33.546020623564388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33.546020623564388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253.79640000000001</v>
      </c>
      <c r="CA129" s="13">
        <f t="shared" si="93"/>
        <v>61.39816832228076</v>
      </c>
      <c r="CB129" s="20">
        <f t="shared" si="64"/>
        <v>548.96387316130563</v>
      </c>
      <c r="CC129" s="59">
        <f t="shared" si="65"/>
        <v>840.17488388252764</v>
      </c>
      <c r="CD129" s="59">
        <f ca="1">AVERAGE(OFFSET($CC$3,0,0,'Données projet'!$E$12+1,1))-AVERAGE(OFFSET($H$3,0,0,'Données projet'!$E$12+1,1))</f>
        <v>358.39045200457502</v>
      </c>
      <c r="CE129" s="59">
        <f t="shared" si="94"/>
        <v>349.48764057925109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21.380253106369658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21.380253106369658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210.25641025641013</v>
      </c>
      <c r="CU129" s="17">
        <f>CT129*VLOOKUP('Données projet'!$B$13,Paramètres!$A$1:$I$89,3,0)*VLOOKUP('Données projet'!$B$13,Paramètres!$A$1:$I$89,5,0)</f>
        <v>163.99999999999991</v>
      </c>
      <c r="CV129" s="13">
        <f t="shared" si="95"/>
        <v>41.743425908362248</v>
      </c>
      <c r="CW129" s="20">
        <f t="shared" si="67"/>
        <v>358.33646679039742</v>
      </c>
      <c r="CX129" s="59">
        <f t="shared" si="68"/>
        <v>649.54747751161949</v>
      </c>
      <c r="CY129" s="59">
        <f ca="1">AVERAGE(OFFSET($CX$3,0,0,'Données projet'!$E$13+1,1))-AVERAGE(OFFSET($H$3,0,0,'Données projet'!$E$13+1,1))</f>
        <v>201.71903756761543</v>
      </c>
      <c r="CZ129" s="59">
        <f t="shared" si="96"/>
        <v>200.66422845182711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10.444470234806348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10.444470234806348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7.0766666666666636</v>
      </c>
      <c r="DO129" s="12">
        <f>IF('Données projet'!$A$166&gt;35,DO128+DN129-DW128,IF(A129&lt;'Données projet'!$A$166,$DL$205^A129,IF(A129='Données projet'!$A$166,'Données projet'!$B$166,DO128+DN129-DW128)))</f>
        <v>350.18666666666678</v>
      </c>
      <c r="DP129" s="17">
        <f>DO129*VLOOKUP('Données projet'!$B$14,Paramètres!$A$1:$I$89,3,0)*VLOOKUP('Données projet'!$B$14,Paramètres!$A$1:$I$89,5,0)</f>
        <v>333.23763200000008</v>
      </c>
      <c r="DQ129" s="13">
        <f t="shared" si="97"/>
        <v>78.101168999978341</v>
      </c>
      <c r="DR129" s="20">
        <f t="shared" si="70"/>
        <v>716.4150784082957</v>
      </c>
      <c r="DS129" s="59">
        <f t="shared" si="71"/>
        <v>1007.6260891295177</v>
      </c>
      <c r="DT129" s="59">
        <f ca="1">AVERAGE(OFFSET($DS$3,0,0,'Données projet'!$E$14+1,1))-AVERAGE(OFFSET($H$3,0,0,'Données projet'!$E$14+1,1))</f>
        <v>502.4879901989737</v>
      </c>
      <c r="DU129" s="59">
        <f t="shared" si="98"/>
        <v>226.06453328626355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103.25847180183476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103.25847180183476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-3.2543994166189806E-14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192.76157155207764</v>
      </c>
      <c r="EP129" s="59">
        <f t="shared" si="100"/>
        <v>413.66427458788348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11.117564758236282</v>
      </c>
      <c r="EW129" s="21">
        <f>EXP(-LN(2)/25)*EW128+(1-EXP(-LN(2)/25))/(LN(2)/25)*Calculateur!ER129*Calculateur!ET129*VLOOKUP('Données projet'!$B$15,Paramètres!$A$1:$I$89,3,0)*0.475*44/12</f>
        <v>1.3042130505597289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12.421777808796012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69.421184742151453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1.05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3.85</v>
      </c>
      <c r="H130" s="66">
        <f t="shared" si="56"/>
        <v>241.26666666666665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7.0766666666666636</v>
      </c>
      <c r="N130" s="13">
        <f>IF('Données projet'!$A$36&gt;35,N129+M130-V129,IF(A130&lt;'Données projet'!$A$36,$K$205^A130,IF(A130='Données projet'!$A$36,'Données projet'!$B$36,N129+M130-V129)))</f>
        <v>357.26333333333343</v>
      </c>
      <c r="O130" s="13">
        <f>N130*VLOOKUP('Données projet'!$B$9,Paramètres!$A$1:$I$89,3,0)*VLOOKUP('Données projet'!$B$9,Paramètres!$A$1:$I$89,5,0)</f>
        <v>323.25186400000007</v>
      </c>
      <c r="P130" s="13">
        <f t="shared" si="87"/>
        <v>76.029568543435346</v>
      </c>
      <c r="Q130" s="20">
        <f t="shared" si="107"/>
        <v>695.41516167981661</v>
      </c>
      <c r="R130" s="59">
        <f t="shared" si="55"/>
        <v>986.66298995355623</v>
      </c>
      <c r="S130" s="59">
        <f ca="1">AVERAGE(OFFSET($R$3,0,0,'Données projet'!$E$9+1,1))-AVERAGE(OFFSET($H$3,0,0,'Données projet'!$E$9+1,1))</f>
        <v>480.34707165277229</v>
      </c>
      <c r="T130" s="59">
        <f t="shared" si="88"/>
        <v>217.17128038304531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96.254932733975082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96.254932733975082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231.47592000000046</v>
      </c>
      <c r="AK130" s="13">
        <f t="shared" si="89"/>
        <v>56.601691040304857</v>
      </c>
      <c r="AL130" s="20">
        <f t="shared" si="58"/>
        <v>501.73517256186511</v>
      </c>
      <c r="AM130" s="59">
        <f t="shared" si="59"/>
        <v>792.98300083560468</v>
      </c>
      <c r="AN130" s="59">
        <f ca="1">AVERAGE(OFFSET($AM$3,0,0,'Données projet'!$E$10+1,1))-AVERAGE(OFFSET($H$3,0,0,'Données projet'!$E$10+1,1))</f>
        <v>596.64394969449609</v>
      </c>
      <c r="AO130" s="59">
        <f t="shared" si="90"/>
        <v>312.55704723516362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261.07560427608689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261.07560427608689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212.28480000000002</v>
      </c>
      <c r="BF130" s="13">
        <f t="shared" si="91"/>
        <v>52.434557099704193</v>
      </c>
      <c r="BG130" s="20">
        <f t="shared" si="61"/>
        <v>461.05288028198476</v>
      </c>
      <c r="BH130" s="59">
        <f t="shared" si="62"/>
        <v>752.30070855572433</v>
      </c>
      <c r="BI130" s="59">
        <f ca="1">AVERAGE(OFFSET($BH$3,0,0,'Données projet'!$E$11+1,1))-AVERAGE(OFFSET($H$3,0,0,'Données projet'!$E$11+1,1))</f>
        <v>360.53625471540249</v>
      </c>
      <c r="BJ130" s="59">
        <f t="shared" si="92"/>
        <v>326.66299410556076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32.888203620188513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32.888203620188513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253.79640000000001</v>
      </c>
      <c r="CA130" s="13">
        <f t="shared" si="93"/>
        <v>61.39816832228076</v>
      </c>
      <c r="CB130" s="20">
        <f t="shared" si="64"/>
        <v>548.96387316130563</v>
      </c>
      <c r="CC130" s="59">
        <f t="shared" si="65"/>
        <v>840.21170143504514</v>
      </c>
      <c r="CD130" s="59">
        <f ca="1">AVERAGE(OFFSET($CC$3,0,0,'Données projet'!$E$12+1,1))-AVERAGE(OFFSET($H$3,0,0,'Données projet'!$E$12+1,1))</f>
        <v>358.39045200457502</v>
      </c>
      <c r="CE130" s="59">
        <f t="shared" si="94"/>
        <v>349.48764057925109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20.960999383620486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20.960999383620486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210.25641025641013</v>
      </c>
      <c r="CU130" s="17">
        <f>CT130*VLOOKUP('Données projet'!$B$13,Paramètres!$A$1:$I$89,3,0)*VLOOKUP('Données projet'!$B$13,Paramètres!$A$1:$I$89,5,0)</f>
        <v>163.99999999999991</v>
      </c>
      <c r="CV130" s="13">
        <f t="shared" si="95"/>
        <v>41.743425908362248</v>
      </c>
      <c r="CW130" s="20">
        <f t="shared" si="67"/>
        <v>358.33646679039742</v>
      </c>
      <c r="CX130" s="59">
        <f t="shared" si="68"/>
        <v>649.584295064137</v>
      </c>
      <c r="CY130" s="59">
        <f ca="1">AVERAGE(OFFSET($CX$3,0,0,'Données projet'!$E$13+1,1))-AVERAGE(OFFSET($H$3,0,0,'Données projet'!$E$13+1,1))</f>
        <v>201.71903756761543</v>
      </c>
      <c r="CZ130" s="59">
        <f t="shared" si="96"/>
        <v>200.66422845182711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10.239660543999603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10.239660543999603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7.0766666666666636</v>
      </c>
      <c r="DO130" s="12">
        <f>IF('Données projet'!$A$166&gt;35,DO129+DN130-DW129,IF(A130&lt;'Données projet'!$A$166,$DL$205^A130,IF(A130='Données projet'!$A$166,'Données projet'!$B$166,DO129+DN130-DW129)))</f>
        <v>357.26333333333343</v>
      </c>
      <c r="DP130" s="17">
        <f>DO130*VLOOKUP('Données projet'!$B$14,Paramètres!$A$1:$I$89,3,0)*VLOOKUP('Données projet'!$B$14,Paramètres!$A$1:$I$89,5,0)</f>
        <v>339.97178800000012</v>
      </c>
      <c r="DQ130" s="13">
        <f t="shared" si="97"/>
        <v>79.494117615826084</v>
      </c>
      <c r="DR130" s="20">
        <f t="shared" si="70"/>
        <v>730.56978561423057</v>
      </c>
      <c r="DS130" s="59">
        <f t="shared" si="71"/>
        <v>1021.8176138879701</v>
      </c>
      <c r="DT130" s="59">
        <f ca="1">AVERAGE(OFFSET($DS$3,0,0,'Données projet'!$E$14+1,1))-AVERAGE(OFFSET($H$3,0,0,'Données projet'!$E$14+1,1))</f>
        <v>502.4879901989737</v>
      </c>
      <c r="DU130" s="59">
        <f t="shared" si="98"/>
        <v>226.06453328626355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101.23363615124968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101.23363615124968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-3.2543994166189806E-14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192.76157155207764</v>
      </c>
      <c r="EP130" s="59">
        <f t="shared" si="100"/>
        <v>413.66427458788348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10.899556094372199</v>
      </c>
      <c r="EW130" s="21">
        <f>EXP(-LN(2)/25)*EW129+(1-EXP(-LN(2)/25))/(LN(2)/25)*Calculateur!ER130*Calculateur!ET130*VLOOKUP('Données projet'!$B$15,Paramètres!$A$1:$I$89,3,0)*0.475*44/12</f>
        <v>1.2685492761065895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12.16810537047879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69.431225892838071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1.05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3.85</v>
      </c>
      <c r="H131" s="66">
        <f t="shared" si="56"/>
        <v>241.26666666666665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7.0766666666666636</v>
      </c>
      <c r="N131" s="13">
        <f>IF('Données projet'!$A$36&gt;35,N130+M131-V130,IF(A131&lt;'Données projet'!$A$36,$K$205^A131,IF(A131='Données projet'!$A$36,'Données projet'!$B$36,N130+M131-V130)))</f>
        <v>364.34000000000009</v>
      </c>
      <c r="O131" s="13">
        <f>N131*VLOOKUP('Données projet'!$B$9,Paramètres!$A$1:$I$89,3,0)*VLOOKUP('Données projet'!$B$9,Paramètres!$A$1:$I$89,5,0)</f>
        <v>329.65483200000006</v>
      </c>
      <c r="P131" s="13">
        <f t="shared" si="87"/>
        <v>77.358740680970413</v>
      </c>
      <c r="Q131" s="20">
        <f t="shared" ref="Q131:Q153" si="108">(O131+P131)*0.475*44/12</f>
        <v>708.88197241935677</v>
      </c>
      <c r="R131" s="59">
        <f t="shared" ref="R131:R194" si="109">Q131+(I131+J131)*44/12</f>
        <v>1000.1659795433895</v>
      </c>
      <c r="S131" s="59">
        <f ca="1">AVERAGE(OFFSET($R$3,0,0,'Données projet'!$E$9+1,1))-AVERAGE(OFFSET($H$3,0,0,'Données projet'!$E$9+1,1))</f>
        <v>480.34707165277229</v>
      </c>
      <c r="T131" s="59">
        <f t="shared" si="88"/>
        <v>217.17128038304531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94.367432212773693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94.367432212773693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165.64450500000044</v>
      </c>
      <c r="AK131" s="13">
        <f t="shared" si="89"/>
        <v>42.113068971150504</v>
      </c>
      <c r="AL131" s="20">
        <f t="shared" si="58"/>
        <v>361.8444413330879</v>
      </c>
      <c r="AM131" s="59">
        <f t="shared" si="59"/>
        <v>653.12844845712061</v>
      </c>
      <c r="AN131" s="59">
        <f ca="1">AVERAGE(OFFSET($AM$3,0,0,'Données projet'!$E$10+1,1))-AVERAGE(OFFSET($H$3,0,0,'Données projet'!$E$10+1,1))</f>
        <v>596.64394969449609</v>
      </c>
      <c r="AO131" s="59">
        <f t="shared" si="90"/>
        <v>312.55704723516362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255.95607091662777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255.95607091662777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212.28480000000002</v>
      </c>
      <c r="BF131" s="13">
        <f t="shared" si="91"/>
        <v>52.434557099704193</v>
      </c>
      <c r="BG131" s="20">
        <f t="shared" si="61"/>
        <v>461.05288028198476</v>
      </c>
      <c r="BH131" s="59">
        <f t="shared" si="62"/>
        <v>752.33688740601747</v>
      </c>
      <c r="BI131" s="59">
        <f ca="1">AVERAGE(OFFSET($BH$3,0,0,'Données projet'!$E$11+1,1))-AVERAGE(OFFSET($H$3,0,0,'Données projet'!$E$11+1,1))</f>
        <v>360.53625471540249</v>
      </c>
      <c r="BJ131" s="59">
        <f t="shared" si="92"/>
        <v>326.66299410556076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32.243286007020082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32.243286007020082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253.79640000000001</v>
      </c>
      <c r="CA131" s="13">
        <f t="shared" si="93"/>
        <v>61.39816832228076</v>
      </c>
      <c r="CB131" s="20">
        <f t="shared" si="64"/>
        <v>548.96387316130563</v>
      </c>
      <c r="CC131" s="59">
        <f t="shared" si="65"/>
        <v>840.2478802853384</v>
      </c>
      <c r="CD131" s="59">
        <f ca="1">AVERAGE(OFFSET($CC$3,0,0,'Données projet'!$E$12+1,1))-AVERAGE(OFFSET($H$3,0,0,'Données projet'!$E$12+1,1))</f>
        <v>358.39045200457502</v>
      </c>
      <c r="CE131" s="59">
        <f t="shared" si="94"/>
        <v>349.48764057925109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20.549966970654904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20.549966970654904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210.25641025641013</v>
      </c>
      <c r="CU131" s="17">
        <f>CT131*VLOOKUP('Données projet'!$B$13,Paramètres!$A$1:$I$89,3,0)*VLOOKUP('Données projet'!$B$13,Paramètres!$A$1:$I$89,5,0)</f>
        <v>163.99999999999991</v>
      </c>
      <c r="CV131" s="13">
        <f t="shared" si="95"/>
        <v>41.743425908362248</v>
      </c>
      <c r="CW131" s="20">
        <f t="shared" si="67"/>
        <v>358.33646679039742</v>
      </c>
      <c r="CX131" s="59">
        <f t="shared" si="68"/>
        <v>649.62047391443014</v>
      </c>
      <c r="CY131" s="59">
        <f ca="1">AVERAGE(OFFSET($CX$3,0,0,'Données projet'!$E$13+1,1))-AVERAGE(OFFSET($H$3,0,0,'Données projet'!$E$13+1,1))</f>
        <v>201.71903756761543</v>
      </c>
      <c r="CZ131" s="59">
        <f t="shared" si="96"/>
        <v>200.66422845182711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10.038867046308004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10.038867046308004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7.0766666666666636</v>
      </c>
      <c r="DO131" s="12">
        <f>IF('Données projet'!$A$166&gt;35,DO130+DN131-DW130,IF(A131&lt;'Données projet'!$A$166,$DL$205^A131,IF(A131='Données projet'!$A$166,'Données projet'!$B$166,DO130+DN131-DW130)))</f>
        <v>364.34000000000009</v>
      </c>
      <c r="DP131" s="17">
        <f>DO131*VLOOKUP('Données projet'!$B$14,Paramètres!$A$1:$I$89,3,0)*VLOOKUP('Données projet'!$B$14,Paramètres!$A$1:$I$89,5,0)</f>
        <v>346.7059440000001</v>
      </c>
      <c r="DQ131" s="13">
        <f t="shared" si="97"/>
        <v>80.883858058355727</v>
      </c>
      <c r="DR131" s="20">
        <f t="shared" si="70"/>
        <v>744.71890525163633</v>
      </c>
      <c r="DS131" s="59">
        <f t="shared" si="71"/>
        <v>1036.002912375669</v>
      </c>
      <c r="DT131" s="59">
        <f ca="1">AVERAGE(OFFSET($DS$3,0,0,'Données projet'!$E$14+1,1))-AVERAGE(OFFSET($H$3,0,0,'Données projet'!$E$14+1,1))</f>
        <v>502.4879901989737</v>
      </c>
      <c r="DU131" s="59">
        <f t="shared" si="98"/>
        <v>226.06453328626355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99.248506292744779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99.248506292744779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-3.2543994166189806E-14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192.76157155207764</v>
      </c>
      <c r="EP131" s="59">
        <f t="shared" si="100"/>
        <v>413.66427458788348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10.685822447434335</v>
      </c>
      <c r="EW131" s="21">
        <f>EXP(-LN(2)/25)*EW130+(1-EXP(-LN(2)/25))/(LN(2)/25)*Calculateur!ER131*Calculateur!ET131*VLOOKUP('Données projet'!$B$15,Paramètres!$A$1:$I$89,3,0)*0.475*44/12</f>
        <v>1.2338607294413477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11.919683176875683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69.441092852008921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1.05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3.85</v>
      </c>
      <c r="H132" s="66">
        <f t="shared" ref="H132:H195" si="110">(B132+E132+F132)*44/12+(C132+D132)*0.475*44/12</f>
        <v>241.26666666666665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7.0766666666666636</v>
      </c>
      <c r="N132" s="13">
        <f>IF('Données projet'!$A$36&gt;35,N131+M132-V131,IF(A132&lt;'Données projet'!$A$36,$K$205^A132,IF(A132='Données projet'!$A$36,'Données projet'!$B$36,N131+M132-V131)))</f>
        <v>371.41666666666674</v>
      </c>
      <c r="O132" s="13">
        <f>N132*VLOOKUP('Données projet'!$B$9,Paramètres!$A$1:$I$89,3,0)*VLOOKUP('Données projet'!$B$9,Paramètres!$A$1:$I$89,5,0)</f>
        <v>336.0578000000001</v>
      </c>
      <c r="P132" s="13">
        <f t="shared" si="87"/>
        <v>78.684910933070185</v>
      </c>
      <c r="Q132" s="20">
        <f t="shared" si="108"/>
        <v>722.34355487509731</v>
      </c>
      <c r="R132" s="59">
        <f t="shared" si="109"/>
        <v>1013.6631132272544</v>
      </c>
      <c r="S132" s="59">
        <f ca="1">AVERAGE(OFFSET($R$3,0,0,'Données projet'!$E$9+1,1))-AVERAGE(OFFSET($H$3,0,0,'Données projet'!$E$9+1,1))</f>
        <v>480.34707165277229</v>
      </c>
      <c r="T132" s="59">
        <f t="shared" si="88"/>
        <v>217.17128038304531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92.51694442553142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92.51694442553142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165.74337000000043</v>
      </c>
      <c r="AK132" s="13">
        <f t="shared" si="89"/>
        <v>42.135277666835059</v>
      </c>
      <c r="AL132" s="20">
        <f t="shared" ref="AL132:AL153" si="112">(AJ132+AK132)*0.475*44/12</f>
        <v>362.05531135307177</v>
      </c>
      <c r="AM132" s="59">
        <f t="shared" ref="AM132:AM195" si="113">AL132+(AD132+AE132)*44/12</f>
        <v>653.37486970522878</v>
      </c>
      <c r="AN132" s="59">
        <f ca="1">AVERAGE(OFFSET($AM$3,0,0,'Données projet'!$E$10+1,1))-AVERAGE(OFFSET($H$3,0,0,'Données projet'!$E$10+1,1))</f>
        <v>596.64394969449609</v>
      </c>
      <c r="AO132" s="59">
        <f t="shared" si="90"/>
        <v>312.55704723516362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250.93692848374062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250.93692848374062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212.28480000000002</v>
      </c>
      <c r="BF132" s="13">
        <f t="shared" si="91"/>
        <v>52.434557099704193</v>
      </c>
      <c r="BG132" s="20">
        <f t="shared" ref="BG132:BG153" si="115">(BE132+BF132)*0.475*44/12</f>
        <v>461.05288028198476</v>
      </c>
      <c r="BH132" s="59">
        <f t="shared" ref="BH132:BH195" si="116">BG132+(AY132+AZ132)*44/12</f>
        <v>752.37243863414187</v>
      </c>
      <c r="BI132" s="59">
        <f ca="1">AVERAGE(OFFSET($BH$3,0,0,'Données projet'!$E$11+1,1))-AVERAGE(OFFSET($H$3,0,0,'Données projet'!$E$11+1,1))</f>
        <v>360.53625471540249</v>
      </c>
      <c r="BJ132" s="59">
        <f t="shared" si="92"/>
        <v>326.66299410556076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31.61101483488498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31.61101483488498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253.79640000000001</v>
      </c>
      <c r="CA132" s="13">
        <f t="shared" si="93"/>
        <v>61.39816832228076</v>
      </c>
      <c r="CB132" s="20">
        <f t="shared" ref="CB132:CB153" si="118">(BZ132+CA132)*0.475*44/12</f>
        <v>548.96387316130563</v>
      </c>
      <c r="CC132" s="59">
        <f t="shared" ref="CC132:CC195" si="119">CB132+(BT132+BU132)*44/12</f>
        <v>840.28343151346269</v>
      </c>
      <c r="CD132" s="59">
        <f ca="1">AVERAGE(OFFSET($CC$3,0,0,'Données projet'!$E$12+1,1))-AVERAGE(OFFSET($H$3,0,0,'Données projet'!$E$12+1,1))</f>
        <v>358.39045200457502</v>
      </c>
      <c r="CE132" s="59">
        <f t="shared" si="94"/>
        <v>349.48764057925109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20.146994652602558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20.146994652602558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210.25641025641013</v>
      </c>
      <c r="CU132" s="17">
        <f>CT132*VLOOKUP('Données projet'!$B$13,Paramètres!$A$1:$I$89,3,0)*VLOOKUP('Données projet'!$B$13,Paramètres!$A$1:$I$89,5,0)</f>
        <v>163.99999999999991</v>
      </c>
      <c r="CV132" s="13">
        <f t="shared" si="95"/>
        <v>41.743425908362248</v>
      </c>
      <c r="CW132" s="20">
        <f t="shared" ref="CW132:CW153" si="121">(CU132+CV132)*0.475*44/12</f>
        <v>358.33646679039742</v>
      </c>
      <c r="CX132" s="59">
        <f t="shared" ref="CX132:CX195" si="122">CW132+(CO132+CP132)*44/12</f>
        <v>649.65602514255443</v>
      </c>
      <c r="CY132" s="59">
        <f ca="1">AVERAGE(OFFSET($CX$3,0,0,'Données projet'!$E$13+1,1))-AVERAGE(OFFSET($H$3,0,0,'Données projet'!$E$13+1,1))</f>
        <v>201.71903756761543</v>
      </c>
      <c r="CZ132" s="59">
        <f t="shared" si="96"/>
        <v>200.66422845182711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9.8420109866341967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9.8420109866341967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7.0766666666666636</v>
      </c>
      <c r="DO132" s="12">
        <f>IF('Données projet'!$A$166&gt;35,DO131+DN132-DW131,IF(A132&lt;'Données projet'!$A$166,$DL$205^A132,IF(A132='Données projet'!$A$166,'Données projet'!$B$166,DO131+DN132-DW131)))</f>
        <v>371.41666666666674</v>
      </c>
      <c r="DP132" s="17">
        <f>DO132*VLOOKUP('Données projet'!$B$14,Paramètres!$A$1:$I$89,3,0)*VLOOKUP('Données projet'!$B$14,Paramètres!$A$1:$I$89,5,0)</f>
        <v>353.44010000000009</v>
      </c>
      <c r="DQ132" s="13">
        <f t="shared" si="97"/>
        <v>82.270459824204167</v>
      </c>
      <c r="DR132" s="20">
        <f t="shared" ref="DR132:DR153" si="124">(DP132+DQ132)*0.475*44/12</f>
        <v>758.86255836048906</v>
      </c>
      <c r="DS132" s="59">
        <f t="shared" ref="DS132:DS195" si="125">DR132+(DJ132+DK132)*44/12</f>
        <v>1050.1821167126461</v>
      </c>
      <c r="DT132" s="59">
        <f ca="1">AVERAGE(OFFSET($DS$3,0,0,'Données projet'!$E$14+1,1))-AVERAGE(OFFSET($H$3,0,0,'Données projet'!$E$14+1,1))</f>
        <v>502.4879901989737</v>
      </c>
      <c r="DU132" s="59">
        <f t="shared" si="98"/>
        <v>226.06453328626355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97.302303619955495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97.302303619955495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-3.2543994166189806E-14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192.76157155207764</v>
      </c>
      <c r="EP132" s="59">
        <f t="shared" si="100"/>
        <v>413.66427458788348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10.476279986948271</v>
      </c>
      <c r="EW132" s="21">
        <f>EXP(-LN(2)/25)*EW131+(1-EXP(-LN(2)/25))/(LN(2)/25)*Calculateur!ER132*Calculateur!ET132*VLOOKUP('Données projet'!$B$15,Paramètres!$A$1:$I$89,3,0)*0.475*44/12</f>
        <v>1.2001207429088583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11.676400729857129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69.450788641497383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1.05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3.85</v>
      </c>
      <c r="H133" s="66">
        <f t="shared" si="110"/>
        <v>241.26666666666665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7.0766666666666636</v>
      </c>
      <c r="N133" s="13">
        <f>IF('Données projet'!$A$36&gt;35,N132+M133-V132,IF(A133&lt;'Données projet'!$A$36,$K$205^A133,IF(A133='Données projet'!$A$36,'Données projet'!$B$36,N132+M133-V132)))</f>
        <v>378.4933333333334</v>
      </c>
      <c r="O133" s="13">
        <f>N133*VLOOKUP('Données projet'!$B$9,Paramètres!$A$1:$I$89,3,0)*VLOOKUP('Données projet'!$B$9,Paramètres!$A$1:$I$89,5,0)</f>
        <v>342.46076800000003</v>
      </c>
      <c r="P133" s="13">
        <f t="shared" ref="P133:P196" si="141">EXP(-1.0587+0.8836*LN(O133)+0.284)</f>
        <v>80.008143089764673</v>
      </c>
      <c r="Q133" s="20">
        <f t="shared" si="108"/>
        <v>735.80002014800675</v>
      </c>
      <c r="R133" s="59">
        <f t="shared" si="109"/>
        <v>1027.1545129939609</v>
      </c>
      <c r="S133" s="59">
        <f ca="1">AVERAGE(OFFSET($R$3,0,0,'Données projet'!$E$9+1,1))-AVERAGE(OFFSET($H$3,0,0,'Données projet'!$E$9+1,1))</f>
        <v>480.34707165277229</v>
      </c>
      <c r="T133" s="59">
        <f t="shared" ref="T133:T196" si="142">$T$3</f>
        <v>217.17128038304531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90.702743575110873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90.702743575110873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165.84223500000041</v>
      </c>
      <c r="AK133" s="13">
        <f t="shared" ref="AK133:AK153" si="143">EXP(-1.0587+0.8836*LN(AJ133)+0.284)</f>
        <v>42.157484820579974</v>
      </c>
      <c r="AL133" s="20">
        <f t="shared" si="112"/>
        <v>362.26617868751083</v>
      </c>
      <c r="AM133" s="59">
        <f t="shared" si="113"/>
        <v>653.62067153346493</v>
      </c>
      <c r="AN133" s="59">
        <f ca="1">AVERAGE(OFFSET($AM$3,0,0,'Données projet'!$E$10+1,1))-AVERAGE(OFFSET($H$3,0,0,'Données projet'!$E$10+1,1))</f>
        <v>596.64394969449609</v>
      </c>
      <c r="AO133" s="59">
        <f t="shared" ref="AO133:AO196" si="144">$AO$3</f>
        <v>312.55704723516362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246.01620837258778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246.01620837258778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212.28480000000002</v>
      </c>
      <c r="BF133" s="13">
        <f t="shared" ref="BF133:BF153" si="145">EXP(-1.0587+0.8836*LN(BE133)+0.284)</f>
        <v>52.434557099704193</v>
      </c>
      <c r="BG133" s="20">
        <f t="shared" si="115"/>
        <v>461.05288028198476</v>
      </c>
      <c r="BH133" s="59">
        <f t="shared" si="116"/>
        <v>752.40737312793885</v>
      </c>
      <c r="BI133" s="59">
        <f ca="1">AVERAGE(OFFSET($BH$3,0,0,'Données projet'!$E$11+1,1))-AVERAGE(OFFSET($H$3,0,0,'Données projet'!$E$11+1,1))</f>
        <v>360.53625471540249</v>
      </c>
      <c r="BJ133" s="59">
        <f t="shared" ref="BJ133:BJ196" si="146">$BJ$3</f>
        <v>326.66299410556076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30.991142114788111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30.991142114788111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253.79640000000001</v>
      </c>
      <c r="CA133" s="13">
        <f t="shared" ref="CA133:CA153" si="147">EXP(-1.0587+0.8836*LN(BZ133)+0.284)</f>
        <v>61.39816832228076</v>
      </c>
      <c r="CB133" s="20">
        <f t="shared" si="118"/>
        <v>548.96387316130563</v>
      </c>
      <c r="CC133" s="59">
        <f t="shared" si="119"/>
        <v>840.31836600725978</v>
      </c>
      <c r="CD133" s="59">
        <f ca="1">AVERAGE(OFFSET($CC$3,0,0,'Données projet'!$E$12+1,1))-AVERAGE(OFFSET($H$3,0,0,'Données projet'!$E$12+1,1))</f>
        <v>358.39045200457502</v>
      </c>
      <c r="CE133" s="59">
        <f t="shared" ref="CE133:CE196" si="148">$CE$3</f>
        <v>349.48764057925109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19.751924375918374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19.751924375918374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210.25641025641013</v>
      </c>
      <c r="CU133" s="17">
        <f>CT133*VLOOKUP('Données projet'!$B$13,Paramètres!$A$1:$I$89,3,0)*VLOOKUP('Données projet'!$B$13,Paramètres!$A$1:$I$89,5,0)</f>
        <v>163.99999999999991</v>
      </c>
      <c r="CV133" s="13">
        <f t="shared" ref="CV133:CV153" si="149">EXP(-1.0587+0.8836*LN(CU133)+0.284)</f>
        <v>41.743425908362248</v>
      </c>
      <c r="CW133" s="20">
        <f t="shared" si="121"/>
        <v>358.33646679039742</v>
      </c>
      <c r="CX133" s="59">
        <f t="shared" si="122"/>
        <v>649.69095963635152</v>
      </c>
      <c r="CY133" s="59">
        <f ca="1">AVERAGE(OFFSET($CX$3,0,0,'Données projet'!$E$13+1,1))-AVERAGE(OFFSET($H$3,0,0,'Données projet'!$E$13+1,1))</f>
        <v>201.71903756761543</v>
      </c>
      <c r="CZ133" s="59">
        <f t="shared" ref="CZ133:CZ196" si="150">$CZ$3</f>
        <v>200.66422845182711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9.6490151542202511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9.6490151542202511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7.0766666666666636</v>
      </c>
      <c r="DO133" s="12">
        <f>IF('Données projet'!$A$166&gt;35,DO132+DN133-DW132,IF(A133&lt;'Données projet'!$A$166,$DL$205^A133,IF(A133='Données projet'!$A$166,'Données projet'!$B$166,DO132+DN133-DW132)))</f>
        <v>378.4933333333334</v>
      </c>
      <c r="DP133" s="17">
        <f>DO133*VLOOKUP('Données projet'!$B$14,Paramètres!$A$1:$I$89,3,0)*VLOOKUP('Données projet'!$B$14,Paramètres!$A$1:$I$89,5,0)</f>
        <v>360.17425600000007</v>
      </c>
      <c r="DQ133" s="13">
        <f t="shared" ref="DQ133:DQ153" si="151">EXP(-1.0587+0.8836*LN(DP133)+0.284)</f>
        <v>83.653989610214026</v>
      </c>
      <c r="DR133" s="20">
        <f t="shared" si="124"/>
        <v>773.00086110445602</v>
      </c>
      <c r="DS133" s="59">
        <f t="shared" si="125"/>
        <v>1064.3553539504101</v>
      </c>
      <c r="DT133" s="59">
        <f ca="1">AVERAGE(OFFSET($DS$3,0,0,'Données projet'!$E$14+1,1))-AVERAGE(OFFSET($H$3,0,0,'Données projet'!$E$14+1,1))</f>
        <v>502.4879901989737</v>
      </c>
      <c r="DU133" s="59">
        <f t="shared" ref="DU133:DU196" si="152">$DU$3</f>
        <v>226.06453328626355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95.394264794513191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95.394264794513191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-3.2543994166189806E-14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192.76157155207764</v>
      </c>
      <c r="EP133" s="59">
        <f t="shared" ref="EP133:EP196" si="154">$EP$3</f>
        <v>413.66427458788348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10.270846526304057</v>
      </c>
      <c r="EW133" s="21">
        <f>EXP(-LN(2)/25)*EW132+(1-EXP(-LN(2)/25))/(LN(2)/25)*Calculateur!ER133*Calculateur!ET133*VLOOKUP('Données projet'!$B$15,Paramètres!$A$1:$I$89,3,0)*0.475*44/12</f>
        <v>1.1673033780824087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11.438149904386465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69.460316230714753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1.05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3.85</v>
      </c>
      <c r="H134" s="66">
        <f t="shared" si="110"/>
        <v>241.26666666666665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7.0766666666666636</v>
      </c>
      <c r="N134" s="13">
        <f>IF('Données projet'!$A$36&gt;35,N133+M134-V133,IF(A134&lt;'Données projet'!$A$36,$K$205^A134,IF(A134='Données projet'!$A$36,'Données projet'!$B$36,N133+M134-V133)))</f>
        <v>385.57000000000005</v>
      </c>
      <c r="O134" s="13">
        <f>N134*VLOOKUP('Données projet'!$B$9,Paramètres!$A$1:$I$89,3,0)*VLOOKUP('Données projet'!$B$9,Paramètres!$A$1:$I$89,5,0)</f>
        <v>348.86373600000002</v>
      </c>
      <c r="P134" s="13">
        <f t="shared" si="141"/>
        <v>81.328498419204394</v>
      </c>
      <c r="Q134" s="20">
        <f t="shared" si="108"/>
        <v>749.25147494678095</v>
      </c>
      <c r="R134" s="59">
        <f t="shared" si="109"/>
        <v>1040.6402962511665</v>
      </c>
      <c r="S134" s="59">
        <f ca="1">AVERAGE(OFFSET($R$3,0,0,'Données projet'!$E$9+1,1))-AVERAGE(OFFSET($H$3,0,0,'Données projet'!$E$9+1,1))</f>
        <v>480.34707165277229</v>
      </c>
      <c r="T134" s="59">
        <f t="shared" si="142"/>
        <v>217.17128038304531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88.924118096813814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88.924118096813814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165.94110000000043</v>
      </c>
      <c r="AK134" s="13">
        <f t="shared" si="143"/>
        <v>42.179690433411352</v>
      </c>
      <c r="AL134" s="20">
        <f t="shared" si="112"/>
        <v>362.47704333819223</v>
      </c>
      <c r="AM134" s="59">
        <f t="shared" si="113"/>
        <v>653.86586464257778</v>
      </c>
      <c r="AN134" s="59">
        <f ca="1">AVERAGE(OFFSET($AM$3,0,0,'Données projet'!$E$10+1,1))-AVERAGE(OFFSET($H$3,0,0,'Données projet'!$E$10+1,1))</f>
        <v>596.64394969449609</v>
      </c>
      <c r="AO134" s="59">
        <f t="shared" si="144"/>
        <v>312.55704723516362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310.52389549358008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310.52389549358008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212.28480000000002</v>
      </c>
      <c r="BF134" s="13">
        <f t="shared" si="145"/>
        <v>52.434557099704193</v>
      </c>
      <c r="BG134" s="20">
        <f t="shared" si="115"/>
        <v>461.05288028198476</v>
      </c>
      <c r="BH134" s="59">
        <f t="shared" si="116"/>
        <v>752.4417015863703</v>
      </c>
      <c r="BI134" s="59">
        <f ca="1">AVERAGE(OFFSET($BH$3,0,0,'Données projet'!$E$11+1,1))-AVERAGE(OFFSET($H$3,0,0,'Données projet'!$E$11+1,1))</f>
        <v>360.53625471540249</v>
      </c>
      <c r="BJ134" s="59">
        <f t="shared" si="146"/>
        <v>326.66299410556076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30.383424720647316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30.383424720647316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253.79640000000001</v>
      </c>
      <c r="CA134" s="13">
        <f t="shared" si="147"/>
        <v>61.39816832228076</v>
      </c>
      <c r="CB134" s="20">
        <f t="shared" si="118"/>
        <v>548.96387316130563</v>
      </c>
      <c r="CC134" s="59">
        <f t="shared" si="119"/>
        <v>840.35269446569123</v>
      </c>
      <c r="CD134" s="59">
        <f ca="1">AVERAGE(OFFSET($CC$3,0,0,'Données projet'!$E$12+1,1))-AVERAGE(OFFSET($H$3,0,0,'Données projet'!$E$12+1,1))</f>
        <v>358.39045200457502</v>
      </c>
      <c r="CE134" s="59">
        <f t="shared" si="148"/>
        <v>349.48764057925109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19.364601186390892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19.364601186390892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210.25641025641013</v>
      </c>
      <c r="CU134" s="17">
        <f>CT134*VLOOKUP('Données projet'!$B$13,Paramètres!$A$1:$I$89,3,0)*VLOOKUP('Données projet'!$B$13,Paramètres!$A$1:$I$89,5,0)</f>
        <v>163.99999999999991</v>
      </c>
      <c r="CV134" s="13">
        <f t="shared" si="149"/>
        <v>41.743425908362248</v>
      </c>
      <c r="CW134" s="20">
        <f t="shared" si="121"/>
        <v>358.33646679039742</v>
      </c>
      <c r="CX134" s="59">
        <f t="shared" si="122"/>
        <v>649.72528809478297</v>
      </c>
      <c r="CY134" s="59">
        <f ca="1">AVERAGE(OFFSET($CX$3,0,0,'Données projet'!$E$13+1,1))-AVERAGE(OFFSET($H$3,0,0,'Données projet'!$E$13+1,1))</f>
        <v>201.71903756761543</v>
      </c>
      <c r="CZ134" s="59">
        <f t="shared" si="150"/>
        <v>200.66422845182711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9.459803852364109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9.459803852364109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7.0766666666666636</v>
      </c>
      <c r="DO134" s="12">
        <f>IF('Données projet'!$A$166&gt;35,DO133+DN134-DW133,IF(A134&lt;'Données projet'!$A$166,$DL$205^A134,IF(A134='Données projet'!$A$166,'Données projet'!$B$166,DO133+DN134-DW133)))</f>
        <v>385.57000000000005</v>
      </c>
      <c r="DP134" s="17">
        <f>DO134*VLOOKUP('Données projet'!$B$14,Paramètres!$A$1:$I$89,3,0)*VLOOKUP('Données projet'!$B$14,Paramètres!$A$1:$I$89,5,0)</f>
        <v>366.90841200000006</v>
      </c>
      <c r="DQ134" s="13">
        <f t="shared" si="151"/>
        <v>85.034511476429799</v>
      </c>
      <c r="DR134" s="20">
        <f t="shared" si="124"/>
        <v>787.13392505478203</v>
      </c>
      <c r="DS134" s="59">
        <f t="shared" si="125"/>
        <v>1078.5227463591675</v>
      </c>
      <c r="DT134" s="59">
        <f ca="1">AVERAGE(OFFSET($DS$3,0,0,'Données projet'!$E$14+1,1))-AVERAGE(OFFSET($H$3,0,0,'Données projet'!$E$14+1,1))</f>
        <v>502.4879901989737</v>
      </c>
      <c r="DU134" s="59">
        <f t="shared" si="152"/>
        <v>226.06453328626355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93.523641446649052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93.523641446649052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-3.2543994166189806E-14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192.76157155207764</v>
      </c>
      <c r="EP134" s="59">
        <f t="shared" si="154"/>
        <v>413.66427458788348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10.069441490521038</v>
      </c>
      <c r="EW134" s="21">
        <f>EXP(-LN(2)/25)*EW133+(1-EXP(-LN(2)/25))/(LN(2)/25)*Calculateur!ER134*Calculateur!ET134*VLOOKUP('Données projet'!$B$15,Paramètres!$A$1:$I$89,3,0)*0.475*44/12</f>
        <v>1.1353834058229284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11.204824896343967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69.469678537559702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1.05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3.85</v>
      </c>
      <c r="H135" s="66">
        <f t="shared" si="110"/>
        <v>241.26666666666665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7.0766666666666636</v>
      </c>
      <c r="N135" s="13">
        <f>IF('Données projet'!$A$36&gt;35,N134+M135-V134,IF(A135&lt;'Données projet'!$A$36,$K$205^A135,IF(A135='Données projet'!$A$36,'Données projet'!$B$36,N134+M135-V134)))</f>
        <v>392.6466666666667</v>
      </c>
      <c r="O135" s="13">
        <f>N135*VLOOKUP('Données projet'!$B$9,Paramètres!$A$1:$I$89,3,0)*VLOOKUP('Données projet'!$B$9,Paramètres!$A$1:$I$89,5,0)</f>
        <v>355.26670400000006</v>
      </c>
      <c r="P135" s="13">
        <f t="shared" si="141"/>
        <v>82.646035811784046</v>
      </c>
      <c r="Q135" s="20">
        <f t="shared" si="108"/>
        <v>762.69802183885724</v>
      </c>
      <c r="R135" s="59">
        <f t="shared" si="109"/>
        <v>1054.1205760796674</v>
      </c>
      <c r="S135" s="59">
        <f ca="1">AVERAGE(OFFSET($R$3,0,0,'Données projet'!$E$9+1,1))-AVERAGE(OFFSET($H$3,0,0,'Données projet'!$E$9+1,1))</f>
        <v>480.34707165277229</v>
      </c>
      <c r="T135" s="59">
        <f t="shared" si="142"/>
        <v>217.17128038304531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87.180370379291745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87.180370379291745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20.08734000000041</v>
      </c>
      <c r="AK135" s="13">
        <f t="shared" si="143"/>
        <v>6.5285137703520215</v>
      </c>
      <c r="AL135" s="20">
        <f t="shared" si="112"/>
        <v>46.355945316697152</v>
      </c>
      <c r="AM135" s="59">
        <f t="shared" si="113"/>
        <v>337.7784995575073</v>
      </c>
      <c r="AN135" s="59">
        <f ca="1">AVERAGE(OFFSET($AM$3,0,0,'Données projet'!$E$10+1,1))-AVERAGE(OFFSET($H$3,0,0,'Données projet'!$E$10+1,1))</f>
        <v>596.64394969449609</v>
      </c>
      <c r="AO135" s="59">
        <f t="shared" si="144"/>
        <v>312.55704723516362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304.43471130382545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304.43471130382545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212.28480000000002</v>
      </c>
      <c r="BF135" s="13">
        <f t="shared" si="145"/>
        <v>52.434557099704193</v>
      </c>
      <c r="BG135" s="20">
        <f t="shared" si="115"/>
        <v>461.05288028198476</v>
      </c>
      <c r="BH135" s="59">
        <f t="shared" si="116"/>
        <v>752.4754345227949</v>
      </c>
      <c r="BI135" s="59">
        <f ca="1">AVERAGE(OFFSET($BH$3,0,0,'Données projet'!$E$11+1,1))-AVERAGE(OFFSET($H$3,0,0,'Données projet'!$E$11+1,1))</f>
        <v>360.53625471540249</v>
      </c>
      <c r="BJ135" s="59">
        <f t="shared" si="146"/>
        <v>326.66299410556076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29.787624293934613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29.787624293934613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253.79640000000001</v>
      </c>
      <c r="CA135" s="13">
        <f t="shared" si="147"/>
        <v>61.39816832228076</v>
      </c>
      <c r="CB135" s="20">
        <f t="shared" si="118"/>
        <v>548.96387316130563</v>
      </c>
      <c r="CC135" s="59">
        <f t="shared" si="119"/>
        <v>840.38642740211571</v>
      </c>
      <c r="CD135" s="59">
        <f ca="1">AVERAGE(OFFSET($CC$3,0,0,'Données projet'!$E$12+1,1))-AVERAGE(OFFSET($H$3,0,0,'Données projet'!$E$12+1,1))</f>
        <v>358.39045200457502</v>
      </c>
      <c r="CE135" s="59">
        <f t="shared" si="148"/>
        <v>349.48764057925109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18.984873168366228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18.984873168366228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210.25641025641013</v>
      </c>
      <c r="CU135" s="17">
        <f>CT135*VLOOKUP('Données projet'!$B$13,Paramètres!$A$1:$I$89,3,0)*VLOOKUP('Données projet'!$B$13,Paramètres!$A$1:$I$89,5,0)</f>
        <v>163.99999999999991</v>
      </c>
      <c r="CV135" s="13">
        <f t="shared" si="149"/>
        <v>41.743425908362248</v>
      </c>
      <c r="CW135" s="20">
        <f t="shared" si="121"/>
        <v>358.33646679039742</v>
      </c>
      <c r="CX135" s="59">
        <f t="shared" si="122"/>
        <v>649.75902103120757</v>
      </c>
      <c r="CY135" s="59">
        <f ca="1">AVERAGE(OFFSET($CX$3,0,0,'Données projet'!$E$13+1,1))-AVERAGE(OFFSET($H$3,0,0,'Données projet'!$E$13+1,1))</f>
        <v>201.71903756761543</v>
      </c>
      <c r="CZ135" s="59">
        <f t="shared" si="150"/>
        <v>200.66422845182711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9.2743028687298672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9.2743028687298672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7.0766666666666636</v>
      </c>
      <c r="DO135" s="12">
        <f>IF('Données projet'!$A$166&gt;35,DO134+DN135-DW134,IF(A135&lt;'Données projet'!$A$166,$DL$205^A135,IF(A135='Données projet'!$A$166,'Données projet'!$B$166,DO134+DN135-DW134)))</f>
        <v>392.6466666666667</v>
      </c>
      <c r="DP135" s="17">
        <f>DO135*VLOOKUP('Données projet'!$B$14,Paramètres!$A$1:$I$89,3,0)*VLOOKUP('Données projet'!$B$14,Paramètres!$A$1:$I$89,5,0)</f>
        <v>373.64256800000004</v>
      </c>
      <c r="DQ135" s="13">
        <f t="shared" si="151"/>
        <v>86.412086996789881</v>
      </c>
      <c r="DR135" s="20">
        <f t="shared" si="124"/>
        <v>801.26185745274233</v>
      </c>
      <c r="DS135" s="59">
        <f t="shared" si="125"/>
        <v>1092.6844116935524</v>
      </c>
      <c r="DT135" s="59">
        <f ca="1">AVERAGE(OFFSET($DS$3,0,0,'Données projet'!$E$14+1,1))-AVERAGE(OFFSET($H$3,0,0,'Données projet'!$E$14+1,1))</f>
        <v>502.4879901989737</v>
      </c>
      <c r="DU135" s="59">
        <f t="shared" si="152"/>
        <v>226.06453328626355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91.689699881668943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91.689699881668943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-3.2543994166189806E-14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192.76157155207764</v>
      </c>
      <c r="EP135" s="59">
        <f t="shared" si="154"/>
        <v>413.66427458788348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9.8719858846447828</v>
      </c>
      <c r="EW135" s="21">
        <f>EXP(-LN(2)/25)*EW134+(1-EXP(-LN(2)/25))/(LN(2)/25)*Calculateur!ER135*Calculateur!ET135*VLOOKUP('Données projet'!$B$15,Paramètres!$A$1:$I$89,3,0)*0.475*44/12</f>
        <v>1.1043362868834821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10.976322171528265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69.478878429311862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1.05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3.85</v>
      </c>
      <c r="H136" s="66">
        <f t="shared" si="110"/>
        <v>241.26666666666665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7.0766666666666636</v>
      </c>
      <c r="N136" s="13">
        <f>IF('Données projet'!$A$36&gt;35,N135+M136-V135,IF(A136&lt;'Données projet'!$A$36,$K$205^A136,IF(A136='Données projet'!$A$36,'Données projet'!$B$36,N135+M136-V135)))</f>
        <v>399.72333333333336</v>
      </c>
      <c r="O136" s="13">
        <f>N136*VLOOKUP('Données projet'!$B$9,Paramètres!$A$1:$I$89,3,0)*VLOOKUP('Données projet'!$B$9,Paramètres!$A$1:$I$89,5,0)</f>
        <v>361.66967199999999</v>
      </c>
      <c r="P136" s="13">
        <f t="shared" si="141"/>
        <v>83.960811913582532</v>
      </c>
      <c r="Q136" s="20">
        <f t="shared" si="108"/>
        <v>776.1397594828228</v>
      </c>
      <c r="R136" s="59">
        <f t="shared" si="109"/>
        <v>1067.5954614690261</v>
      </c>
      <c r="S136" s="59">
        <f ca="1">AVERAGE(OFFSET($R$3,0,0,'Données projet'!$E$9+1,1))-AVERAGE(OFFSET($H$3,0,0,'Données projet'!$E$9+1,1))</f>
        <v>480.34707165277229</v>
      </c>
      <c r="T136" s="59">
        <f t="shared" si="142"/>
        <v>217.17128038304531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85.470816490929195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85.470816490929195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20.08734000000041</v>
      </c>
      <c r="AK136" s="13">
        <f t="shared" si="143"/>
        <v>6.5285137703520215</v>
      </c>
      <c r="AL136" s="20">
        <f t="shared" si="112"/>
        <v>46.355945316697152</v>
      </c>
      <c r="AM136" s="59">
        <f t="shared" si="113"/>
        <v>337.8116473029005</v>
      </c>
      <c r="AN136" s="59">
        <f ca="1">AVERAGE(OFFSET($AM$3,0,0,'Données projet'!$E$10+1,1))-AVERAGE(OFFSET($H$3,0,0,'Données projet'!$E$10+1,1))</f>
        <v>596.64394969449609</v>
      </c>
      <c r="AO136" s="59">
        <f t="shared" si="144"/>
        <v>312.55704723516362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298.46493230199627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298.46493230199627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212.28480000000002</v>
      </c>
      <c r="BF136" s="13">
        <f t="shared" si="145"/>
        <v>52.434557099704193</v>
      </c>
      <c r="BG136" s="20">
        <f t="shared" si="115"/>
        <v>461.05288028198476</v>
      </c>
      <c r="BH136" s="59">
        <f t="shared" si="116"/>
        <v>752.50858226818809</v>
      </c>
      <c r="BI136" s="59">
        <f ca="1">AVERAGE(OFFSET($BH$3,0,0,'Données projet'!$E$11+1,1))-AVERAGE(OFFSET($H$3,0,0,'Données projet'!$E$11+1,1))</f>
        <v>360.53625471540249</v>
      </c>
      <c r="BJ136" s="59">
        <f t="shared" si="146"/>
        <v>326.66299410556076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29.20350715018737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29.20350715018737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253.79640000000001</v>
      </c>
      <c r="CA136" s="13">
        <f t="shared" si="147"/>
        <v>61.39816832228076</v>
      </c>
      <c r="CB136" s="20">
        <f t="shared" si="118"/>
        <v>548.96387316130563</v>
      </c>
      <c r="CC136" s="59">
        <f t="shared" si="119"/>
        <v>840.41957514750902</v>
      </c>
      <c r="CD136" s="59">
        <f ca="1">AVERAGE(OFFSET($CC$3,0,0,'Données projet'!$E$12+1,1))-AVERAGE(OFFSET($H$3,0,0,'Données projet'!$E$12+1,1))</f>
        <v>358.39045200457502</v>
      </c>
      <c r="CE136" s="59">
        <f t="shared" si="148"/>
        <v>349.48764057925109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18.612591385163807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18.612591385163807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210.25641025641013</v>
      </c>
      <c r="CU136" s="17">
        <f>CT136*VLOOKUP('Données projet'!$B$13,Paramètres!$A$1:$I$89,3,0)*VLOOKUP('Données projet'!$B$13,Paramètres!$A$1:$I$89,5,0)</f>
        <v>163.99999999999991</v>
      </c>
      <c r="CV136" s="13">
        <f t="shared" si="149"/>
        <v>41.743425908362248</v>
      </c>
      <c r="CW136" s="20">
        <f t="shared" si="121"/>
        <v>358.33646679039742</v>
      </c>
      <c r="CX136" s="59">
        <f t="shared" si="122"/>
        <v>649.79216877660076</v>
      </c>
      <c r="CY136" s="59">
        <f ca="1">AVERAGE(OFFSET($CX$3,0,0,'Données projet'!$E$13+1,1))-AVERAGE(OFFSET($H$3,0,0,'Données projet'!$E$13+1,1))</f>
        <v>201.71903756761543</v>
      </c>
      <c r="CZ136" s="59">
        <f t="shared" si="150"/>
        <v>200.66422845182711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9.0924394462402649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9.0924394462402649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7.0766666666666636</v>
      </c>
      <c r="DO136" s="12">
        <f>IF('Données projet'!$A$166&gt;35,DO135+DN136-DW135,IF(A136&lt;'Données projet'!$A$166,$DL$205^A136,IF(A136='Données projet'!$A$166,'Données projet'!$B$166,DO135+DN136-DW135)))</f>
        <v>399.72333333333336</v>
      </c>
      <c r="DP136" s="17">
        <f>DO136*VLOOKUP('Données projet'!$B$14,Paramètres!$A$1:$I$89,3,0)*VLOOKUP('Données projet'!$B$14,Paramètres!$A$1:$I$89,5,0)</f>
        <v>380.37672400000002</v>
      </c>
      <c r="DQ136" s="13">
        <f t="shared" si="151"/>
        <v>87.78677539864681</v>
      </c>
      <c r="DR136" s="20">
        <f t="shared" si="124"/>
        <v>815.38476145264315</v>
      </c>
      <c r="DS136" s="59">
        <f t="shared" si="125"/>
        <v>1106.8404634388464</v>
      </c>
      <c r="DT136" s="59">
        <f ca="1">AVERAGE(OFFSET($DS$3,0,0,'Données projet'!$E$14+1,1))-AVERAGE(OFFSET($H$3,0,0,'Données projet'!$E$14+1,1))</f>
        <v>502.4879901989737</v>
      </c>
      <c r="DU136" s="59">
        <f t="shared" si="152"/>
        <v>226.06453328626355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89.891720792184188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89.891720792184188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-3.2543994166189806E-14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192.76157155207764</v>
      </c>
      <c r="EP136" s="59">
        <f t="shared" si="154"/>
        <v>413.66427458788348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9.6784022627637327</v>
      </c>
      <c r="EW136" s="21">
        <f>EXP(-LN(2)/25)*EW135+(1-EXP(-LN(2)/25))/(LN(2)/25)*Calculateur!ER136*Calculateur!ET136*VLOOKUP('Données projet'!$B$15,Paramètres!$A$1:$I$89,3,0)*0.475*44/12</f>
        <v>1.0741381530441318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10.752540415807864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69.487918723510006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1.05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3.85</v>
      </c>
      <c r="H137" s="66">
        <f t="shared" si="110"/>
        <v>241.26666666666665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7.0766666666666636</v>
      </c>
      <c r="N137" s="13">
        <f>IF('Données projet'!$A$36&gt;35,N136+M137-V136,IF(A137&lt;'Données projet'!$A$36,$K$205^A137,IF(A137='Données projet'!$A$36,'Données projet'!$B$36,N136+M137-V136)))</f>
        <v>406.8</v>
      </c>
      <c r="O137" s="13">
        <f>N137*VLOOKUP('Données projet'!$B$9,Paramètres!$A$1:$I$89,3,0)*VLOOKUP('Données projet'!$B$9,Paramètres!$A$1:$I$89,5,0)</f>
        <v>368.07263999999998</v>
      </c>
      <c r="P137" s="13">
        <f t="shared" si="141"/>
        <v>85.272881250085916</v>
      </c>
      <c r="Q137" s="20">
        <f t="shared" si="108"/>
        <v>789.57678284389965</v>
      </c>
      <c r="R137" s="59">
        <f t="shared" si="109"/>
        <v>1081.0650575362208</v>
      </c>
      <c r="S137" s="59">
        <f ca="1">AVERAGE(OFFSET($R$3,0,0,'Données projet'!$E$9+1,1))-AVERAGE(OFFSET($H$3,0,0,'Données projet'!$E$9+1,1))</f>
        <v>480.34707165277229</v>
      </c>
      <c r="T137" s="59">
        <f t="shared" si="142"/>
        <v>217.17128038304531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83.794785911592527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83.794785911592527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20.08734000000041</v>
      </c>
      <c r="AK137" s="13">
        <f t="shared" si="143"/>
        <v>6.5285137703520215</v>
      </c>
      <c r="AL137" s="20">
        <f t="shared" si="112"/>
        <v>46.355945316697152</v>
      </c>
      <c r="AM137" s="59">
        <f t="shared" si="113"/>
        <v>337.84422000901839</v>
      </c>
      <c r="AN137" s="59">
        <f ca="1">AVERAGE(OFFSET($AM$3,0,0,'Données projet'!$E$10+1,1))-AVERAGE(OFFSET($H$3,0,0,'Données projet'!$E$10+1,1))</f>
        <v>596.64394969449609</v>
      </c>
      <c r="AO137" s="59">
        <f t="shared" si="144"/>
        <v>312.55704723516362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292.61221702518731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292.61221702518731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212.28480000000002</v>
      </c>
      <c r="BF137" s="13">
        <f t="shared" si="145"/>
        <v>52.434557099704193</v>
      </c>
      <c r="BG137" s="20">
        <f t="shared" si="115"/>
        <v>461.05288028198476</v>
      </c>
      <c r="BH137" s="59">
        <f t="shared" si="116"/>
        <v>752.54115497430598</v>
      </c>
      <c r="BI137" s="59">
        <f ca="1">AVERAGE(OFFSET($BH$3,0,0,'Données projet'!$E$11+1,1))-AVERAGE(OFFSET($H$3,0,0,'Données projet'!$E$11+1,1))</f>
        <v>360.53625471540249</v>
      </c>
      <c r="BJ137" s="59">
        <f t="shared" si="146"/>
        <v>326.66299410556076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28.630844187352732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28.630844187352732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253.79640000000001</v>
      </c>
      <c r="CA137" s="13">
        <f t="shared" si="147"/>
        <v>61.39816832228076</v>
      </c>
      <c r="CB137" s="20">
        <f t="shared" si="118"/>
        <v>548.96387316130563</v>
      </c>
      <c r="CC137" s="59">
        <f t="shared" si="119"/>
        <v>840.45214785362691</v>
      </c>
      <c r="CD137" s="59">
        <f ca="1">AVERAGE(OFFSET($CC$3,0,0,'Données projet'!$E$12+1,1))-AVERAGE(OFFSET($H$3,0,0,'Données projet'!$E$12+1,1))</f>
        <v>358.39045200457502</v>
      </c>
      <c r="CE137" s="59">
        <f t="shared" si="148"/>
        <v>349.48764057925109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18.247609820660518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18.247609820660518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210.25641025641013</v>
      </c>
      <c r="CU137" s="17">
        <f>CT137*VLOOKUP('Données projet'!$B$13,Paramètres!$A$1:$I$89,3,0)*VLOOKUP('Données projet'!$B$13,Paramètres!$A$1:$I$89,5,0)</f>
        <v>163.99999999999991</v>
      </c>
      <c r="CV137" s="13">
        <f t="shared" si="149"/>
        <v>41.743425908362248</v>
      </c>
      <c r="CW137" s="20">
        <f t="shared" si="121"/>
        <v>358.33646679039742</v>
      </c>
      <c r="CX137" s="59">
        <f t="shared" si="122"/>
        <v>649.82474148271865</v>
      </c>
      <c r="CY137" s="59">
        <f ca="1">AVERAGE(OFFSET($CX$3,0,0,'Données projet'!$E$13+1,1))-AVERAGE(OFFSET($H$3,0,0,'Données projet'!$E$13+1,1))</f>
        <v>201.71903756761543</v>
      </c>
      <c r="CZ137" s="59">
        <f t="shared" si="150"/>
        <v>200.66422845182711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8.91414225453995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8.91414225453995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7.0766666666666636</v>
      </c>
      <c r="DO137" s="12">
        <f>IF('Données projet'!$A$166&gt;35,DO136+DN137-DW136,IF(A137&lt;'Données projet'!$A$166,$DL$205^A137,IF(A137='Données projet'!$A$166,'Données projet'!$B$166,DO136+DN137-DW136)))</f>
        <v>406.8</v>
      </c>
      <c r="DP137" s="17">
        <f>DO137*VLOOKUP('Données projet'!$B$14,Paramètres!$A$1:$I$89,3,0)*VLOOKUP('Données projet'!$B$14,Paramètres!$A$1:$I$89,5,0)</f>
        <v>387.11088000000001</v>
      </c>
      <c r="DQ137" s="13">
        <f t="shared" si="151"/>
        <v>89.158633692128134</v>
      </c>
      <c r="DR137" s="20">
        <f t="shared" si="124"/>
        <v>829.50273634712312</v>
      </c>
      <c r="DS137" s="59">
        <f t="shared" si="125"/>
        <v>1120.9910110394444</v>
      </c>
      <c r="DT137" s="59">
        <f ca="1">AVERAGE(OFFSET($DS$3,0,0,'Données projet'!$E$14+1,1))-AVERAGE(OFFSET($H$3,0,0,'Données projet'!$E$14+1,1))</f>
        <v>502.4879901989737</v>
      </c>
      <c r="DU137" s="59">
        <f t="shared" si="152"/>
        <v>226.06453328626355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88.128998975985269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88.128998975985269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-3.2543994166189806E-14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192.76157155207764</v>
      </c>
      <c r="EP137" s="59">
        <f t="shared" si="154"/>
        <v>413.66427458788348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9.4886146976334196</v>
      </c>
      <c r="EW137" s="21">
        <f>EXP(-LN(2)/25)*EW136+(1-EXP(-LN(2)/25))/(LN(2)/25)*Calculateur!ER137*Calculateur!ET137*VLOOKUP('Données projet'!$B$15,Paramètres!$A$1:$I$89,3,0)*0.475*44/12</f>
        <v>1.0447657887626696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10.533380486396089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69.496802188814883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1.05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3.85</v>
      </c>
      <c r="H138" s="66">
        <f t="shared" si="110"/>
        <v>241.26666666666665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7.0766666666666636</v>
      </c>
      <c r="N138" s="13">
        <f>IF('Données projet'!$A$36&gt;35,N137+M138-V137,IF(A138&lt;'Données projet'!$A$36,$K$205^A138,IF(A138='Données projet'!$A$36,'Données projet'!$B$36,N137+M138-V137)))</f>
        <v>413.87666666666667</v>
      </c>
      <c r="O138" s="13">
        <f>N138*VLOOKUP('Données projet'!$B$9,Paramètres!$A$1:$I$89,3,0)*VLOOKUP('Données projet'!$B$9,Paramètres!$A$1:$I$89,5,0)</f>
        <v>374.47560800000002</v>
      </c>
      <c r="P138" s="13">
        <f t="shared" si="141"/>
        <v>86.582296341056804</v>
      </c>
      <c r="Q138" s="20">
        <f t="shared" si="108"/>
        <v>803.00918339400721</v>
      </c>
      <c r="R138" s="59">
        <f t="shared" si="109"/>
        <v>1094.5294657288168</v>
      </c>
      <c r="S138" s="59">
        <f ca="1">AVERAGE(OFFSET($R$3,0,0,'Données projet'!$E$9+1,1))-AVERAGE(OFFSET($H$3,0,0,'Données projet'!$E$9+1,1))</f>
        <v>480.34707165277229</v>
      </c>
      <c r="T138" s="59">
        <f t="shared" si="142"/>
        <v>217.17128038304531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82.151621269638937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82.151621269638937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20.08734000000041</v>
      </c>
      <c r="AK138" s="13">
        <f t="shared" si="143"/>
        <v>6.5285137703520215</v>
      </c>
      <c r="AL138" s="20">
        <f t="shared" si="112"/>
        <v>46.355945316697152</v>
      </c>
      <c r="AM138" s="59">
        <f t="shared" si="113"/>
        <v>337.87622765150684</v>
      </c>
      <c r="AN138" s="59">
        <f ca="1">AVERAGE(OFFSET($AM$3,0,0,'Données projet'!$E$10+1,1))-AVERAGE(OFFSET($H$3,0,0,'Données projet'!$E$10+1,1))</f>
        <v>596.64394969449609</v>
      </c>
      <c r="AO138" s="59">
        <f t="shared" si="144"/>
        <v>312.55704723516362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286.87426992515276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286.87426992515276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212.28480000000002</v>
      </c>
      <c r="BF138" s="13">
        <f t="shared" si="145"/>
        <v>52.434557099704193</v>
      </c>
      <c r="BG138" s="20">
        <f t="shared" si="115"/>
        <v>461.05288028198476</v>
      </c>
      <c r="BH138" s="59">
        <f t="shared" si="116"/>
        <v>752.57316261679443</v>
      </c>
      <c r="BI138" s="59">
        <f ca="1">AVERAGE(OFFSET($BH$3,0,0,'Données projet'!$E$11+1,1))-AVERAGE(OFFSET($H$3,0,0,'Données projet'!$E$11+1,1))</f>
        <v>360.53625471540249</v>
      </c>
      <c r="BJ138" s="59">
        <f t="shared" si="146"/>
        <v>326.66299410556076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28.069410795929361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28.069410795929361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253.79640000000001</v>
      </c>
      <c r="CA138" s="13">
        <f t="shared" si="147"/>
        <v>61.39816832228076</v>
      </c>
      <c r="CB138" s="20">
        <f t="shared" si="118"/>
        <v>548.96387316130563</v>
      </c>
      <c r="CC138" s="59">
        <f t="shared" si="119"/>
        <v>840.48415549611536</v>
      </c>
      <c r="CD138" s="59">
        <f ca="1">AVERAGE(OFFSET($CC$3,0,0,'Données projet'!$E$12+1,1))-AVERAGE(OFFSET($H$3,0,0,'Données projet'!$E$12+1,1))</f>
        <v>358.39045200457502</v>
      </c>
      <c r="CE138" s="59">
        <f t="shared" si="148"/>
        <v>349.48764057925109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17.889785322020366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17.889785322020366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210.25641025641013</v>
      </c>
      <c r="CU138" s="17">
        <f>CT138*VLOOKUP('Données projet'!$B$13,Paramètres!$A$1:$I$89,3,0)*VLOOKUP('Données projet'!$B$13,Paramètres!$A$1:$I$89,5,0)</f>
        <v>163.99999999999991</v>
      </c>
      <c r="CV138" s="13">
        <f t="shared" si="149"/>
        <v>41.743425908362248</v>
      </c>
      <c r="CW138" s="20">
        <f t="shared" si="121"/>
        <v>358.33646679039742</v>
      </c>
      <c r="CX138" s="59">
        <f t="shared" si="122"/>
        <v>649.8567491252071</v>
      </c>
      <c r="CY138" s="59">
        <f ca="1">AVERAGE(OFFSET($CX$3,0,0,'Données projet'!$E$13+1,1))-AVERAGE(OFFSET($H$3,0,0,'Données projet'!$E$13+1,1))</f>
        <v>201.71903756761543</v>
      </c>
      <c r="CZ138" s="59">
        <f t="shared" si="150"/>
        <v>200.66422845182711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8.7393413620183296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8.7393413620183296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7.0766666666666636</v>
      </c>
      <c r="DO138" s="12">
        <f>IF('Données projet'!$A$166&gt;35,DO137+DN138-DW137,IF(A138&lt;'Données projet'!$A$166,$DL$205^A138,IF(A138='Données projet'!$A$166,'Données projet'!$B$166,DO137+DN138-DW137)))</f>
        <v>413.87666666666667</v>
      </c>
      <c r="DP138" s="17">
        <f>DO138*VLOOKUP('Données projet'!$B$14,Paramètres!$A$1:$I$89,3,0)*VLOOKUP('Données projet'!$B$14,Paramètres!$A$1:$I$89,5,0)</f>
        <v>393.84503599999999</v>
      </c>
      <c r="DQ138" s="13">
        <f t="shared" si="151"/>
        <v>90.527716790240305</v>
      </c>
      <c r="DR138" s="20">
        <f t="shared" si="124"/>
        <v>843.61587777633497</v>
      </c>
      <c r="DS138" s="59">
        <f t="shared" si="125"/>
        <v>1135.1361601111446</v>
      </c>
      <c r="DT138" s="59">
        <f ca="1">AVERAGE(OFFSET($DS$3,0,0,'Données projet'!$E$14+1,1))-AVERAGE(OFFSET($H$3,0,0,'Données projet'!$E$14+1,1))</f>
        <v>502.4879901989737</v>
      </c>
      <c r="DU138" s="59">
        <f t="shared" si="152"/>
        <v>226.06453328626355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86.400843059447865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86.400843059447865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-3.2543994166189806E-14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192.76157155207764</v>
      </c>
      <c r="EP138" s="59">
        <f t="shared" si="154"/>
        <v>413.66427458788348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9.302548750896328</v>
      </c>
      <c r="EW138" s="21">
        <f>EXP(-LN(2)/25)*EW137+(1-EXP(-LN(2)/25))/(LN(2)/25)*Calculateur!ER138*Calculateur!ET138*VLOOKUP('Données projet'!$B$15,Paramètres!$A$1:$I$89,3,0)*0.475*44/12</f>
        <v>1.0161966133271094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10.318745364223437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69.505531545857181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1.05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3.85</v>
      </c>
      <c r="H139" s="66">
        <f t="shared" si="110"/>
        <v>241.26666666666665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7.0766666666666636</v>
      </c>
      <c r="N139" s="13">
        <f>IF('Données projet'!$A$36&gt;35,N138+M139-V138,IF(A139&lt;'Données projet'!$A$36,$K$205^A139,IF(A139='Données projet'!$A$36,'Données projet'!$B$36,N138+M139-V138)))</f>
        <v>420.95333333333332</v>
      </c>
      <c r="O139" s="13">
        <f>N139*VLOOKUP('Données projet'!$B$9,Paramètres!$A$1:$I$89,3,0)*VLOOKUP('Données projet'!$B$9,Paramètres!$A$1:$I$89,5,0)</f>
        <v>380.87857599999995</v>
      </c>
      <c r="P139" s="13">
        <f t="shared" si="141"/>
        <v>87.889107807325459</v>
      </c>
      <c r="Q139" s="20">
        <f t="shared" si="108"/>
        <v>816.43704929775834</v>
      </c>
      <c r="R139" s="59">
        <f t="shared" si="109"/>
        <v>1107.9887840140175</v>
      </c>
      <c r="S139" s="59">
        <f ca="1">AVERAGE(OFFSET($R$3,0,0,'Données projet'!$E$9+1,1))-AVERAGE(OFFSET($H$3,0,0,'Données projet'!$E$9+1,1))</f>
        <v>480.34707165277229</v>
      </c>
      <c r="T139" s="59">
        <f t="shared" si="142"/>
        <v>217.17128038304531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80.540678084082586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80.540678084082586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20.08734000000041</v>
      </c>
      <c r="AK139" s="13">
        <f t="shared" si="143"/>
        <v>6.5285137703520215</v>
      </c>
      <c r="AL139" s="20">
        <f t="shared" si="112"/>
        <v>46.355945316697152</v>
      </c>
      <c r="AM139" s="59">
        <f t="shared" si="113"/>
        <v>337.90768003295636</v>
      </c>
      <c r="AN139" s="59">
        <f ca="1">AVERAGE(OFFSET($AM$3,0,0,'Données projet'!$E$10+1,1))-AVERAGE(OFFSET($H$3,0,0,'Données projet'!$E$10+1,1))</f>
        <v>596.64394969449609</v>
      </c>
      <c r="AO139" s="59">
        <f t="shared" si="144"/>
        <v>312.55704723516362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281.24884046794773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281.24884046794773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212.28480000000002</v>
      </c>
      <c r="BF139" s="13">
        <f t="shared" si="145"/>
        <v>52.434557099704193</v>
      </c>
      <c r="BG139" s="20">
        <f t="shared" si="115"/>
        <v>461.05288028198476</v>
      </c>
      <c r="BH139" s="59">
        <f t="shared" si="116"/>
        <v>752.60461499824396</v>
      </c>
      <c r="BI139" s="59">
        <f ca="1">AVERAGE(OFFSET($BH$3,0,0,'Données projet'!$E$11+1,1))-AVERAGE(OFFSET($H$3,0,0,'Données projet'!$E$11+1,1))</f>
        <v>360.53625471540249</v>
      </c>
      <c r="BJ139" s="59">
        <f t="shared" si="146"/>
        <v>326.66299410556076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27.518986770871248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27.518986770871248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253.79640000000001</v>
      </c>
      <c r="CA139" s="13">
        <f t="shared" si="147"/>
        <v>61.39816832228076</v>
      </c>
      <c r="CB139" s="20">
        <f t="shared" si="118"/>
        <v>548.96387316130563</v>
      </c>
      <c r="CC139" s="59">
        <f t="shared" si="119"/>
        <v>840.51560787756489</v>
      </c>
      <c r="CD139" s="59">
        <f ca="1">AVERAGE(OFFSET($CC$3,0,0,'Données projet'!$E$12+1,1))-AVERAGE(OFFSET($H$3,0,0,'Données projet'!$E$12+1,1))</f>
        <v>358.39045200457502</v>
      </c>
      <c r="CE139" s="59">
        <f t="shared" si="148"/>
        <v>349.48764057925109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17.538977543547151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17.538977543547151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210.25641025641013</v>
      </c>
      <c r="CU139" s="17">
        <f>CT139*VLOOKUP('Données projet'!$B$13,Paramètres!$A$1:$I$89,3,0)*VLOOKUP('Données projet'!$B$13,Paramètres!$A$1:$I$89,5,0)</f>
        <v>163.99999999999991</v>
      </c>
      <c r="CV139" s="13">
        <f t="shared" si="149"/>
        <v>41.743425908362248</v>
      </c>
      <c r="CW139" s="20">
        <f t="shared" si="121"/>
        <v>358.33646679039742</v>
      </c>
      <c r="CX139" s="59">
        <f t="shared" si="122"/>
        <v>649.88820150665663</v>
      </c>
      <c r="CY139" s="59">
        <f ca="1">AVERAGE(OFFSET($CX$3,0,0,'Données projet'!$E$13+1,1))-AVERAGE(OFFSET($H$3,0,0,'Données projet'!$E$13+1,1))</f>
        <v>201.71903756761543</v>
      </c>
      <c r="CZ139" s="59">
        <f t="shared" si="150"/>
        <v>200.66422845182711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8.5679682083810409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8.5679682083810409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7.0766666666666636</v>
      </c>
      <c r="DO139" s="12">
        <f>IF('Données projet'!$A$166&gt;35,DO138+DN139-DW138,IF(A139&lt;'Données projet'!$A$166,$DL$205^A139,IF(A139='Données projet'!$A$166,'Données projet'!$B$166,DO138+DN139-DW138)))</f>
        <v>420.95333333333332</v>
      </c>
      <c r="DP139" s="17">
        <f>DO139*VLOOKUP('Données projet'!$B$14,Paramètres!$A$1:$I$89,3,0)*VLOOKUP('Données projet'!$B$14,Paramètres!$A$1:$I$89,5,0)</f>
        <v>400.57919199999998</v>
      </c>
      <c r="DQ139" s="13">
        <f t="shared" si="151"/>
        <v>91.894077620525977</v>
      </c>
      <c r="DR139" s="20">
        <f t="shared" si="124"/>
        <v>857.72427792241604</v>
      </c>
      <c r="DS139" s="59">
        <f t="shared" si="125"/>
        <v>1149.2760126386752</v>
      </c>
      <c r="DT139" s="59">
        <f ca="1">AVERAGE(OFFSET($DS$3,0,0,'Données projet'!$E$14+1,1))-AVERAGE(OFFSET($H$3,0,0,'Données projet'!$E$14+1,1))</f>
        <v>502.4879901989737</v>
      </c>
      <c r="DU139" s="59">
        <f t="shared" si="152"/>
        <v>226.06453328626355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84.70657522636273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84.70657522636273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-3.2543994166189806E-14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192.76157155207764</v>
      </c>
      <c r="EP139" s="59">
        <f t="shared" si="154"/>
        <v>413.66427458788348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9.1201314438857288</v>
      </c>
      <c r="EW139" s="21">
        <f>EXP(-LN(2)/25)*EW138+(1-EXP(-LN(2)/25))/(LN(2)/25)*Calculateur!ER139*Calculateur!ET139*VLOOKUP('Données projet'!$B$15,Paramètres!$A$1:$I$89,3,0)*0.475*44/12</f>
        <v>0.98840866349622225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10.108540107381952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69.5141094680707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1.05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3.85</v>
      </c>
      <c r="H140" s="66">
        <f t="shared" si="110"/>
        <v>241.26666666666665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428.03</v>
      </c>
      <c r="L140" s="12">
        <f>VLOOKUP(A140,'Données projet'!$A$35:$I$55,9,0)</f>
        <v>7.0766666666666636</v>
      </c>
      <c r="M140" s="12">
        <f t="array" ref="M140">INDEX(L:L,MIN(IF(ISNUMBER(L140:L336),ROW(L140:L336),"")))</f>
        <v>7.0766666666666636</v>
      </c>
      <c r="N140" s="13">
        <f>IF('Données projet'!$A$36&gt;35,N139+M140-V139,IF(A140&lt;'Données projet'!$A$36,$K$205^A140,IF(A140='Données projet'!$A$36,'Données projet'!$B$36,N139+M140-V139)))</f>
        <v>428.03</v>
      </c>
      <c r="O140" s="13">
        <f>N140*VLOOKUP('Données projet'!$B$9,Paramètres!$A$1:$I$89,3,0)*VLOOKUP('Données projet'!$B$9,Paramètres!$A$1:$I$89,5,0)</f>
        <v>387.28154399999994</v>
      </c>
      <c r="P140" s="13">
        <f t="shared" si="141"/>
        <v>89.193364470196286</v>
      </c>
      <c r="Q140" s="20">
        <f t="shared" si="108"/>
        <v>829.86046558559167</v>
      </c>
      <c r="R140" s="59">
        <f t="shared" si="109"/>
        <v>1121.4431070547994</v>
      </c>
      <c r="S140" s="59">
        <f ca="1">AVERAGE(OFFSET($R$3,0,0,'Données projet'!$E$9+1,1))-AVERAGE(OFFSET($H$3,0,0,'Données projet'!$E$9+1,1))</f>
        <v>480.34707165277229</v>
      </c>
      <c r="T140" s="59">
        <f t="shared" si="142"/>
        <v>217.17128038304531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65.53</v>
      </c>
      <c r="W140" s="16">
        <f>IF(ISNA(VLOOKUP(A140,'Données projet'!$A$35:$I$55,5,0)),0%,VLOOKUP(A140,'Données projet'!$A$35:$I$55,5,0)*VLOOKUP('Données projet'!$B$9,Paramètres!$A$1:$I$89,7,0))</f>
        <v>0.43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107.14569414078976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107.14569414078976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20.08734000000041</v>
      </c>
      <c r="AK140" s="13">
        <f t="shared" si="143"/>
        <v>6.5285137703520215</v>
      </c>
      <c r="AL140" s="20">
        <f t="shared" si="112"/>
        <v>46.355945316697152</v>
      </c>
      <c r="AM140" s="59">
        <f t="shared" si="113"/>
        <v>337.93858678590482</v>
      </c>
      <c r="AN140" s="59">
        <f ca="1">AVERAGE(OFFSET($AM$3,0,0,'Données projet'!$E$10+1,1))-AVERAGE(OFFSET($H$3,0,0,'Données projet'!$E$10+1,1))</f>
        <v>596.64394969449609</v>
      </c>
      <c r="AO140" s="59">
        <f t="shared" si="144"/>
        <v>312.55704723516362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275.73372225122529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275.73372225122529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212.28480000000002</v>
      </c>
      <c r="BF140" s="13">
        <f t="shared" si="145"/>
        <v>52.434557099704193</v>
      </c>
      <c r="BG140" s="20">
        <f t="shared" si="115"/>
        <v>461.05288028198476</v>
      </c>
      <c r="BH140" s="59">
        <f t="shared" si="116"/>
        <v>752.63552175119241</v>
      </c>
      <c r="BI140" s="59">
        <f ca="1">AVERAGE(OFFSET($BH$3,0,0,'Données projet'!$E$11+1,1))-AVERAGE(OFFSET($H$3,0,0,'Données projet'!$E$11+1,1))</f>
        <v>360.53625471540249</v>
      </c>
      <c r="BJ140" s="59">
        <f t="shared" si="146"/>
        <v>326.66299410556076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26.979356225219018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26.979356225219018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253.79640000000001</v>
      </c>
      <c r="CA140" s="13">
        <f t="shared" si="147"/>
        <v>61.39816832228076</v>
      </c>
      <c r="CB140" s="20">
        <f t="shared" si="118"/>
        <v>548.96387316130563</v>
      </c>
      <c r="CC140" s="59">
        <f t="shared" si="119"/>
        <v>840.54651463051323</v>
      </c>
      <c r="CD140" s="59">
        <f ca="1">AVERAGE(OFFSET($CC$3,0,0,'Données projet'!$E$12+1,1))-AVERAGE(OFFSET($H$3,0,0,'Données projet'!$E$12+1,1))</f>
        <v>358.39045200457502</v>
      </c>
      <c r="CE140" s="59">
        <f t="shared" si="148"/>
        <v>349.48764057925109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17.19504889163818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17.19504889163818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210.25641025641013</v>
      </c>
      <c r="CU140" s="17">
        <f>CT140*VLOOKUP('Données projet'!$B$13,Paramètres!$A$1:$I$89,3,0)*VLOOKUP('Données projet'!$B$13,Paramètres!$A$1:$I$89,5,0)</f>
        <v>163.99999999999991</v>
      </c>
      <c r="CV140" s="13">
        <f t="shared" si="149"/>
        <v>41.743425908362248</v>
      </c>
      <c r="CW140" s="20">
        <f t="shared" si="121"/>
        <v>358.33646679039742</v>
      </c>
      <c r="CX140" s="59">
        <f t="shared" si="122"/>
        <v>649.91910825960508</v>
      </c>
      <c r="CY140" s="59">
        <f ca="1">AVERAGE(OFFSET($CX$3,0,0,'Données projet'!$E$13+1,1))-AVERAGE(OFFSET($H$3,0,0,'Données projet'!$E$13+1,1))</f>
        <v>201.71903756761543</v>
      </c>
      <c r="CZ140" s="59">
        <f t="shared" si="150"/>
        <v>200.66422845182711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8.3999555777592771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8.3999555777592771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428.03</v>
      </c>
      <c r="DM140" s="12">
        <f>VLOOKUP(A140,'Données projet'!$A$165:$I$185,9,0)</f>
        <v>7.0766666666666636</v>
      </c>
      <c r="DN140" s="12">
        <f t="array" ref="DN140">INDEX(DM:DM,MIN(IF(ISNUMBER(DM140:DM336),ROW(DM140:DM336),"")))</f>
        <v>7.0766666666666636</v>
      </c>
      <c r="DO140" s="12">
        <f>IF('Données projet'!$A$166&gt;35,DO139+DN140-DW139,IF(A140&lt;'Données projet'!$A$166,$DL$205^A140,IF(A140='Données projet'!$A$166,'Données projet'!$B$166,DO139+DN140-DW139)))</f>
        <v>428.03</v>
      </c>
      <c r="DP140" s="17">
        <f>DO140*VLOOKUP('Données projet'!$B$14,Paramètres!$A$1:$I$89,3,0)*VLOOKUP('Données projet'!$B$14,Paramètres!$A$1:$I$89,5,0)</f>
        <v>407.31334800000002</v>
      </c>
      <c r="DQ140" s="13">
        <f t="shared" si="151"/>
        <v>93.257767229000436</v>
      </c>
      <c r="DR140" s="20">
        <f t="shared" si="124"/>
        <v>871.82802569050909</v>
      </c>
      <c r="DS140" s="59">
        <f t="shared" si="125"/>
        <v>1163.4106671597167</v>
      </c>
      <c r="DT140" s="59">
        <f ca="1">AVERAGE(OFFSET($DS$3,0,0,'Données projet'!$E$14+1,1))-AVERAGE(OFFSET($H$3,0,0,'Données projet'!$E$14+1,1))</f>
        <v>502.4879901989737</v>
      </c>
      <c r="DU140" s="59">
        <f t="shared" si="152"/>
        <v>226.06453328626355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65.53</v>
      </c>
      <c r="DX140" s="16">
        <f>IF(ISNA(VLOOKUP(A140,'Données projet'!$A$165:$I$185,5,0)),0%,VLOOKUP(A140,'Données projet'!$A$165:$I$185,5,0)*VLOOKUP('Données projet'!$B$14,Paramètres!$A$1:$I$89,7,0))</f>
        <v>0.43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112.68771280324441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112.68771280324441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-3.2543994166189806E-14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192.76157155207764</v>
      </c>
      <c r="EP140" s="59">
        <f t="shared" si="154"/>
        <v>413.66427458788348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8.9412912290020365</v>
      </c>
      <c r="EW140" s="21">
        <f>EXP(-LN(2)/25)*EW139+(1-EXP(-LN(2)/25))/(LN(2)/25)*Calculateur!ER140*Calculateur!ET140*VLOOKUP('Données projet'!$B$15,Paramètres!$A$1:$I$89,3,0)*0.475*44/12</f>
        <v>0.9613805766147655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9.9026718056168015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69.522538582511189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1.05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3.85</v>
      </c>
      <c r="H141" s="66">
        <f t="shared" si="110"/>
        <v>241.26666666666665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6.8383333333333338</v>
      </c>
      <c r="N141" s="13">
        <f>IF('Données projet'!$A$36&gt;35,N140+M141-V140,IF(A141&lt;'Données projet'!$A$36,$K$205^A141,IF(A141='Données projet'!$A$36,'Données projet'!$B$36,N140+M141-V140)))</f>
        <v>369.33833333333325</v>
      </c>
      <c r="O141" s="13">
        <f>N141*VLOOKUP('Données projet'!$B$9,Paramètres!$A$1:$I$89,3,0)*VLOOKUP('Données projet'!$B$9,Paramètres!$A$1:$I$89,5,0)</f>
        <v>334.17732399999989</v>
      </c>
      <c r="P141" s="13">
        <f t="shared" si="141"/>
        <v>78.295737945390471</v>
      </c>
      <c r="Q141" s="20">
        <f t="shared" si="108"/>
        <v>718.3905828882215</v>
      </c>
      <c r="R141" s="59">
        <f t="shared" si="109"/>
        <v>1010.0035949473111</v>
      </c>
      <c r="S141" s="59">
        <f ca="1">AVERAGE(OFFSET($R$3,0,0,'Données projet'!$E$9+1,1))-AVERAGE(OFFSET($H$3,0,0,'Données projet'!$E$9+1,1))</f>
        <v>480.34707165277229</v>
      </c>
      <c r="T141" s="59">
        <f t="shared" si="142"/>
        <v>217.17128038304531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105.04463243110928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105.04463243110928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20.08734000000041</v>
      </c>
      <c r="AK141" s="13">
        <f t="shared" si="143"/>
        <v>6.5285137703520215</v>
      </c>
      <c r="AL141" s="20">
        <f t="shared" si="112"/>
        <v>46.355945316697152</v>
      </c>
      <c r="AM141" s="59">
        <f t="shared" si="113"/>
        <v>337.96895737578677</v>
      </c>
      <c r="AN141" s="59">
        <f ca="1">AVERAGE(OFFSET($AM$3,0,0,'Données projet'!$E$10+1,1))-AVERAGE(OFFSET($H$3,0,0,'Données projet'!$E$10+1,1))</f>
        <v>596.64394969449609</v>
      </c>
      <c r="AO141" s="59">
        <f t="shared" si="144"/>
        <v>312.55704723516362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270.32675213884283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270.32675213884283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212.28480000000002</v>
      </c>
      <c r="BF141" s="13">
        <f t="shared" si="145"/>
        <v>52.434557099704193</v>
      </c>
      <c r="BG141" s="20">
        <f t="shared" si="115"/>
        <v>461.05288028198476</v>
      </c>
      <c r="BH141" s="59">
        <f t="shared" si="116"/>
        <v>752.66589234107437</v>
      </c>
      <c r="BI141" s="59">
        <f ca="1">AVERAGE(OFFSET($BH$3,0,0,'Données projet'!$E$11+1,1))-AVERAGE(OFFSET($H$3,0,0,'Données projet'!$E$11+1,1))</f>
        <v>360.53625471540249</v>
      </c>
      <c r="BJ141" s="59">
        <f t="shared" si="146"/>
        <v>326.66299410556076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26.450307505424895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26.450307505424895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253.79640000000001</v>
      </c>
      <c r="CA141" s="13">
        <f t="shared" si="147"/>
        <v>61.39816832228076</v>
      </c>
      <c r="CB141" s="20">
        <f t="shared" si="118"/>
        <v>548.96387316130563</v>
      </c>
      <c r="CC141" s="59">
        <f t="shared" si="119"/>
        <v>840.5768852203953</v>
      </c>
      <c r="CD141" s="59">
        <f ca="1">AVERAGE(OFFSET($CC$3,0,0,'Données projet'!$E$12+1,1))-AVERAGE(OFFSET($H$3,0,0,'Données projet'!$E$12+1,1))</f>
        <v>358.39045200457502</v>
      </c>
      <c r="CE141" s="59">
        <f t="shared" si="148"/>
        <v>349.48764057925109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16.857864470817379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16.857864470817379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210.25641025641013</v>
      </c>
      <c r="CU141" s="17">
        <f>CT141*VLOOKUP('Données projet'!$B$13,Paramètres!$A$1:$I$89,3,0)*VLOOKUP('Données projet'!$B$13,Paramètres!$A$1:$I$89,5,0)</f>
        <v>163.99999999999991</v>
      </c>
      <c r="CV141" s="13">
        <f t="shared" si="149"/>
        <v>41.743425908362248</v>
      </c>
      <c r="CW141" s="20">
        <f t="shared" si="121"/>
        <v>358.33646679039742</v>
      </c>
      <c r="CX141" s="59">
        <f t="shared" si="122"/>
        <v>649.94947884948704</v>
      </c>
      <c r="CY141" s="59">
        <f ca="1">AVERAGE(OFFSET($CX$3,0,0,'Données projet'!$E$13+1,1))-AVERAGE(OFFSET($H$3,0,0,'Données projet'!$E$13+1,1))</f>
        <v>201.71903756761543</v>
      </c>
      <c r="CZ141" s="59">
        <f t="shared" si="150"/>
        <v>200.66422845182711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8.2352375723464206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8.2352375723464206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6.8383333333333338</v>
      </c>
      <c r="DO141" s="12">
        <f>IF('Données projet'!$A$166&gt;35,DO140+DN141-DW140,IF(A141&lt;'Données projet'!$A$166,$DL$205^A141,IF(A141='Données projet'!$A$166,'Données projet'!$B$166,DO140+DN141-DW140)))</f>
        <v>369.33833333333325</v>
      </c>
      <c r="DP141" s="17">
        <f>DO141*VLOOKUP('Données projet'!$B$14,Paramètres!$A$1:$I$89,3,0)*VLOOKUP('Données projet'!$B$14,Paramètres!$A$1:$I$89,5,0)</f>
        <v>351.46235799999988</v>
      </c>
      <c r="DQ141" s="13">
        <f t="shared" si="151"/>
        <v>81.863552829357445</v>
      </c>
      <c r="DR141" s="20">
        <f t="shared" si="124"/>
        <v>754.70929469446401</v>
      </c>
      <c r="DS141" s="59">
        <f t="shared" si="125"/>
        <v>1046.3223067535537</v>
      </c>
      <c r="DT141" s="59">
        <f ca="1">AVERAGE(OFFSET($DS$3,0,0,'Données projet'!$E$14+1,1))-AVERAGE(OFFSET($H$3,0,0,'Données projet'!$E$14+1,1))</f>
        <v>502.4879901989737</v>
      </c>
      <c r="DU141" s="59">
        <f t="shared" si="152"/>
        <v>226.06453328626355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110.4779754878908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110.4779754878908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-3.2543994166189806E-14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192.76157155207764</v>
      </c>
      <c r="EP141" s="59">
        <f t="shared" si="154"/>
        <v>413.66427458788348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8.7659579616504537</v>
      </c>
      <c r="EW141" s="21">
        <f>EXP(-LN(2)/25)*EW140+(1-EXP(-LN(2)/25))/(LN(2)/25)*Calculateur!ER141*Calculateur!ET141*VLOOKUP('Données projet'!$B$15,Paramètres!$A$1:$I$89,3,0)*0.475*44/12</f>
        <v>0.93509157419042743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9.7010495358408804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69.530821470660797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1.05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3.85</v>
      </c>
      <c r="H142" s="66">
        <f t="shared" si="110"/>
        <v>241.26666666666665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6.8383333333333338</v>
      </c>
      <c r="N142" s="13">
        <f>IF('Données projet'!$A$36&gt;35,N141+M142-V141,IF(A142&lt;'Données projet'!$A$36,$K$205^A142,IF(A142='Données projet'!$A$36,'Données projet'!$B$36,N141+M142-V141)))</f>
        <v>376.17666666666656</v>
      </c>
      <c r="O142" s="13">
        <f>N142*VLOOKUP('Données projet'!$B$9,Paramètres!$A$1:$I$89,3,0)*VLOOKUP('Données projet'!$B$9,Paramètres!$A$1:$I$89,5,0)</f>
        <v>340.36464799999987</v>
      </c>
      <c r="P142" s="13">
        <f t="shared" si="141"/>
        <v>79.575280306613536</v>
      </c>
      <c r="Q142" s="20">
        <f t="shared" si="108"/>
        <v>731.39537513401831</v>
      </c>
      <c r="R142" s="59">
        <f t="shared" si="109"/>
        <v>1023.0382309211539</v>
      </c>
      <c r="S142" s="59">
        <f ca="1">AVERAGE(OFFSET($R$3,0,0,'Données projet'!$E$9+1,1))-AVERAGE(OFFSET($H$3,0,0,'Données projet'!$E$9+1,1))</f>
        <v>480.34707165277229</v>
      </c>
      <c r="T142" s="59">
        <f t="shared" si="142"/>
        <v>217.17128038304531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102.98477126003453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102.98477126003453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20.08734000000041</v>
      </c>
      <c r="AK142" s="13">
        <f t="shared" si="143"/>
        <v>6.5285137703520215</v>
      </c>
      <c r="AL142" s="20">
        <f t="shared" si="112"/>
        <v>46.355945316697152</v>
      </c>
      <c r="AM142" s="59">
        <f t="shared" si="113"/>
        <v>337.9988011038327</v>
      </c>
      <c r="AN142" s="59">
        <f ca="1">AVERAGE(OFFSET($AM$3,0,0,'Données projet'!$E$10+1,1))-AVERAGE(OFFSET($H$3,0,0,'Données projet'!$E$10+1,1))</f>
        <v>596.64394969449609</v>
      </c>
      <c r="AO142" s="59">
        <f t="shared" si="144"/>
        <v>312.55704723516362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265.02580941243809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265.02580941243809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212.28480000000002</v>
      </c>
      <c r="BF142" s="13">
        <f t="shared" si="145"/>
        <v>52.434557099704193</v>
      </c>
      <c r="BG142" s="20">
        <f t="shared" si="115"/>
        <v>461.05288028198476</v>
      </c>
      <c r="BH142" s="59">
        <f t="shared" si="116"/>
        <v>752.69573606912036</v>
      </c>
      <c r="BI142" s="59">
        <f ca="1">AVERAGE(OFFSET($BH$3,0,0,'Données projet'!$E$11+1,1))-AVERAGE(OFFSET($H$3,0,0,'Données projet'!$E$11+1,1))</f>
        <v>360.53625471540249</v>
      </c>
      <c r="BJ142" s="59">
        <f t="shared" si="146"/>
        <v>326.66299410556076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25.93163310833808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25.93163310833808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253.79640000000001</v>
      </c>
      <c r="CA142" s="13">
        <f t="shared" si="147"/>
        <v>61.39816832228076</v>
      </c>
      <c r="CB142" s="20">
        <f t="shared" si="118"/>
        <v>548.96387316130563</v>
      </c>
      <c r="CC142" s="59">
        <f t="shared" si="119"/>
        <v>840.60672894844117</v>
      </c>
      <c r="CD142" s="59">
        <f ca="1">AVERAGE(OFFSET($CC$3,0,0,'Données projet'!$E$12+1,1))-AVERAGE(OFFSET($H$3,0,0,'Données projet'!$E$12+1,1))</f>
        <v>358.39045200457502</v>
      </c>
      <c r="CE142" s="59">
        <f t="shared" si="148"/>
        <v>349.48764057925109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16.527292030826686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16.527292030826686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210.25641025641013</v>
      </c>
      <c r="CU142" s="17">
        <f>CT142*VLOOKUP('Données projet'!$B$13,Paramètres!$A$1:$I$89,3,0)*VLOOKUP('Données projet'!$B$13,Paramètres!$A$1:$I$89,5,0)</f>
        <v>163.99999999999991</v>
      </c>
      <c r="CV142" s="13">
        <f t="shared" si="149"/>
        <v>41.743425908362248</v>
      </c>
      <c r="CW142" s="20">
        <f t="shared" si="121"/>
        <v>358.33646679039742</v>
      </c>
      <c r="CX142" s="59">
        <f t="shared" si="122"/>
        <v>649.97932257753291</v>
      </c>
      <c r="CY142" s="59">
        <f ca="1">AVERAGE(OFFSET($CX$3,0,0,'Données projet'!$E$13+1,1))-AVERAGE(OFFSET($H$3,0,0,'Données projet'!$E$13+1,1))</f>
        <v>201.71903756761543</v>
      </c>
      <c r="CZ142" s="59">
        <f t="shared" si="150"/>
        <v>200.66422845182711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8.0737495865516458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8.0737495865516458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6.8383333333333338</v>
      </c>
      <c r="DO142" s="12">
        <f>IF('Données projet'!$A$166&gt;35,DO141+DN142-DW141,IF(A142&lt;'Données projet'!$A$166,$DL$205^A142,IF(A142='Données projet'!$A$166,'Données projet'!$B$166,DO141+DN142-DW141)))</f>
        <v>376.17666666666656</v>
      </c>
      <c r="DP142" s="17">
        <f>DO142*VLOOKUP('Données projet'!$B$14,Paramètres!$A$1:$I$89,3,0)*VLOOKUP('Données projet'!$B$14,Paramètres!$A$1:$I$89,5,0)</f>
        <v>357.96971599999989</v>
      </c>
      <c r="DQ142" s="13">
        <f t="shared" si="151"/>
        <v>83.201401943934272</v>
      </c>
      <c r="DR142" s="20">
        <f t="shared" si="124"/>
        <v>768.37303041901862</v>
      </c>
      <c r="DS142" s="59">
        <f t="shared" si="125"/>
        <v>1060.0158862061542</v>
      </c>
      <c r="DT142" s="59">
        <f ca="1">AVERAGE(OFFSET($DS$3,0,0,'Données projet'!$E$14+1,1))-AVERAGE(OFFSET($H$3,0,0,'Données projet'!$E$14+1,1))</f>
        <v>502.4879901989737</v>
      </c>
      <c r="DU142" s="59">
        <f t="shared" si="152"/>
        <v>226.06453328626355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108.31156977348461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108.31156977348461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-3.2543994166189806E-14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192.76157155207764</v>
      </c>
      <c r="EP142" s="59">
        <f t="shared" si="154"/>
        <v>413.66427458788348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8.5940628727289017</v>
      </c>
      <c r="EW142" s="21">
        <f>EXP(-LN(2)/25)*EW141+(1-EXP(-LN(2)/25))/(LN(2)/25)*Calculateur!ER142*Calculateur!ET142*VLOOKUP('Données projet'!$B$15,Paramètres!$A$1:$I$89,3,0)*0.475*44/12</f>
        <v>0.9095214459198615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9.5035843186487625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69.538960669218781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1.05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3.85</v>
      </c>
      <c r="H143" s="66">
        <f t="shared" si="110"/>
        <v>241.26666666666665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6.8383333333333338</v>
      </c>
      <c r="N143" s="13">
        <f>IF('Données projet'!$A$36&gt;35,N142+M143-V142,IF(A143&lt;'Données projet'!$A$36,$K$205^A143,IF(A143='Données projet'!$A$36,'Données projet'!$B$36,N142+M143-V142)))</f>
        <v>383.01499999999987</v>
      </c>
      <c r="O143" s="13">
        <f>N143*VLOOKUP('Données projet'!$B$9,Paramètres!$A$1:$I$89,3,0)*VLOOKUP('Données projet'!$B$9,Paramètres!$A$1:$I$89,5,0)</f>
        <v>346.55197199999986</v>
      </c>
      <c r="P143" s="13">
        <f t="shared" si="141"/>
        <v>80.852117887808276</v>
      </c>
      <c r="Q143" s="20">
        <f t="shared" si="108"/>
        <v>744.39545655459915</v>
      </c>
      <c r="R143" s="59">
        <f t="shared" si="109"/>
        <v>1036.0676383478196</v>
      </c>
      <c r="S143" s="59">
        <f ca="1">AVERAGE(OFFSET($R$3,0,0,'Données projet'!$E$9+1,1))-AVERAGE(OFFSET($H$3,0,0,'Données projet'!$E$9+1,1))</f>
        <v>480.34707165277229</v>
      </c>
      <c r="T143" s="59">
        <f t="shared" si="142"/>
        <v>217.17128038304531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100.96530271013332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100.96530271013332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20.08734000000041</v>
      </c>
      <c r="AK143" s="13">
        <f t="shared" si="143"/>
        <v>6.5285137703520215</v>
      </c>
      <c r="AL143" s="20">
        <f t="shared" si="112"/>
        <v>46.355945316697152</v>
      </c>
      <c r="AM143" s="59">
        <f t="shared" si="113"/>
        <v>338.02812710991765</v>
      </c>
      <c r="AN143" s="59">
        <f ca="1">AVERAGE(OFFSET($AM$3,0,0,'Données projet'!$E$10+1,1))-AVERAGE(OFFSET($H$3,0,0,'Données projet'!$E$10+1,1))</f>
        <v>596.64394969449609</v>
      </c>
      <c r="AO143" s="59">
        <f t="shared" si="144"/>
        <v>312.55704723516362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259.82881493964231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259.82881493964231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212.28480000000002</v>
      </c>
      <c r="BF143" s="13">
        <f t="shared" si="145"/>
        <v>52.434557099704193</v>
      </c>
      <c r="BG143" s="20">
        <f t="shared" si="115"/>
        <v>461.05288028198476</v>
      </c>
      <c r="BH143" s="59">
        <f t="shared" si="116"/>
        <v>752.72506207520519</v>
      </c>
      <c r="BI143" s="59">
        <f ca="1">AVERAGE(OFFSET($BH$3,0,0,'Données projet'!$E$11+1,1))-AVERAGE(OFFSET($H$3,0,0,'Données projet'!$E$11+1,1))</f>
        <v>360.53625471540249</v>
      </c>
      <c r="BJ143" s="59">
        <f t="shared" si="146"/>
        <v>326.66299410556076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25.423129599817994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25.423129599817994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253.79640000000001</v>
      </c>
      <c r="CA143" s="13">
        <f t="shared" si="147"/>
        <v>61.39816832228076</v>
      </c>
      <c r="CB143" s="20">
        <f t="shared" si="118"/>
        <v>548.96387316130563</v>
      </c>
      <c r="CC143" s="59">
        <f t="shared" si="119"/>
        <v>840.63605495452612</v>
      </c>
      <c r="CD143" s="59">
        <f ca="1">AVERAGE(OFFSET($CC$3,0,0,'Données projet'!$E$12+1,1))-AVERAGE(OFFSET($H$3,0,0,'Données projet'!$E$12+1,1))</f>
        <v>358.39045200457502</v>
      </c>
      <c r="CE143" s="59">
        <f t="shared" si="148"/>
        <v>349.48764057925109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16.203201914754931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16.203201914754931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210.25641025641013</v>
      </c>
      <c r="CU143" s="17">
        <f>CT143*VLOOKUP('Données projet'!$B$13,Paramètres!$A$1:$I$89,3,0)*VLOOKUP('Données projet'!$B$13,Paramètres!$A$1:$I$89,5,0)</f>
        <v>163.99999999999991</v>
      </c>
      <c r="CV143" s="13">
        <f t="shared" si="149"/>
        <v>41.743425908362248</v>
      </c>
      <c r="CW143" s="20">
        <f t="shared" si="121"/>
        <v>358.33646679039742</v>
      </c>
      <c r="CX143" s="59">
        <f t="shared" si="122"/>
        <v>650.00864858361797</v>
      </c>
      <c r="CY143" s="59">
        <f ca="1">AVERAGE(OFFSET($CX$3,0,0,'Données projet'!$E$13+1,1))-AVERAGE(OFFSET($H$3,0,0,'Données projet'!$E$13+1,1))</f>
        <v>201.71903756761543</v>
      </c>
      <c r="CZ143" s="59">
        <f t="shared" si="150"/>
        <v>200.66422845182711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7.9154282816603621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7.9154282816603621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6.8383333333333338</v>
      </c>
      <c r="DO143" s="12">
        <f>IF('Données projet'!$A$166&gt;35,DO142+DN143-DW142,IF(A143&lt;'Données projet'!$A$166,$DL$205^A143,IF(A143='Données projet'!$A$166,'Données projet'!$B$166,DO142+DN143-DW142)))</f>
        <v>383.01499999999987</v>
      </c>
      <c r="DP143" s="17">
        <f>DO143*VLOOKUP('Données projet'!$B$14,Paramètres!$A$1:$I$89,3,0)*VLOOKUP('Données projet'!$B$14,Paramètres!$A$1:$I$89,5,0)</f>
        <v>364.4770739999999</v>
      </c>
      <c r="DQ143" s="13">
        <f t="shared" si="151"/>
        <v>84.536423025867862</v>
      </c>
      <c r="DR143" s="20">
        <f t="shared" si="124"/>
        <v>782.03184065338644</v>
      </c>
      <c r="DS143" s="59">
        <f t="shared" si="125"/>
        <v>1073.7040224466068</v>
      </c>
      <c r="DT143" s="59">
        <f ca="1">AVERAGE(OFFSET($DS$3,0,0,'Données projet'!$E$14+1,1))-AVERAGE(OFFSET($H$3,0,0,'Données projet'!$E$14+1,1))</f>
        <v>502.4879901989737</v>
      </c>
      <c r="DU143" s="59">
        <f t="shared" si="152"/>
        <v>226.06453328626355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106.18764595376091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106.18764595376091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-3.2543994166189806E-14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192.76157155207764</v>
      </c>
      <c r="EP143" s="59">
        <f t="shared" si="154"/>
        <v>413.66427458788348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8.4255385416554489</v>
      </c>
      <c r="EW143" s="21">
        <f>EXP(-LN(2)/25)*EW142+(1-EXP(-LN(2)/25))/(LN(2)/25)*Calculateur!ER143*Calculateur!ET143*VLOOKUP('Données projet'!$B$15,Paramètres!$A$1:$I$89,3,0)*0.475*44/12</f>
        <v>0.88465053415152883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9.3101890758069779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69.546958670878311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1.05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3.85</v>
      </c>
      <c r="H144" s="66">
        <f t="shared" si="110"/>
        <v>241.26666666666665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6.8383333333333338</v>
      </c>
      <c r="N144" s="13">
        <f>IF('Données projet'!$A$36&gt;35,N143+M144-V143,IF(A144&lt;'Données projet'!$A$36,$K$205^A144,IF(A144='Données projet'!$A$36,'Données projet'!$B$36,N143+M144-V143)))</f>
        <v>389.85333333333318</v>
      </c>
      <c r="O144" s="13">
        <f>N144*VLOOKUP('Données projet'!$B$9,Paramètres!$A$1:$I$89,3,0)*VLOOKUP('Données projet'!$B$9,Paramètres!$A$1:$I$89,5,0)</f>
        <v>352.73929599999985</v>
      </c>
      <c r="P144" s="13">
        <f t="shared" si="141"/>
        <v>82.126304550864788</v>
      </c>
      <c r="Q144" s="20">
        <f t="shared" si="108"/>
        <v>757.39092095942249</v>
      </c>
      <c r="R144" s="59">
        <f t="shared" si="109"/>
        <v>1049.0919200180854</v>
      </c>
      <c r="S144" s="59">
        <f ca="1">AVERAGE(OFFSET($R$3,0,0,'Données projet'!$E$9+1,1))-AVERAGE(OFFSET($H$3,0,0,'Données projet'!$E$9+1,1))</f>
        <v>480.34707165277229</v>
      </c>
      <c r="T144" s="59">
        <f t="shared" si="142"/>
        <v>217.17128038304531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98.985434706741458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98.985434706741458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20.08734000000041</v>
      </c>
      <c r="AK144" s="13">
        <f t="shared" si="143"/>
        <v>6.5285137703520215</v>
      </c>
      <c r="AL144" s="20">
        <f t="shared" si="112"/>
        <v>46.355945316697152</v>
      </c>
      <c r="AM144" s="59">
        <f t="shared" si="113"/>
        <v>338.0569443753601</v>
      </c>
      <c r="AN144" s="59">
        <f ca="1">AVERAGE(OFFSET($AM$3,0,0,'Données projet'!$E$10+1,1))-AVERAGE(OFFSET($H$3,0,0,'Données projet'!$E$10+1,1))</f>
        <v>596.64394969449609</v>
      </c>
      <c r="AO144" s="59">
        <f t="shared" si="144"/>
        <v>312.55704723516362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254.73373035860445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254.73373035860445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212.28480000000002</v>
      </c>
      <c r="BF144" s="13">
        <f t="shared" si="145"/>
        <v>52.434557099704193</v>
      </c>
      <c r="BG144" s="20">
        <f t="shared" si="115"/>
        <v>461.05288028198476</v>
      </c>
      <c r="BH144" s="59">
        <f t="shared" si="116"/>
        <v>752.7538793406477</v>
      </c>
      <c r="BI144" s="59">
        <f ca="1">AVERAGE(OFFSET($BH$3,0,0,'Données projet'!$E$11+1,1))-AVERAGE(OFFSET($H$3,0,0,'Données projet'!$E$11+1,1))</f>
        <v>360.53625471540249</v>
      </c>
      <c r="BJ144" s="59">
        <f t="shared" si="146"/>
        <v>326.66299410556076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24.924597534943473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24.924597534943473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253.79640000000001</v>
      </c>
      <c r="CA144" s="13">
        <f t="shared" si="147"/>
        <v>61.39816832228076</v>
      </c>
      <c r="CB144" s="20">
        <f t="shared" si="118"/>
        <v>548.96387316130563</v>
      </c>
      <c r="CC144" s="59">
        <f t="shared" si="119"/>
        <v>840.66487221996863</v>
      </c>
      <c r="CD144" s="59">
        <f ca="1">AVERAGE(OFFSET($CC$3,0,0,'Données projet'!$E$12+1,1))-AVERAGE(OFFSET($H$3,0,0,'Données projet'!$E$12+1,1))</f>
        <v>358.39045200457502</v>
      </c>
      <c r="CE144" s="59">
        <f t="shared" si="148"/>
        <v>349.48764057925109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15.885467008183893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15.885467008183893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210.25641025641013</v>
      </c>
      <c r="CU144" s="17">
        <f>CT144*VLOOKUP('Données projet'!$B$13,Paramètres!$A$1:$I$89,3,0)*VLOOKUP('Données projet'!$B$13,Paramètres!$A$1:$I$89,5,0)</f>
        <v>163.99999999999991</v>
      </c>
      <c r="CV144" s="13">
        <f t="shared" si="149"/>
        <v>41.743425908362248</v>
      </c>
      <c r="CW144" s="20">
        <f t="shared" si="121"/>
        <v>358.33646679039742</v>
      </c>
      <c r="CX144" s="59">
        <f t="shared" si="122"/>
        <v>650.03746584906037</v>
      </c>
      <c r="CY144" s="59">
        <f ca="1">AVERAGE(OFFSET($CX$3,0,0,'Données projet'!$E$13+1,1))-AVERAGE(OFFSET($H$3,0,0,'Données projet'!$E$13+1,1))</f>
        <v>201.71903756761543</v>
      </c>
      <c r="CZ144" s="59">
        <f t="shared" si="150"/>
        <v>200.66422845182711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7.760211560991535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7.760211560991535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6.8383333333333338</v>
      </c>
      <c r="DO144" s="12">
        <f>IF('Données projet'!$A$166&gt;35,DO143+DN144-DW143,IF(A144&lt;'Données projet'!$A$166,$DL$205^A144,IF(A144='Données projet'!$A$166,'Données projet'!$B$166,DO143+DN144-DW143)))</f>
        <v>389.85333333333318</v>
      </c>
      <c r="DP144" s="17">
        <f>DO144*VLOOKUP('Données projet'!$B$14,Paramètres!$A$1:$I$89,3,0)*VLOOKUP('Données projet'!$B$14,Paramètres!$A$1:$I$89,5,0)</f>
        <v>370.98443199999986</v>
      </c>
      <c r="DQ144" s="13">
        <f t="shared" si="151"/>
        <v>85.868672391450659</v>
      </c>
      <c r="DR144" s="20">
        <f t="shared" si="124"/>
        <v>795.68582348177642</v>
      </c>
      <c r="DS144" s="59">
        <f t="shared" si="125"/>
        <v>1087.3868225404394</v>
      </c>
      <c r="DT144" s="59">
        <f ca="1">AVERAGE(OFFSET($DS$3,0,0,'Données projet'!$E$14+1,1))-AVERAGE(OFFSET($H$3,0,0,'Données projet'!$E$14+1,1))</f>
        <v>502.4879901989737</v>
      </c>
      <c r="DU144" s="59">
        <f t="shared" si="152"/>
        <v>226.06453328626355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104.10537098467637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104.10537098467637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-3.2543994166189806E-14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192.76157155207764</v>
      </c>
      <c r="EP144" s="59">
        <f t="shared" si="154"/>
        <v>413.66427458788348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8.2603188699246548</v>
      </c>
      <c r="EW144" s="21">
        <f>EXP(-LN(2)/25)*EW143+(1-EXP(-LN(2)/25))/(LN(2)/25)*Calculateur!ER144*Calculateur!ET144*VLOOKUP('Données projet'!$B$15,Paramètres!$A$1:$I$89,3,0)*0.475*44/12</f>
        <v>0.86045971877340555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9.1207785886980606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69.554817925089893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1.05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3.85</v>
      </c>
      <c r="H145" s="66">
        <f t="shared" si="110"/>
        <v>241.26666666666665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6.8383333333333338</v>
      </c>
      <c r="N145" s="13">
        <f>IF('Données projet'!$A$36&gt;35,N144+M145-V144,IF(A145&lt;'Données projet'!$A$36,$K$205^A145,IF(A145='Données projet'!$A$36,'Données projet'!$B$36,N144+M145-V144)))</f>
        <v>396.69166666666649</v>
      </c>
      <c r="O145" s="13">
        <f>N145*VLOOKUP('Données projet'!$B$9,Paramètres!$A$1:$I$89,3,0)*VLOOKUP('Données projet'!$B$9,Paramètres!$A$1:$I$89,5,0)</f>
        <v>358.92661999999984</v>
      </c>
      <c r="P145" s="13">
        <f t="shared" si="141"/>
        <v>83.397892159874218</v>
      </c>
      <c r="Q145" s="20">
        <f t="shared" si="108"/>
        <v>770.38185867844732</v>
      </c>
      <c r="R145" s="59">
        <f t="shared" si="109"/>
        <v>1062.1111750874231</v>
      </c>
      <c r="S145" s="59">
        <f ca="1">AVERAGE(OFFSET($R$3,0,0,'Données projet'!$E$9+1,1))-AVERAGE(OFFSET($H$3,0,0,'Données projet'!$E$9+1,1))</f>
        <v>480.34707165277229</v>
      </c>
      <c r="T145" s="59">
        <f t="shared" si="142"/>
        <v>217.17128038304531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97.044390707295875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97.044390707295875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20.08734000000041</v>
      </c>
      <c r="AK145" s="13">
        <f t="shared" si="143"/>
        <v>6.5285137703520215</v>
      </c>
      <c r="AL145" s="20">
        <f t="shared" si="112"/>
        <v>46.355945316697152</v>
      </c>
      <c r="AM145" s="59">
        <f t="shared" si="113"/>
        <v>338.08526172567292</v>
      </c>
      <c r="AN145" s="59">
        <f ca="1">AVERAGE(OFFSET($AM$3,0,0,'Données projet'!$E$10+1,1))-AVERAGE(OFFSET($H$3,0,0,'Données projet'!$E$10+1,1))</f>
        <v>596.64394969449609</v>
      </c>
      <c r="AO145" s="59">
        <f t="shared" si="144"/>
        <v>312.55704723516362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249.73855727850599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249.73855727850599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212.28480000000002</v>
      </c>
      <c r="BF145" s="13">
        <f t="shared" si="145"/>
        <v>52.434557099704193</v>
      </c>
      <c r="BG145" s="20">
        <f t="shared" si="115"/>
        <v>461.05288028198476</v>
      </c>
      <c r="BH145" s="59">
        <f t="shared" si="116"/>
        <v>752.78219669096052</v>
      </c>
      <c r="BI145" s="59">
        <f ca="1">AVERAGE(OFFSET($BH$3,0,0,'Données projet'!$E$11+1,1))-AVERAGE(OFFSET($H$3,0,0,'Données projet'!$E$11+1,1))</f>
        <v>360.53625471540249</v>
      </c>
      <c r="BJ145" s="59">
        <f t="shared" si="146"/>
        <v>326.66299410556076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24.435841379786606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24.435841379786606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253.79640000000001</v>
      </c>
      <c r="CA145" s="13">
        <f t="shared" si="147"/>
        <v>61.39816832228076</v>
      </c>
      <c r="CB145" s="20">
        <f t="shared" si="118"/>
        <v>548.96387316130563</v>
      </c>
      <c r="CC145" s="59">
        <f t="shared" si="119"/>
        <v>840.69318957028145</v>
      </c>
      <c r="CD145" s="59">
        <f ca="1">AVERAGE(OFFSET($CC$3,0,0,'Données projet'!$E$12+1,1))-AVERAGE(OFFSET($H$3,0,0,'Données projet'!$E$12+1,1))</f>
        <v>358.39045200457502</v>
      </c>
      <c r="CE145" s="59">
        <f t="shared" si="148"/>
        <v>349.48764057925109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15.573962689331555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15.573962689331555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210.25641025641013</v>
      </c>
      <c r="CU145" s="17">
        <f>CT145*VLOOKUP('Données projet'!$B$13,Paramètres!$A$1:$I$89,3,0)*VLOOKUP('Données projet'!$B$13,Paramètres!$A$1:$I$89,5,0)</f>
        <v>163.99999999999991</v>
      </c>
      <c r="CV145" s="13">
        <f t="shared" si="149"/>
        <v>41.743425908362248</v>
      </c>
      <c r="CW145" s="20">
        <f t="shared" si="121"/>
        <v>358.33646679039742</v>
      </c>
      <c r="CX145" s="59">
        <f t="shared" si="122"/>
        <v>650.06578319937319</v>
      </c>
      <c r="CY145" s="59">
        <f ca="1">AVERAGE(OFFSET($CX$3,0,0,'Données projet'!$E$13+1,1))-AVERAGE(OFFSET($H$3,0,0,'Données projet'!$E$13+1,1))</f>
        <v>201.71903756761543</v>
      </c>
      <c r="CZ145" s="59">
        <f t="shared" si="150"/>
        <v>200.66422845182711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7.6080385455421728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7.6080385455421728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6.8383333333333338</v>
      </c>
      <c r="DO145" s="12">
        <f>IF('Données projet'!$A$166&gt;35,DO144+DN145-DW144,IF(A145&lt;'Données projet'!$A$166,$DL$205^A145,IF(A145='Données projet'!$A$166,'Données projet'!$B$166,DO144+DN145-DW144)))</f>
        <v>396.69166666666649</v>
      </c>
      <c r="DP145" s="17">
        <f>DO145*VLOOKUP('Données projet'!$B$14,Paramètres!$A$1:$I$89,3,0)*VLOOKUP('Données projet'!$B$14,Paramètres!$A$1:$I$89,5,0)</f>
        <v>377.49178999999987</v>
      </c>
      <c r="DQ145" s="13">
        <f t="shared" si="151"/>
        <v>87.198204268140003</v>
      </c>
      <c r="DR145" s="20">
        <f t="shared" si="124"/>
        <v>809.33507335034358</v>
      </c>
      <c r="DS145" s="59">
        <f t="shared" si="125"/>
        <v>1101.0643897593193</v>
      </c>
      <c r="DT145" s="59">
        <f ca="1">AVERAGE(OFFSET($DS$3,0,0,'Données projet'!$E$14+1,1))-AVERAGE(OFFSET($H$3,0,0,'Données projet'!$E$14+1,1))</f>
        <v>502.4879901989737</v>
      </c>
      <c r="DU145" s="59">
        <f t="shared" si="152"/>
        <v>226.06453328626355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102.06392815767326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102.06392815767326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-3.2543994166189806E-14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192.76157155207764</v>
      </c>
      <c r="EP145" s="59">
        <f t="shared" si="154"/>
        <v>413.66427458788348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8.0983390551824517</v>
      </c>
      <c r="EW145" s="21">
        <f>EXP(-LN(2)/25)*EW144+(1-EXP(-LN(2)/25))/(LN(2)/25)*Calculateur!ER145*Calculateur!ET145*VLOOKUP('Données projet'!$B$15,Paramètres!$A$1:$I$89,3,0)*0.475*44/12</f>
        <v>0.8369304025139368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8.9352694576963891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69.562540838811572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1.05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3.85</v>
      </c>
      <c r="H146" s="66">
        <f t="shared" si="110"/>
        <v>241.26666666666665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6.8383333333333338</v>
      </c>
      <c r="N146" s="13">
        <f>IF('Données projet'!$A$36&gt;35,N145+M146-V145,IF(A146&lt;'Données projet'!$A$36,$K$205^A146,IF(A146='Données projet'!$A$36,'Données projet'!$B$36,N145+M146-V145)))</f>
        <v>403.5299999999998</v>
      </c>
      <c r="O146" s="13">
        <f>N146*VLOOKUP('Données projet'!$B$9,Paramètres!$A$1:$I$89,3,0)*VLOOKUP('Données projet'!$B$9,Paramètres!$A$1:$I$89,5,0)</f>
        <v>365.11394399999983</v>
      </c>
      <c r="P146" s="13">
        <f t="shared" si="141"/>
        <v>84.666930688368183</v>
      </c>
      <c r="Q146" s="20">
        <f t="shared" si="108"/>
        <v>783.36835674890756</v>
      </c>
      <c r="R146" s="59">
        <f t="shared" si="109"/>
        <v>1075.1254992654763</v>
      </c>
      <c r="S146" s="59">
        <f ca="1">AVERAGE(OFFSET($R$3,0,0,'Données projet'!$E$9+1,1))-AVERAGE(OFFSET($H$3,0,0,'Données projet'!$E$9+1,1))</f>
        <v>480.34707165277229</v>
      </c>
      <c r="T146" s="59">
        <f t="shared" si="142"/>
        <v>217.17128038304531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95.141409396759485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95.141409396759485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20.08734000000041</v>
      </c>
      <c r="AK146" s="13">
        <f t="shared" si="143"/>
        <v>6.5285137703520215</v>
      </c>
      <c r="AL146" s="20">
        <f t="shared" si="112"/>
        <v>46.355945316697152</v>
      </c>
      <c r="AM146" s="59">
        <f t="shared" si="113"/>
        <v>338.11308783326592</v>
      </c>
      <c r="AN146" s="59">
        <f ca="1">AVERAGE(OFFSET($AM$3,0,0,'Données projet'!$E$10+1,1))-AVERAGE(OFFSET($H$3,0,0,'Données projet'!$E$10+1,1))</f>
        <v>596.64394969449609</v>
      </c>
      <c r="AO146" s="59">
        <f t="shared" si="144"/>
        <v>312.55704723516362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244.84133649575355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244.84133649575355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212.28480000000002</v>
      </c>
      <c r="BF146" s="13">
        <f t="shared" si="145"/>
        <v>52.434557099704193</v>
      </c>
      <c r="BG146" s="20">
        <f t="shared" si="115"/>
        <v>461.05288028198476</v>
      </c>
      <c r="BH146" s="59">
        <f t="shared" si="116"/>
        <v>752.81002279855352</v>
      </c>
      <c r="BI146" s="59">
        <f ca="1">AVERAGE(OFFSET($BH$3,0,0,'Données projet'!$E$11+1,1))-AVERAGE(OFFSET($H$3,0,0,'Données projet'!$E$11+1,1))</f>
        <v>360.53625471540249</v>
      </c>
      <c r="BJ146" s="59">
        <f t="shared" si="146"/>
        <v>326.66299410556076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23.956669434720546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23.956669434720546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253.79640000000001</v>
      </c>
      <c r="CA146" s="13">
        <f t="shared" si="147"/>
        <v>61.39816832228076</v>
      </c>
      <c r="CB146" s="20">
        <f t="shared" si="118"/>
        <v>548.96387316130563</v>
      </c>
      <c r="CC146" s="59">
        <f t="shared" si="119"/>
        <v>840.72101567787445</v>
      </c>
      <c r="CD146" s="59">
        <f ca="1">AVERAGE(OFFSET($CC$3,0,0,'Données projet'!$E$12+1,1))-AVERAGE(OFFSET($H$3,0,0,'Données projet'!$E$12+1,1))</f>
        <v>358.39045200457502</v>
      </c>
      <c r="CE146" s="59">
        <f t="shared" si="148"/>
        <v>349.48764057925109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15.268566780173037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15.268566780173037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210.25641025641013</v>
      </c>
      <c r="CU146" s="17">
        <f>CT146*VLOOKUP('Données projet'!$B$13,Paramètres!$A$1:$I$89,3,0)*VLOOKUP('Données projet'!$B$13,Paramètres!$A$1:$I$89,5,0)</f>
        <v>163.99999999999991</v>
      </c>
      <c r="CV146" s="13">
        <f t="shared" si="149"/>
        <v>41.743425908362248</v>
      </c>
      <c r="CW146" s="20">
        <f t="shared" si="121"/>
        <v>358.33646679039742</v>
      </c>
      <c r="CX146" s="59">
        <f t="shared" si="122"/>
        <v>650.09360930696619</v>
      </c>
      <c r="CY146" s="59">
        <f ca="1">AVERAGE(OFFSET($CX$3,0,0,'Données projet'!$E$13+1,1))-AVERAGE(OFFSET($H$3,0,0,'Données projet'!$E$13+1,1))</f>
        <v>201.71903756761543</v>
      </c>
      <c r="CZ146" s="59">
        <f t="shared" si="150"/>
        <v>200.66422845182711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7.4588495501093979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7.4588495501093979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6.8383333333333338</v>
      </c>
      <c r="DO146" s="12">
        <f>IF('Données projet'!$A$166&gt;35,DO145+DN146-DW145,IF(A146&lt;'Données projet'!$A$166,$DL$205^A146,IF(A146='Données projet'!$A$166,'Données projet'!$B$166,DO145+DN146-DW145)))</f>
        <v>403.5299999999998</v>
      </c>
      <c r="DP146" s="17">
        <f>DO146*VLOOKUP('Données projet'!$B$14,Paramètres!$A$1:$I$89,3,0)*VLOOKUP('Données projet'!$B$14,Paramètres!$A$1:$I$89,5,0)</f>
        <v>383.99914799999982</v>
      </c>
      <c r="DQ146" s="13">
        <f t="shared" si="151"/>
        <v>88.525070906683155</v>
      </c>
      <c r="DR146" s="20">
        <f t="shared" si="124"/>
        <v>822.97968126247281</v>
      </c>
      <c r="DS146" s="59">
        <f t="shared" si="125"/>
        <v>1114.7368237790415</v>
      </c>
      <c r="DT146" s="59">
        <f ca="1">AVERAGE(OFFSET($DS$3,0,0,'Données projet'!$E$14+1,1))-AVERAGE(OFFSET($H$3,0,0,'Données projet'!$E$14+1,1))</f>
        <v>502.4879901989737</v>
      </c>
      <c r="DU146" s="59">
        <f t="shared" si="152"/>
        <v>226.06453328626355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100.0625167793505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100.0625167793505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-3.2543994166189806E-14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192.76157155207764</v>
      </c>
      <c r="EP146" s="59">
        <f t="shared" si="154"/>
        <v>413.66427458788348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7.939535565809412</v>
      </c>
      <c r="EW146" s="21">
        <f>EXP(-LN(2)/25)*EW145+(1-EXP(-LN(2)/25))/(LN(2)/25)*Calculateur!ER146*Calculateur!ET146*VLOOKUP('Données projet'!$B$15,Paramètres!$A$1:$I$89,3,0)*0.475*44/12</f>
        <v>0.81404449664493617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8.7535800624543487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69.570129777246024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1.05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3.85</v>
      </c>
      <c r="H147" s="66">
        <f t="shared" si="110"/>
        <v>241.26666666666665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6.8383333333333338</v>
      </c>
      <c r="N147" s="13">
        <f>IF('Données projet'!$A$36&gt;35,N146+M147-V146,IF(A147&lt;'Données projet'!$A$36,$K$205^A147,IF(A147='Données projet'!$A$36,'Données projet'!$B$36,N146+M147-V146)))</f>
        <v>410.36833333333311</v>
      </c>
      <c r="O147" s="13">
        <f>N147*VLOOKUP('Données projet'!$B$9,Paramètres!$A$1:$I$89,3,0)*VLOOKUP('Données projet'!$B$9,Paramètres!$A$1:$I$89,5,0)</f>
        <v>371.30126799999977</v>
      </c>
      <c r="P147" s="13">
        <f t="shared" si="141"/>
        <v>85.933468319082195</v>
      </c>
      <c r="Q147" s="20">
        <f t="shared" si="108"/>
        <v>796.35049908906774</v>
      </c>
      <c r="R147" s="59">
        <f t="shared" si="109"/>
        <v>1088.1349849924727</v>
      </c>
      <c r="S147" s="59">
        <f ca="1">AVERAGE(OFFSET($R$3,0,0,'Données projet'!$E$9+1,1))-AVERAGE(OFFSET($H$3,0,0,'Données projet'!$E$9+1,1))</f>
        <v>480.34707165277229</v>
      </c>
      <c r="T147" s="59">
        <f t="shared" si="142"/>
        <v>217.17128038304531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93.275744389018726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93.275744389018726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20.08734000000041</v>
      </c>
      <c r="AK147" s="13">
        <f t="shared" si="143"/>
        <v>6.5285137703520215</v>
      </c>
      <c r="AL147" s="20">
        <f t="shared" si="112"/>
        <v>46.355945316697152</v>
      </c>
      <c r="AM147" s="59">
        <f t="shared" si="113"/>
        <v>338.14043122010202</v>
      </c>
      <c r="AN147" s="59">
        <f ca="1">AVERAGE(OFFSET($AM$3,0,0,'Données projet'!$E$10+1,1))-AVERAGE(OFFSET($H$3,0,0,'Données projet'!$E$10+1,1))</f>
        <v>596.64394969449609</v>
      </c>
      <c r="AO147" s="59">
        <f t="shared" si="144"/>
        <v>312.55704723516362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240.04014722554115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240.04014722554115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212.28480000000002</v>
      </c>
      <c r="BF147" s="13">
        <f t="shared" si="145"/>
        <v>52.434557099704193</v>
      </c>
      <c r="BG147" s="20">
        <f t="shared" si="115"/>
        <v>461.05288028198476</v>
      </c>
      <c r="BH147" s="59">
        <f t="shared" si="116"/>
        <v>752.83736618538956</v>
      </c>
      <c r="BI147" s="59">
        <f ca="1">AVERAGE(OFFSET($BH$3,0,0,'Données projet'!$E$11+1,1))-AVERAGE(OFFSET($H$3,0,0,'Données projet'!$E$11+1,1))</f>
        <v>360.53625471540249</v>
      </c>
      <c r="BJ147" s="59">
        <f t="shared" si="146"/>
        <v>326.66299410556076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23.486893759231204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23.486893759231204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253.79640000000001</v>
      </c>
      <c r="CA147" s="13">
        <f t="shared" si="147"/>
        <v>61.39816832228076</v>
      </c>
      <c r="CB147" s="20">
        <f t="shared" si="118"/>
        <v>548.96387316130563</v>
      </c>
      <c r="CC147" s="59">
        <f t="shared" si="119"/>
        <v>840.74835906471048</v>
      </c>
      <c r="CD147" s="59">
        <f ca="1">AVERAGE(OFFSET($CC$3,0,0,'Données projet'!$E$12+1,1))-AVERAGE(OFFSET($H$3,0,0,'Données projet'!$E$12+1,1))</f>
        <v>358.39045200457502</v>
      </c>
      <c r="CE147" s="59">
        <f t="shared" si="148"/>
        <v>349.48764057925109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14.969159498520007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14.969159498520007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210.25641025641013</v>
      </c>
      <c r="CU147" s="17">
        <f>CT147*VLOOKUP('Données projet'!$B$13,Paramètres!$A$1:$I$89,3,0)*VLOOKUP('Données projet'!$B$13,Paramètres!$A$1:$I$89,5,0)</f>
        <v>163.99999999999991</v>
      </c>
      <c r="CV147" s="13">
        <f t="shared" si="149"/>
        <v>41.743425908362248</v>
      </c>
      <c r="CW147" s="20">
        <f t="shared" si="121"/>
        <v>358.33646679039742</v>
      </c>
      <c r="CX147" s="59">
        <f t="shared" si="122"/>
        <v>650.12095269380234</v>
      </c>
      <c r="CY147" s="59">
        <f ca="1">AVERAGE(OFFSET($CX$3,0,0,'Données projet'!$E$13+1,1))-AVERAGE(OFFSET($H$3,0,0,'Données projet'!$E$13+1,1))</f>
        <v>201.71903756761543</v>
      </c>
      <c r="CZ147" s="59">
        <f t="shared" si="150"/>
        <v>200.66422845182711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7.3125860598807577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7.3125860598807577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6.8383333333333338</v>
      </c>
      <c r="DO147" s="12">
        <f>IF('Données projet'!$A$166&gt;35,DO146+DN147-DW146,IF(A147&lt;'Données projet'!$A$166,$DL$205^A147,IF(A147='Données projet'!$A$166,'Données projet'!$B$166,DO146+DN147-DW146)))</f>
        <v>410.36833333333311</v>
      </c>
      <c r="DP147" s="17">
        <f>DO147*VLOOKUP('Données projet'!$B$14,Paramètres!$A$1:$I$89,3,0)*VLOOKUP('Données projet'!$B$14,Paramètres!$A$1:$I$89,5,0)</f>
        <v>390.50650599999977</v>
      </c>
      <c r="DQ147" s="13">
        <f t="shared" si="151"/>
        <v>89.849322685427865</v>
      </c>
      <c r="DR147" s="20">
        <f t="shared" si="124"/>
        <v>836.61973496045312</v>
      </c>
      <c r="DS147" s="59">
        <f t="shared" si="125"/>
        <v>1128.404220863858</v>
      </c>
      <c r="DT147" s="59">
        <f ca="1">AVERAGE(OFFSET($DS$3,0,0,'Données projet'!$E$14+1,1))-AVERAGE(OFFSET($H$3,0,0,'Données projet'!$E$14+1,1))</f>
        <v>502.4879901989737</v>
      </c>
      <c r="DU147" s="59">
        <f t="shared" si="152"/>
        <v>226.06453328626355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98.100351857416257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98.100351857416257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-3.2543994166189806E-14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192.76157155207764</v>
      </c>
      <c r="EP147" s="59">
        <f t="shared" si="154"/>
        <v>413.66427458788348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7.7838461160024135</v>
      </c>
      <c r="EW147" s="21">
        <f>EXP(-LN(2)/25)*EW146+(1-EXP(-LN(2)/25))/(LN(2)/25)*Calculateur!ER147*Calculateur!ET147*VLOOKUP('Données projet'!$B$15,Paramètres!$A$1:$I$89,3,0)*0.475*44/12</f>
        <v>0.79178440707544084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8.5756305230778551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69.577587064564966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1.05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3.85</v>
      </c>
      <c r="H148" s="66">
        <f t="shared" si="110"/>
        <v>241.26666666666665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6.8383333333333338</v>
      </c>
      <c r="N148" s="13">
        <f>IF('Données projet'!$A$36&gt;35,N147+M148-V147,IF(A148&lt;'Données projet'!$A$36,$K$205^A148,IF(A148='Données projet'!$A$36,'Données projet'!$B$36,N147+M148-V147)))</f>
        <v>417.20666666666642</v>
      </c>
      <c r="O148" s="13">
        <f>N148*VLOOKUP('Données projet'!$B$9,Paramètres!$A$1:$I$89,3,0)*VLOOKUP('Données projet'!$B$9,Paramètres!$A$1:$I$89,5,0)</f>
        <v>377.48859199999976</v>
      </c>
      <c r="P148" s="13">
        <f t="shared" si="141"/>
        <v>87.19755153688088</v>
      </c>
      <c r="Q148" s="20">
        <f t="shared" si="108"/>
        <v>809.32836666006722</v>
      </c>
      <c r="R148" s="59">
        <f t="shared" si="109"/>
        <v>1101.1397216036771</v>
      </c>
      <c r="S148" s="59">
        <f ca="1">AVERAGE(OFFSET($R$3,0,0,'Données projet'!$E$9+1,1))-AVERAGE(OFFSET($H$3,0,0,'Données projet'!$E$9+1,1))</f>
        <v>480.34707165277229</v>
      </c>
      <c r="T148" s="59">
        <f t="shared" si="142"/>
        <v>217.17128038304531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91.446663934136467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91.446663934136467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20.08734000000041</v>
      </c>
      <c r="AK148" s="13">
        <f t="shared" si="143"/>
        <v>6.5285137703520215</v>
      </c>
      <c r="AL148" s="20">
        <f t="shared" si="112"/>
        <v>46.355945316697152</v>
      </c>
      <c r="AM148" s="59">
        <f t="shared" si="113"/>
        <v>338.16730026030717</v>
      </c>
      <c r="AN148" s="59">
        <f ca="1">AVERAGE(OFFSET($AM$3,0,0,'Données projet'!$E$10+1,1))-AVERAGE(OFFSET($H$3,0,0,'Données projet'!$E$10+1,1))</f>
        <v>596.64394969449609</v>
      </c>
      <c r="AO148" s="59">
        <f t="shared" si="144"/>
        <v>312.55704723516362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235.33310634848129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235.33310634848129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212.28480000000002</v>
      </c>
      <c r="BF148" s="13">
        <f t="shared" si="145"/>
        <v>52.434557099704193</v>
      </c>
      <c r="BG148" s="20">
        <f t="shared" si="115"/>
        <v>461.05288028198476</v>
      </c>
      <c r="BH148" s="59">
        <f t="shared" si="116"/>
        <v>752.86423522559471</v>
      </c>
      <c r="BI148" s="59">
        <f ca="1">AVERAGE(OFFSET($BH$3,0,0,'Données projet'!$E$11+1,1))-AVERAGE(OFFSET($H$3,0,0,'Données projet'!$E$11+1,1))</f>
        <v>360.53625471540249</v>
      </c>
      <c r="BJ148" s="59">
        <f t="shared" si="146"/>
        <v>326.66299410556076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23.026330098203339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23.026330098203339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253.79640000000001</v>
      </c>
      <c r="CA148" s="13">
        <f t="shared" si="147"/>
        <v>61.39816832228076</v>
      </c>
      <c r="CB148" s="20">
        <f t="shared" si="118"/>
        <v>548.96387316130563</v>
      </c>
      <c r="CC148" s="59">
        <f t="shared" si="119"/>
        <v>840.77522810491564</v>
      </c>
      <c r="CD148" s="59">
        <f ca="1">AVERAGE(OFFSET($CC$3,0,0,'Données projet'!$E$12+1,1))-AVERAGE(OFFSET($H$3,0,0,'Données projet'!$E$12+1,1))</f>
        <v>358.39045200457502</v>
      </c>
      <c r="CE148" s="59">
        <f t="shared" si="148"/>
        <v>349.48764057925109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14.675623411039783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14.675623411039783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210.25641025641013</v>
      </c>
      <c r="CU148" s="17">
        <f>CT148*VLOOKUP('Données projet'!$B$13,Paramètres!$A$1:$I$89,3,0)*VLOOKUP('Données projet'!$B$13,Paramètres!$A$1:$I$89,5,0)</f>
        <v>163.99999999999991</v>
      </c>
      <c r="CV148" s="13">
        <f t="shared" si="149"/>
        <v>41.743425908362248</v>
      </c>
      <c r="CW148" s="20">
        <f t="shared" si="121"/>
        <v>358.33646679039742</v>
      </c>
      <c r="CX148" s="59">
        <f t="shared" si="122"/>
        <v>650.14782173400749</v>
      </c>
      <c r="CY148" s="59">
        <f ca="1">AVERAGE(OFFSET($CX$3,0,0,'Données projet'!$E$13+1,1))-AVERAGE(OFFSET($H$3,0,0,'Données projet'!$E$13+1,1))</f>
        <v>201.71903756761543</v>
      </c>
      <c r="CZ148" s="59">
        <f t="shared" si="150"/>
        <v>200.66422845182711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7.1691907074835806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7.1691907074835806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6.8383333333333338</v>
      </c>
      <c r="DO148" s="12">
        <f>IF('Données projet'!$A$166&gt;35,DO147+DN148-DW147,IF(A148&lt;'Données projet'!$A$166,$DL$205^A148,IF(A148='Données projet'!$A$166,'Données projet'!$B$166,DO147+DN148-DW147)))</f>
        <v>417.20666666666642</v>
      </c>
      <c r="DP148" s="17">
        <f>DO148*VLOOKUP('Données projet'!$B$14,Paramètres!$A$1:$I$89,3,0)*VLOOKUP('Données projet'!$B$14,Paramètres!$A$1:$I$89,5,0)</f>
        <v>397.01386399999978</v>
      </c>
      <c r="DQ148" s="13">
        <f t="shared" si="151"/>
        <v>91.171008207482075</v>
      </c>
      <c r="DR148" s="20">
        <f t="shared" si="124"/>
        <v>850.25531909469748</v>
      </c>
      <c r="DS148" s="59">
        <f t="shared" si="125"/>
        <v>1142.0666740383076</v>
      </c>
      <c r="DT148" s="59">
        <f ca="1">AVERAGE(OFFSET($DS$3,0,0,'Données projet'!$E$14+1,1))-AVERAGE(OFFSET($H$3,0,0,'Données projet'!$E$14+1,1))</f>
        <v>502.4879901989737</v>
      </c>
      <c r="DU148" s="59">
        <f t="shared" si="152"/>
        <v>226.06453328626355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96.176663792798706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96.176663792798706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-3.2543994166189806E-14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192.76157155207764</v>
      </c>
      <c r="EP148" s="59">
        <f t="shared" si="154"/>
        <v>413.66427458788348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7.6312096413449426</v>
      </c>
      <c r="EW148" s="21">
        <f>EXP(-LN(2)/25)*EW147+(1-EXP(-LN(2)/25))/(LN(2)/25)*Calculateur!ER148*Calculateur!ET148*VLOOKUP('Données projet'!$B$15,Paramètres!$A$1:$I$89,3,0)*0.475*44/12</f>
        <v>0.77013302082583057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8.401342662170773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69.584914984620909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1.05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3.85</v>
      </c>
      <c r="H149" s="66">
        <f t="shared" si="110"/>
        <v>241.26666666666665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6.8383333333333338</v>
      </c>
      <c r="N149" s="13">
        <f>IF('Données projet'!$A$36&gt;35,N148+M149-V148,IF(A149&lt;'Données projet'!$A$36,$K$205^A149,IF(A149='Données projet'!$A$36,'Données projet'!$B$36,N148+M149-V148)))</f>
        <v>424.04499999999973</v>
      </c>
      <c r="O149" s="13">
        <f>N149*VLOOKUP('Données projet'!$B$9,Paramètres!$A$1:$I$89,3,0)*VLOOKUP('Données projet'!$B$9,Paramètres!$A$1:$I$89,5,0)</f>
        <v>383.67591599999975</v>
      </c>
      <c r="P149" s="13">
        <f t="shared" si="141"/>
        <v>88.459225215418925</v>
      </c>
      <c r="Q149" s="20">
        <f t="shared" si="108"/>
        <v>822.30203761685414</v>
      </c>
      <c r="R149" s="59">
        <f t="shared" si="109"/>
        <v>1114.1397954828919</v>
      </c>
      <c r="S149" s="59">
        <f ca="1">AVERAGE(OFFSET($R$3,0,0,'Données projet'!$E$9+1,1))-AVERAGE(OFFSET($H$3,0,0,'Données projet'!$E$9+1,1))</f>
        <v>480.34707165277229</v>
      </c>
      <c r="T149" s="59">
        <f t="shared" si="142"/>
        <v>217.17128038304531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89.653450631345535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89.653450631345535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20.08734000000041</v>
      </c>
      <c r="AK149" s="13">
        <f t="shared" si="143"/>
        <v>6.5285137703520215</v>
      </c>
      <c r="AL149" s="20">
        <f t="shared" si="112"/>
        <v>46.355945316697152</v>
      </c>
      <c r="AM149" s="59">
        <f t="shared" si="113"/>
        <v>338.19370318273491</v>
      </c>
      <c r="AN149" s="59">
        <f ca="1">AVERAGE(OFFSET($AM$3,0,0,'Données projet'!$E$10+1,1))-AVERAGE(OFFSET($H$3,0,0,'Données projet'!$E$10+1,1))</f>
        <v>596.64394969449609</v>
      </c>
      <c r="AO149" s="59">
        <f t="shared" si="144"/>
        <v>312.55704723516362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230.71836767200915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230.71836767200915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212.28480000000002</v>
      </c>
      <c r="BF149" s="13">
        <f t="shared" si="145"/>
        <v>52.434557099704193</v>
      </c>
      <c r="BG149" s="20">
        <f t="shared" si="115"/>
        <v>461.05288028198476</v>
      </c>
      <c r="BH149" s="59">
        <f t="shared" si="116"/>
        <v>752.8906381480225</v>
      </c>
      <c r="BI149" s="59">
        <f ca="1">AVERAGE(OFFSET($BH$3,0,0,'Données projet'!$E$11+1,1))-AVERAGE(OFFSET($H$3,0,0,'Données projet'!$E$11+1,1))</f>
        <v>360.53625471540249</v>
      </c>
      <c r="BJ149" s="59">
        <f t="shared" si="146"/>
        <v>326.66299410556076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22.574797809652136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22.574797809652136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253.79640000000001</v>
      </c>
      <c r="CA149" s="13">
        <f t="shared" si="147"/>
        <v>61.39816832228076</v>
      </c>
      <c r="CB149" s="20">
        <f t="shared" si="118"/>
        <v>548.96387316130563</v>
      </c>
      <c r="CC149" s="59">
        <f t="shared" si="119"/>
        <v>840.80163102734332</v>
      </c>
      <c r="CD149" s="59">
        <f ca="1">AVERAGE(OFFSET($CC$3,0,0,'Données projet'!$E$12+1,1))-AVERAGE(OFFSET($H$3,0,0,'Données projet'!$E$12+1,1))</f>
        <v>358.39045200457502</v>
      </c>
      <c r="CE149" s="59">
        <f t="shared" si="148"/>
        <v>349.48764057925109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14.387843387195712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14.387843387195712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210.25641025641013</v>
      </c>
      <c r="CU149" s="17">
        <f>CT149*VLOOKUP('Données projet'!$B$13,Paramètres!$A$1:$I$89,3,0)*VLOOKUP('Données projet'!$B$13,Paramètres!$A$1:$I$89,5,0)</f>
        <v>163.99999999999991</v>
      </c>
      <c r="CV149" s="13">
        <f t="shared" si="149"/>
        <v>41.743425908362248</v>
      </c>
      <c r="CW149" s="20">
        <f t="shared" si="121"/>
        <v>358.33646679039742</v>
      </c>
      <c r="CX149" s="59">
        <f t="shared" si="122"/>
        <v>650.17422465643517</v>
      </c>
      <c r="CY149" s="59">
        <f ca="1">AVERAGE(OFFSET($CX$3,0,0,'Données projet'!$E$13+1,1))-AVERAGE(OFFSET($H$3,0,0,'Données projet'!$E$13+1,1))</f>
        <v>201.71903756761543</v>
      </c>
      <c r="CZ149" s="59">
        <f t="shared" si="150"/>
        <v>200.66422845182711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7.0286072504843835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7.0286072504843835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6.8383333333333338</v>
      </c>
      <c r="DO149" s="12">
        <f>IF('Données projet'!$A$166&gt;35,DO148+DN149-DW148,IF(A149&lt;'Données projet'!$A$166,$DL$205^A149,IF(A149='Données projet'!$A$166,'Données projet'!$B$166,DO148+DN149-DW148)))</f>
        <v>424.04499999999973</v>
      </c>
      <c r="DP149" s="17">
        <f>DO149*VLOOKUP('Données projet'!$B$14,Paramètres!$A$1:$I$89,3,0)*VLOOKUP('Données projet'!$B$14,Paramètres!$A$1:$I$89,5,0)</f>
        <v>403.52122199999968</v>
      </c>
      <c r="DQ149" s="13">
        <f t="shared" si="151"/>
        <v>92.49017439132264</v>
      </c>
      <c r="DR149" s="20">
        <f t="shared" si="124"/>
        <v>863.88651538155307</v>
      </c>
      <c r="DS149" s="59">
        <f t="shared" si="125"/>
        <v>1155.7242732475909</v>
      </c>
      <c r="DT149" s="59">
        <f ca="1">AVERAGE(OFFSET($DS$3,0,0,'Données projet'!$E$14+1,1))-AVERAGE(OFFSET($H$3,0,0,'Données projet'!$E$14+1,1))</f>
        <v>502.4879901989737</v>
      </c>
      <c r="DU149" s="59">
        <f t="shared" si="152"/>
        <v>226.06453328626355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94.290698077794445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94.290698077794445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-3.2543994166189806E-14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192.76157155207764</v>
      </c>
      <c r="EP149" s="59">
        <f t="shared" si="154"/>
        <v>413.66427458788348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7.4815662748564478</v>
      </c>
      <c r="EW149" s="21">
        <f>EXP(-LN(2)/25)*EW148+(1-EXP(-LN(2)/25))/(LN(2)/25)*Calculateur!ER149*Calculateur!ET149*VLOOKUP('Données projet'!$B$15,Paramètres!$A$1:$I$89,3,0)*0.475*44/12</f>
        <v>0.7490736928718128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8.2306399677282602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69.592115781646669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1.05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3.85</v>
      </c>
      <c r="H150" s="66">
        <f t="shared" si="110"/>
        <v>241.26666666666665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6.8383333333333338</v>
      </c>
      <c r="N150" s="13">
        <f>IF('Données projet'!$A$36&gt;35,N149+M150-V149,IF(A150&lt;'Données projet'!$A$36,$K$205^A150,IF(A150='Données projet'!$A$36,'Données projet'!$B$36,N149+M150-V149)))</f>
        <v>430.88333333333304</v>
      </c>
      <c r="O150" s="13">
        <f>N150*VLOOKUP('Données projet'!$B$9,Paramètres!$A$1:$I$89,3,0)*VLOOKUP('Données projet'!$B$9,Paramètres!$A$1:$I$89,5,0)</f>
        <v>389.86323999999973</v>
      </c>
      <c r="P150" s="13">
        <f t="shared" si="141"/>
        <v>89.718532698051746</v>
      </c>
      <c r="Q150" s="20">
        <f t="shared" si="108"/>
        <v>835.27158744910628</v>
      </c>
      <c r="R150" s="59">
        <f t="shared" si="109"/>
        <v>1127.1352902058957</v>
      </c>
      <c r="S150" s="59">
        <f ca="1">AVERAGE(OFFSET($R$3,0,0,'Données projet'!$E$9+1,1))-AVERAGE(OFFSET($H$3,0,0,'Données projet'!$E$9+1,1))</f>
        <v>480.34707165277229</v>
      </c>
      <c r="T150" s="59">
        <f t="shared" si="142"/>
        <v>217.17128038304531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87.895401147670214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87.895401147670214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20.08734000000041</v>
      </c>
      <c r="AK150" s="13">
        <f t="shared" si="143"/>
        <v>6.5285137703520215</v>
      </c>
      <c r="AL150" s="20">
        <f t="shared" si="112"/>
        <v>46.355945316697152</v>
      </c>
      <c r="AM150" s="59">
        <f t="shared" si="113"/>
        <v>338.21964807348667</v>
      </c>
      <c r="AN150" s="59">
        <f ca="1">AVERAGE(OFFSET($AM$3,0,0,'Données projet'!$E$10+1,1))-AVERAGE(OFFSET($H$3,0,0,'Données projet'!$E$10+1,1))</f>
        <v>596.64394969449609</v>
      </c>
      <c r="AO150" s="59">
        <f t="shared" si="144"/>
        <v>312.55704723516362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226.19412120626995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226.19412120626995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212.28480000000002</v>
      </c>
      <c r="BF150" s="13">
        <f t="shared" si="145"/>
        <v>52.434557099704193</v>
      </c>
      <c r="BG150" s="20">
        <f t="shared" si="115"/>
        <v>461.05288028198476</v>
      </c>
      <c r="BH150" s="59">
        <f t="shared" si="116"/>
        <v>752.91658303877421</v>
      </c>
      <c r="BI150" s="59">
        <f ca="1">AVERAGE(OFFSET($BH$3,0,0,'Données projet'!$E$11+1,1))-AVERAGE(OFFSET($H$3,0,0,'Données projet'!$E$11+1,1))</f>
        <v>360.53625471540249</v>
      </c>
      <c r="BJ150" s="59">
        <f t="shared" si="146"/>
        <v>326.66299410556076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22.132119793871919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22.132119793871919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253.79640000000001</v>
      </c>
      <c r="CA150" s="13">
        <f t="shared" si="147"/>
        <v>61.39816832228076</v>
      </c>
      <c r="CB150" s="20">
        <f t="shared" si="118"/>
        <v>548.96387316130563</v>
      </c>
      <c r="CC150" s="59">
        <f t="shared" si="119"/>
        <v>840.82757591809514</v>
      </c>
      <c r="CD150" s="59">
        <f ca="1">AVERAGE(OFFSET($CC$3,0,0,'Données projet'!$E$12+1,1))-AVERAGE(OFFSET($H$3,0,0,'Données projet'!$E$12+1,1))</f>
        <v>358.39045200457502</v>
      </c>
      <c r="CE150" s="59">
        <f t="shared" si="148"/>
        <v>349.48764057925109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14.105706554090741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14.105706554090741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210.25641025641013</v>
      </c>
      <c r="CU150" s="17">
        <f>CT150*VLOOKUP('Données projet'!$B$13,Paramètres!$A$1:$I$89,3,0)*VLOOKUP('Données projet'!$B$13,Paramètres!$A$1:$I$89,5,0)</f>
        <v>163.99999999999991</v>
      </c>
      <c r="CV150" s="13">
        <f t="shared" si="149"/>
        <v>41.743425908362248</v>
      </c>
      <c r="CW150" s="20">
        <f t="shared" si="121"/>
        <v>358.33646679039742</v>
      </c>
      <c r="CX150" s="59">
        <f t="shared" si="122"/>
        <v>650.20016954718699</v>
      </c>
      <c r="CY150" s="59">
        <f ca="1">AVERAGE(OFFSET($CX$3,0,0,'Données projet'!$E$13+1,1))-AVERAGE(OFFSET($H$3,0,0,'Données projet'!$E$13+1,1))</f>
        <v>201.71903756761543</v>
      </c>
      <c r="CZ150" s="59">
        <f t="shared" si="150"/>
        <v>200.66422845182711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6.8907805493294987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6.8907805493294987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6.8383333333333338</v>
      </c>
      <c r="DO150" s="12">
        <f>IF('Données projet'!$A$166&gt;35,DO149+DN150-DW149,IF(A150&lt;'Données projet'!$A$166,$DL$205^A150,IF(A150='Données projet'!$A$166,'Données projet'!$B$166,DO149+DN150-DW149)))</f>
        <v>430.88333333333304</v>
      </c>
      <c r="DP150" s="17">
        <f>DO150*VLOOKUP('Données projet'!$B$14,Paramètres!$A$1:$I$89,3,0)*VLOOKUP('Données projet'!$B$14,Paramètres!$A$1:$I$89,5,0)</f>
        <v>410.02857999999969</v>
      </c>
      <c r="DQ150" s="13">
        <f t="shared" si="151"/>
        <v>93.806866555394564</v>
      </c>
      <c r="DR150" s="20">
        <f t="shared" si="124"/>
        <v>877.51340275064501</v>
      </c>
      <c r="DS150" s="59">
        <f t="shared" si="125"/>
        <v>1169.3771055074344</v>
      </c>
      <c r="DT150" s="59">
        <f ca="1">AVERAGE(OFFSET($DS$3,0,0,'Données projet'!$E$14+1,1))-AVERAGE(OFFSET($H$3,0,0,'Données projet'!$E$14+1,1))</f>
        <v>502.4879901989737</v>
      </c>
      <c r="DU150" s="59">
        <f t="shared" si="152"/>
        <v>226.06453328626355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92.441715000135915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92.441715000135915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-3.2543994166189806E-14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192.76157155207764</v>
      </c>
      <c r="EP150" s="59">
        <f t="shared" si="154"/>
        <v>413.66427458788348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7.3348573235113514</v>
      </c>
      <c r="EW150" s="21">
        <f>EXP(-LN(2)/25)*EW149+(1-EXP(-LN(2)/25))/(LN(2)/25)*Calculateur!ER150*Calculateur!ET150*VLOOKUP('Données projet'!$B$15,Paramètres!$A$1:$I$89,3,0)*0.475*44/12</f>
        <v>0.72859023334815964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8.0634475568595114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69.599191660942594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1.05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3.85</v>
      </c>
      <c r="H151" s="66">
        <f t="shared" si="110"/>
        <v>241.26666666666665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6.8383333333333338</v>
      </c>
      <c r="N151" s="13">
        <f>IF('Données projet'!$A$36&gt;35,N150+M151-V150,IF(A151&lt;'Données projet'!$A$36,$K$205^A151,IF(A151='Données projet'!$A$36,'Données projet'!$B$36,N150+M151-V150)))</f>
        <v>437.72166666666635</v>
      </c>
      <c r="O151" s="13">
        <f>N151*VLOOKUP('Données projet'!$B$9,Paramètres!$A$1:$I$89,3,0)*VLOOKUP('Données projet'!$B$9,Paramètres!$A$1:$I$89,5,0)</f>
        <v>396.05056399999972</v>
      </c>
      <c r="P151" s="13">
        <f t="shared" si="141"/>
        <v>90.975515873466222</v>
      </c>
      <c r="Q151" s="20">
        <f t="shared" si="108"/>
        <v>848.23708911295319</v>
      </c>
      <c r="R151" s="59">
        <f t="shared" si="109"/>
        <v>1140.126286674644</v>
      </c>
      <c r="S151" s="59">
        <f ca="1">AVERAGE(OFFSET($R$3,0,0,'Données projet'!$E$9+1,1))-AVERAGE(OFFSET($H$3,0,0,'Données projet'!$E$9+1,1))</f>
        <v>480.34707165277229</v>
      </c>
      <c r="T151" s="59">
        <f t="shared" si="142"/>
        <v>217.17128038304531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86.171825942065468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86.171825942065468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20.08734000000041</v>
      </c>
      <c r="AK151" s="13">
        <f t="shared" si="143"/>
        <v>6.5285137703520215</v>
      </c>
      <c r="AL151" s="20">
        <f t="shared" si="112"/>
        <v>46.355945316697152</v>
      </c>
      <c r="AM151" s="59">
        <f t="shared" si="113"/>
        <v>338.24514287838792</v>
      </c>
      <c r="AN151" s="59">
        <f ca="1">AVERAGE(OFFSET($AM$3,0,0,'Données projet'!$E$10+1,1))-AVERAGE(OFFSET($H$3,0,0,'Données projet'!$E$10+1,1))</f>
        <v>596.64394969449609</v>
      </c>
      <c r="AO151" s="59">
        <f t="shared" si="144"/>
        <v>312.55704723516362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221.75859245420605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221.75859245420605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212.28480000000002</v>
      </c>
      <c r="BF151" s="13">
        <f t="shared" si="145"/>
        <v>52.434557099704193</v>
      </c>
      <c r="BG151" s="20">
        <f t="shared" si="115"/>
        <v>461.05288028198476</v>
      </c>
      <c r="BH151" s="59">
        <f t="shared" si="116"/>
        <v>752.94207784367552</v>
      </c>
      <c r="BI151" s="59">
        <f ca="1">AVERAGE(OFFSET($BH$3,0,0,'Données projet'!$E$11+1,1))-AVERAGE(OFFSET($H$3,0,0,'Données projet'!$E$11+1,1))</f>
        <v>360.53625471540249</v>
      </c>
      <c r="BJ151" s="59">
        <f t="shared" si="146"/>
        <v>326.66299410556076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21.698122423974223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21.698122423974223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253.79640000000001</v>
      </c>
      <c r="CA151" s="13">
        <f t="shared" si="147"/>
        <v>61.39816832228076</v>
      </c>
      <c r="CB151" s="20">
        <f t="shared" si="118"/>
        <v>548.96387316130563</v>
      </c>
      <c r="CC151" s="59">
        <f t="shared" si="119"/>
        <v>840.85307072299634</v>
      </c>
      <c r="CD151" s="59">
        <f ca="1">AVERAGE(OFFSET($CC$3,0,0,'Données projet'!$E$12+1,1))-AVERAGE(OFFSET($H$3,0,0,'Données projet'!$E$12+1,1))</f>
        <v>358.39045200457502</v>
      </c>
      <c r="CE151" s="59">
        <f t="shared" si="148"/>
        <v>349.48764057925109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13.829102252196481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13.829102252196481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210.25641025641013</v>
      </c>
      <c r="CU151" s="17">
        <f>CT151*VLOOKUP('Données projet'!$B$13,Paramètres!$A$1:$I$89,3,0)*VLOOKUP('Données projet'!$B$13,Paramètres!$A$1:$I$89,5,0)</f>
        <v>163.99999999999991</v>
      </c>
      <c r="CV151" s="13">
        <f t="shared" si="149"/>
        <v>41.743425908362248</v>
      </c>
      <c r="CW151" s="20">
        <f t="shared" si="121"/>
        <v>358.33646679039742</v>
      </c>
      <c r="CX151" s="59">
        <f t="shared" si="122"/>
        <v>650.22566435208819</v>
      </c>
      <c r="CY151" s="59">
        <f ca="1">AVERAGE(OFFSET($CX$3,0,0,'Données projet'!$E$13+1,1))-AVERAGE(OFFSET($H$3,0,0,'Données projet'!$E$13+1,1))</f>
        <v>201.71903756761543</v>
      </c>
      <c r="CZ151" s="59">
        <f t="shared" si="150"/>
        <v>200.66422845182711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6.7556565457182742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6.7556565457182742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6.8383333333333338</v>
      </c>
      <c r="DO151" s="12">
        <f>IF('Données projet'!$A$166&gt;35,DO150+DN151-DW150,IF(A151&lt;'Données projet'!$A$166,$DL$205^A151,IF(A151='Données projet'!$A$166,'Données projet'!$B$166,DO150+DN151-DW150)))</f>
        <v>437.72166666666635</v>
      </c>
      <c r="DP151" s="17">
        <f>DO151*VLOOKUP('Données projet'!$B$14,Paramètres!$A$1:$I$89,3,0)*VLOOKUP('Données projet'!$B$14,Paramètres!$A$1:$I$89,5,0)</f>
        <v>416.5359379999997</v>
      </c>
      <c r="DQ151" s="13">
        <f t="shared" si="151"/>
        <v>95.121128497186689</v>
      </c>
      <c r="DR151" s="20">
        <f t="shared" si="124"/>
        <v>891.13605748259954</v>
      </c>
      <c r="DS151" s="59">
        <f t="shared" si="125"/>
        <v>1183.0252550442904</v>
      </c>
      <c r="DT151" s="59">
        <f ca="1">AVERAGE(OFFSET($DS$3,0,0,'Données projet'!$E$14+1,1))-AVERAGE(OFFSET($H$3,0,0,'Données projet'!$E$14+1,1))</f>
        <v>502.4879901989737</v>
      </c>
      <c r="DU151" s="59">
        <f t="shared" si="152"/>
        <v>226.06453328626355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90.62898935286195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90.62898935286195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-3.2543994166189806E-14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192.76157155207764</v>
      </c>
      <c r="EP151" s="59">
        <f t="shared" si="154"/>
        <v>413.66427458788348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7.1910252452185084</v>
      </c>
      <c r="EW151" s="21">
        <f>EXP(-LN(2)/25)*EW150+(1-EXP(-LN(2)/25))/(LN(2)/25)*Calculateur!ER151*Calculateur!ET151*VLOOKUP('Données projet'!$B$15,Paramètres!$A$1:$I$89,3,0)*0.475*44/12</f>
        <v>0.70866689510235903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7.8996921403208678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69.606144789552033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1.05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3.85</v>
      </c>
      <c r="H152" s="66">
        <f t="shared" si="110"/>
        <v>241.26666666666665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444.56</v>
      </c>
      <c r="L152" s="12">
        <f>VLOOKUP(A152,'Données projet'!$A$35:$I$55,9,0)</f>
        <v>6.8383333333333338</v>
      </c>
      <c r="M152" s="12">
        <f t="array" ref="M152">INDEX(L:L,MIN(IF(ISNUMBER(L152:L348),ROW(L152:L348),"")))</f>
        <v>6.8383333333333338</v>
      </c>
      <c r="N152" s="13">
        <f>IF('Données projet'!$A$36&gt;35,N151+M152-V151,IF(A152&lt;'Données projet'!$A$36,$K$205^A152,IF(A152='Données projet'!$A$36,'Données projet'!$B$36,N151+M152-V151)))</f>
        <v>444.55999999999966</v>
      </c>
      <c r="O152" s="13">
        <f>N152*VLOOKUP('Données projet'!$B$9,Paramètres!$A$1:$I$89,3,0)*VLOOKUP('Données projet'!$B$9,Paramètres!$A$1:$I$89,5,0)</f>
        <v>402.23788799999971</v>
      </c>
      <c r="P152" s="13">
        <f t="shared" si="141"/>
        <v>92.230215246448807</v>
      </c>
      <c r="Q152" s="20">
        <f t="shared" si="108"/>
        <v>861.19861315423123</v>
      </c>
      <c r="R152" s="59">
        <f t="shared" si="109"/>
        <v>1153.1128632429561</v>
      </c>
      <c r="S152" s="59">
        <f ca="1">AVERAGE(OFFSET($R$3,0,0,'Données projet'!$E$9+1,1))-AVERAGE(OFFSET($H$3,0,0,'Données projet'!$E$9+1,1))</f>
        <v>480.34707165277229</v>
      </c>
      <c r="T152" s="59">
        <f t="shared" si="142"/>
        <v>217.17128038304531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153.56</v>
      </c>
      <c r="W152" s="16">
        <f>IF(ISNA(VLOOKUP(A152,'Données projet'!$A$35:$I$55,5,0)),0%,VLOOKUP(A152,'Données projet'!$A$35:$I$55,5,0)*VLOOKUP('Données projet'!$B$9,Paramètres!$A$1:$I$89,7,0))</f>
        <v>0.43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150.52800962712041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150.52800962712041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20.08734000000041</v>
      </c>
      <c r="AK152" s="13">
        <f t="shared" si="143"/>
        <v>6.5285137703520215</v>
      </c>
      <c r="AL152" s="20">
        <f t="shared" si="112"/>
        <v>46.355945316697152</v>
      </c>
      <c r="AM152" s="59">
        <f t="shared" si="113"/>
        <v>338.27019540542204</v>
      </c>
      <c r="AN152" s="59">
        <f ca="1">AVERAGE(OFFSET($AM$3,0,0,'Données projet'!$E$10+1,1))-AVERAGE(OFFSET($H$3,0,0,'Données projet'!$E$10+1,1))</f>
        <v>596.64394969449609</v>
      </c>
      <c r="AO152" s="59">
        <f t="shared" si="144"/>
        <v>312.55704723516362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217.41004171556472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217.41004171556472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212.28480000000002</v>
      </c>
      <c r="BF152" s="13">
        <f t="shared" si="145"/>
        <v>52.434557099704193</v>
      </c>
      <c r="BG152" s="20">
        <f t="shared" si="115"/>
        <v>461.05288028198476</v>
      </c>
      <c r="BH152" s="59">
        <f t="shared" si="116"/>
        <v>752.96713037070958</v>
      </c>
      <c r="BI152" s="59">
        <f ca="1">AVERAGE(OFFSET($BH$3,0,0,'Données projet'!$E$11+1,1))-AVERAGE(OFFSET($H$3,0,0,'Données projet'!$E$11+1,1))</f>
        <v>360.53625471540249</v>
      </c>
      <c r="BJ152" s="59">
        <f t="shared" si="146"/>
        <v>326.66299410556076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21.272635477787965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21.272635477787965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253.79640000000001</v>
      </c>
      <c r="CA152" s="13">
        <f t="shared" si="147"/>
        <v>61.39816832228076</v>
      </c>
      <c r="CB152" s="20">
        <f t="shared" si="118"/>
        <v>548.96387316130563</v>
      </c>
      <c r="CC152" s="59">
        <f t="shared" si="119"/>
        <v>840.87812325003051</v>
      </c>
      <c r="CD152" s="59">
        <f ca="1">AVERAGE(OFFSET($CC$3,0,0,'Données projet'!$E$12+1,1))-AVERAGE(OFFSET($H$3,0,0,'Données projet'!$E$12+1,1))</f>
        <v>358.39045200457502</v>
      </c>
      <c r="CE152" s="59">
        <f t="shared" si="148"/>
        <v>349.48764057925109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13.557921991950403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13.557921991950403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210.25641025641013</v>
      </c>
      <c r="CU152" s="17">
        <f>CT152*VLOOKUP('Données projet'!$B$13,Paramètres!$A$1:$I$89,3,0)*VLOOKUP('Données projet'!$B$13,Paramètres!$A$1:$I$89,5,0)</f>
        <v>163.99999999999991</v>
      </c>
      <c r="CV152" s="13">
        <f t="shared" si="149"/>
        <v>41.743425908362248</v>
      </c>
      <c r="CW152" s="20">
        <f t="shared" si="121"/>
        <v>358.33646679039742</v>
      </c>
      <c r="CX152" s="59">
        <f t="shared" si="122"/>
        <v>650.25071687912236</v>
      </c>
      <c r="CY152" s="59">
        <f ca="1">AVERAGE(OFFSET($CX$3,0,0,'Données projet'!$E$13+1,1))-AVERAGE(OFFSET($H$3,0,0,'Données projet'!$E$13+1,1))</f>
        <v>201.71903756761543</v>
      </c>
      <c r="CZ152" s="59">
        <f t="shared" si="150"/>
        <v>200.66422845182711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6.6231822414003618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6.6231822414003618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444.56</v>
      </c>
      <c r="DM152" s="12">
        <f>VLOOKUP(A152,'Données projet'!$A$165:$I$185,9,0)</f>
        <v>6.8383333333333338</v>
      </c>
      <c r="DN152" s="12">
        <f t="array" ref="DN152">INDEX(DM:DM,MIN(IF(ISNUMBER(DM152:DM348),ROW(DM152:DM348),"")))</f>
        <v>6.8383333333333338</v>
      </c>
      <c r="DO152" s="12">
        <f>IF('Données projet'!$A$166&gt;35,DO151+DN152-DW151,IF(A152&lt;'Données projet'!$A$166,$DL$205^A152,IF(A152='Données projet'!$A$166,'Données projet'!$B$166,DO151+DN152-DW151)))</f>
        <v>444.55999999999966</v>
      </c>
      <c r="DP152" s="17">
        <f>DO152*VLOOKUP('Données projet'!$B$14,Paramètres!$A$1:$I$89,3,0)*VLOOKUP('Données projet'!$B$14,Paramètres!$A$1:$I$89,5,0)</f>
        <v>423.04329599999966</v>
      </c>
      <c r="DQ152" s="13">
        <f t="shared" si="151"/>
        <v>96.433002567225628</v>
      </c>
      <c r="DR152" s="20">
        <f t="shared" si="124"/>
        <v>904.7545533379174</v>
      </c>
      <c r="DS152" s="59">
        <f t="shared" si="125"/>
        <v>1196.6688034266422</v>
      </c>
      <c r="DT152" s="59">
        <f ca="1">AVERAGE(OFFSET($DS$3,0,0,'Données projet'!$E$14+1,1))-AVERAGE(OFFSET($H$3,0,0,'Données projet'!$E$14+1,1))</f>
        <v>502.4879901989737</v>
      </c>
      <c r="DU152" s="59">
        <f t="shared" si="152"/>
        <v>226.06453328626355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153.56</v>
      </c>
      <c r="DX152" s="16">
        <f>IF(ISNA(VLOOKUP(A152,'Données projet'!$A$165:$I$185,5,0)),0%,VLOOKUP(A152,'Données projet'!$A$165:$I$185,5,0)*VLOOKUP('Données projet'!$B$14,Paramètres!$A$1:$I$89,7,0))</f>
        <v>0.43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158.31394115955766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158.31394115955766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-3.2543994166189806E-14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192.76157155207764</v>
      </c>
      <c r="EP152" s="59">
        <f t="shared" si="154"/>
        <v>413.66427458788348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7.0500136262520821</v>
      </c>
      <c r="EW152" s="21">
        <f>EXP(-LN(2)/25)*EW151+(1-EXP(-LN(2)/25))/(LN(2)/25)*Calculateur!ER152*Calculateur!ET152*VLOOKUP('Données projet'!$B$15,Paramètres!$A$1:$I$89,3,0)*0.475*44/12</f>
        <v>0.68928836158861273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7.7393019878406948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69.612977296924967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1.05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3.85</v>
      </c>
      <c r="H153" s="66">
        <f t="shared" si="110"/>
        <v>241.26666666666665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-1.1749999999999972</v>
      </c>
      <c r="N153" s="13">
        <f>IF('Données projet'!$A$36&gt;35,N152+M153-V152,IF(A153&lt;'Données projet'!$A$36,$K$205^A153,IF(A153='Données projet'!$A$36,'Données projet'!$B$36,N152+M153-V152)))</f>
        <v>289.82499999999965</v>
      </c>
      <c r="O153" s="13">
        <f>N153*VLOOKUP('Données projet'!$B$9,Paramètres!$A$1:$I$89,3,0)*VLOOKUP('Données projet'!$B$9,Paramètres!$A$1:$I$89,5,0)</f>
        <v>262.23365999999965</v>
      </c>
      <c r="P153" s="13">
        <f t="shared" si="141"/>
        <v>63.198266700343318</v>
      </c>
      <c r="Q153" s="20">
        <f t="shared" si="108"/>
        <v>566.79393900309731</v>
      </c>
      <c r="R153" s="59">
        <f t="shared" si="109"/>
        <v>858.73280701352132</v>
      </c>
      <c r="S153" s="59">
        <f ca="1">AVERAGE(OFFSET($R$3,0,0,'Données projet'!$E$9+1,1))-AVERAGE(OFFSET($H$3,0,0,'Données projet'!$E$9+1,1))</f>
        <v>480.34707165277229</v>
      </c>
      <c r="T153" s="59">
        <f t="shared" si="142"/>
        <v>217.17128038304531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147.57624717135266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147.57624717135266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20.08734000000041</v>
      </c>
      <c r="AK153" s="13">
        <f t="shared" si="143"/>
        <v>6.5285137703520215</v>
      </c>
      <c r="AL153" s="20">
        <f t="shared" si="112"/>
        <v>46.355945316697152</v>
      </c>
      <c r="AM153" s="59">
        <f t="shared" si="113"/>
        <v>338.29481332712118</v>
      </c>
      <c r="AN153" s="59">
        <f ca="1">AVERAGE(OFFSET($AM$3,0,0,'Données projet'!$E$10+1,1))-AVERAGE(OFFSET($H$3,0,0,'Données projet'!$E$10+1,1))</f>
        <v>596.64394969449609</v>
      </c>
      <c r="AO153" s="59">
        <f t="shared" si="144"/>
        <v>312.55704723516362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213.14676340455409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213.14676340455409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212.28480000000002</v>
      </c>
      <c r="BF153" s="13">
        <f t="shared" si="145"/>
        <v>52.434557099704193</v>
      </c>
      <c r="BG153" s="20">
        <f t="shared" si="115"/>
        <v>461.05288028198476</v>
      </c>
      <c r="BH153" s="59">
        <f t="shared" si="116"/>
        <v>752.99174829240883</v>
      </c>
      <c r="BI153" s="59">
        <f ca="1">AVERAGE(OFFSET($BH$3,0,0,'Données projet'!$E$11+1,1))-AVERAGE(OFFSET($H$3,0,0,'Données projet'!$E$11+1,1))</f>
        <v>360.53625471540249</v>
      </c>
      <c r="BJ153" s="59">
        <f t="shared" si="146"/>
        <v>326.66299410556076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20.855492071095007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20.855492071095007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253.79640000000001</v>
      </c>
      <c r="CA153" s="13">
        <f t="shared" si="147"/>
        <v>61.39816832228076</v>
      </c>
      <c r="CB153" s="20">
        <f t="shared" si="118"/>
        <v>548.96387316130563</v>
      </c>
      <c r="CC153" s="59">
        <f t="shared" si="119"/>
        <v>840.90274117172964</v>
      </c>
      <c r="CD153" s="59">
        <f ca="1">AVERAGE(OFFSET($CC$3,0,0,'Données projet'!$E$12+1,1))-AVERAGE(OFFSET($H$3,0,0,'Données projet'!$E$12+1,1))</f>
        <v>358.39045200457502</v>
      </c>
      <c r="CE153" s="59">
        <f t="shared" si="148"/>
        <v>349.48764057925109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13.292059411204123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13.292059411204123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210.25641025641013</v>
      </c>
      <c r="CU153" s="17">
        <f>CT153*VLOOKUP('Données projet'!$B$13,Paramètres!$A$1:$I$89,3,0)*VLOOKUP('Données projet'!$B$13,Paramètres!$A$1:$I$89,5,0)</f>
        <v>163.99999999999991</v>
      </c>
      <c r="CV153" s="13">
        <f t="shared" si="149"/>
        <v>41.743425908362248</v>
      </c>
      <c r="CW153" s="20">
        <f t="shared" si="121"/>
        <v>358.33646679039742</v>
      </c>
      <c r="CX153" s="59">
        <f t="shared" si="122"/>
        <v>650.27533480082138</v>
      </c>
      <c r="CY153" s="59">
        <f ca="1">AVERAGE(OFFSET($CX$3,0,0,'Données projet'!$E$13+1,1))-AVERAGE(OFFSET($H$3,0,0,'Données projet'!$E$13+1,1))</f>
        <v>201.71903756761543</v>
      </c>
      <c r="CZ153" s="59">
        <f t="shared" si="150"/>
        <v>200.66422845182711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6.4933056773887765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6.4933056773887765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-1.1749999999999972</v>
      </c>
      <c r="DO153" s="12">
        <f>IF('Données projet'!$A$166&gt;35,DO152+DN153-DW152,IF(A153&lt;'Données projet'!$A$166,$DL$205^A153,IF(A153='Données projet'!$A$166,'Données projet'!$B$166,DO152+DN153-DW152)))</f>
        <v>289.82499999999965</v>
      </c>
      <c r="DP153" s="17">
        <f>DO153*VLOOKUP('Données projet'!$B$14,Paramètres!$A$1:$I$89,3,0)*VLOOKUP('Données projet'!$B$14,Paramètres!$A$1:$I$89,5,0)</f>
        <v>275.79746999999963</v>
      </c>
      <c r="DQ153" s="13">
        <f t="shared" si="151"/>
        <v>66.078113324072206</v>
      </c>
      <c r="DR153" s="20">
        <f t="shared" si="124"/>
        <v>595.43330762275843</v>
      </c>
      <c r="DS153" s="59">
        <f t="shared" si="125"/>
        <v>887.37217563318245</v>
      </c>
      <c r="DT153" s="59">
        <f ca="1">AVERAGE(OFFSET($DS$3,0,0,'Données projet'!$E$14+1,1))-AVERAGE(OFFSET($H$3,0,0,'Données projet'!$E$14+1,1))</f>
        <v>502.4879901989737</v>
      </c>
      <c r="DU153" s="59">
        <f t="shared" si="152"/>
        <v>226.06453328626355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155.20950133538813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155.20950133538813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-3.2543994166189806E-14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192.76157155207764</v>
      </c>
      <c r="EP153" s="59">
        <f t="shared" si="154"/>
        <v>413.66427458788348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6.9117671591249925</v>
      </c>
      <c r="EW153" s="21">
        <f>EXP(-LN(2)/25)*EW152+(1-EXP(-LN(2)/25))/(LN(2)/25)*Calculateur!ER153*Calculateur!ET153*VLOOKUP('Données projet'!$B$15,Paramètres!$A$1:$I$89,3,0)*0.475*44/12</f>
        <v>0.67043973509287258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7.5822068942178653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69.61969127557019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1.05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3.85</v>
      </c>
      <c r="H154" s="66">
        <f t="shared" si="110"/>
        <v>241.26666666666665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-1.1749999999999972</v>
      </c>
      <c r="N154" s="13">
        <f>IF('Données projet'!$A$36&gt;35,N153+M154-V153,IF(A154&lt;'Données projet'!$A$36,$K$205^A154,IF(A154='Données projet'!$A$36,'Données projet'!$B$36,N153+M154-V153)))</f>
        <v>288.64999999999964</v>
      </c>
      <c r="O154" s="13">
        <f>N154*VLOOKUP('Données projet'!$B$9,Paramètres!$A$1:$I$89,3,0)*VLOOKUP('Données projet'!$B$9,Paramètres!$A$1:$I$89,5,0)</f>
        <v>261.17051999999967</v>
      </c>
      <c r="P154" s="13">
        <f t="shared" si="141"/>
        <v>62.971820252570637</v>
      </c>
      <c r="Q154" s="20">
        <f t="shared" ref="Q154:Q203" si="162">(O154+P154)*0.475*44/12</f>
        <v>564.54790927322654</v>
      </c>
      <c r="R154" s="59">
        <f t="shared" si="109"/>
        <v>856.51096813944559</v>
      </c>
      <c r="S154" s="59">
        <f ca="1">AVERAGE(OFFSET($R$3,0,0,'Données projet'!$E$9+1,1))-AVERAGE(OFFSET($H$3,0,0,'Données projet'!$E$9+1,1))</f>
        <v>480.34707165277229</v>
      </c>
      <c r="T154" s="59">
        <f t="shared" si="142"/>
        <v>217.17128038304531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144.68236697694519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144.68236697694519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20.08734000000041</v>
      </c>
      <c r="AK154" s="13">
        <f t="shared" ref="AK154:AK203" si="164">EXP(-1.0587+0.8836*LN(AJ154)+0.284)</f>
        <v>6.5285137703520215</v>
      </c>
      <c r="AL154" s="20">
        <f t="shared" ref="AL154:AL203" si="165">(AJ154+AK154)*0.475*44/12</f>
        <v>46.355945316697152</v>
      </c>
      <c r="AM154" s="59">
        <f t="shared" si="113"/>
        <v>338.31900418291622</v>
      </c>
      <c r="AN154" s="59">
        <f ca="1">AVERAGE(OFFSET($AM$3,0,0,'Données projet'!$E$10+1,1))-AVERAGE(OFFSET($H$3,0,0,'Données projet'!$E$10+1,1))</f>
        <v>596.64394969449609</v>
      </c>
      <c r="AO154" s="59">
        <f t="shared" si="144"/>
        <v>312.55704723516362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208.96708538087938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208.96708538087938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212.28480000000002</v>
      </c>
      <c r="BF154" s="13">
        <f t="shared" ref="BF154:BF203" si="167">EXP(-1.0587+0.8836*LN(BE154)+0.284)</f>
        <v>52.434557099704193</v>
      </c>
      <c r="BG154" s="20">
        <f t="shared" ref="BG154:BG203" si="168">(BE154+BF154)*0.475*44/12</f>
        <v>461.05288028198476</v>
      </c>
      <c r="BH154" s="59">
        <f t="shared" si="116"/>
        <v>753.01593914820387</v>
      </c>
      <c r="BI154" s="59">
        <f ca="1">AVERAGE(OFFSET($BH$3,0,0,'Données projet'!$E$11+1,1))-AVERAGE(OFFSET($H$3,0,0,'Données projet'!$E$11+1,1))</f>
        <v>360.53625471540249</v>
      </c>
      <c r="BJ154" s="59">
        <f t="shared" si="146"/>
        <v>326.66299410556076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20.446528592174943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20.446528592174943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253.79640000000001</v>
      </c>
      <c r="CA154" s="13">
        <f t="shared" ref="CA154:CA203" si="170">EXP(-1.0587+0.8836*LN(BZ154)+0.284)</f>
        <v>61.39816832228076</v>
      </c>
      <c r="CB154" s="20">
        <f t="shared" ref="CB154:CB203" si="171">(BZ154+CA154)*0.475*44/12</f>
        <v>548.96387316130563</v>
      </c>
      <c r="CC154" s="59">
        <f t="shared" si="119"/>
        <v>840.92693202752469</v>
      </c>
      <c r="CD154" s="59">
        <f ca="1">AVERAGE(OFFSET($CC$3,0,0,'Données projet'!$E$12+1,1))-AVERAGE(OFFSET($H$3,0,0,'Données projet'!$E$12+1,1))</f>
        <v>358.39045200457502</v>
      </c>
      <c r="CE154" s="59">
        <f t="shared" si="148"/>
        <v>349.48764057925109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13.031410233506117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13.031410233506117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210.25641025641013</v>
      </c>
      <c r="CU154" s="17">
        <f>CT154*VLOOKUP('Données projet'!$B$13,Paramètres!$A$1:$I$89,3,0)*VLOOKUP('Données projet'!$B$13,Paramètres!$A$1:$I$89,5,0)</f>
        <v>163.99999999999991</v>
      </c>
      <c r="CV154" s="13">
        <f t="shared" ref="CV154:CV203" si="173">EXP(-1.0587+0.8836*LN(CU154)+0.284)</f>
        <v>41.743425908362248</v>
      </c>
      <c r="CW154" s="20">
        <f t="shared" ref="CW154:CW203" si="174">(CU154+CV154)*0.475*44/12</f>
        <v>358.33646679039742</v>
      </c>
      <c r="CX154" s="59">
        <f t="shared" si="122"/>
        <v>650.29952565661642</v>
      </c>
      <c r="CY154" s="59">
        <f ca="1">AVERAGE(OFFSET($CX$3,0,0,'Données projet'!$E$13+1,1))-AVERAGE(OFFSET($H$3,0,0,'Données projet'!$E$13+1,1))</f>
        <v>201.71903756761543</v>
      </c>
      <c r="CZ154" s="59">
        <f t="shared" si="150"/>
        <v>200.66422845182711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6.3659759135805762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6.3659759135805762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-1.1749999999999972</v>
      </c>
      <c r="DO154" s="12">
        <f>IF('Données projet'!$A$166&gt;35,DO153+DN154-DW153,IF(A154&lt;'Données projet'!$A$166,$DL$205^A154,IF(A154='Données projet'!$A$166,'Données projet'!$B$166,DO153+DN154-DW153)))</f>
        <v>288.64999999999964</v>
      </c>
      <c r="DP154" s="17">
        <f>DO154*VLOOKUP('Données projet'!$B$14,Paramètres!$A$1:$I$89,3,0)*VLOOKUP('Données projet'!$B$14,Paramètres!$A$1:$I$89,5,0)</f>
        <v>274.67933999999968</v>
      </c>
      <c r="DQ154" s="13">
        <f t="shared" ref="DQ154:DQ203" si="176">EXP(-1.0587+0.8836*LN(DP154)+0.284)</f>
        <v>65.841348064216135</v>
      </c>
      <c r="DR154" s="20">
        <f t="shared" ref="DR154:DR203" si="177">(DP154+DQ154)*0.475*44/12</f>
        <v>593.07353171184252</v>
      </c>
      <c r="DS154" s="59">
        <f t="shared" si="125"/>
        <v>885.03659057806158</v>
      </c>
      <c r="DT154" s="59">
        <f ca="1">AVERAGE(OFFSET($DS$3,0,0,'Données projet'!$E$14+1,1))-AVERAGE(OFFSET($H$3,0,0,'Données projet'!$E$14+1,1))</f>
        <v>502.4879901989737</v>
      </c>
      <c r="DU154" s="59">
        <f t="shared" si="152"/>
        <v>226.06453328626355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152.16593768264926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152.16593768264926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-3.2543994166189806E-14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192.76157155207764</v>
      </c>
      <c r="EP154" s="59">
        <f t="shared" si="154"/>
        <v>413.66427458788348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6.7762316208962465</v>
      </c>
      <c r="EW154" s="21">
        <f>EXP(-LN(2)/25)*EW153+(1-EXP(-LN(2)/25))/(LN(2)/25)*Calculateur!ER154*Calculateur!ET154*VLOOKUP('Données projet'!$B$15,Paramètres!$A$1:$I$89,3,0)*0.475*44/12</f>
        <v>0.65210652527986457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7.4283381461761113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69.626288781696104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1.05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3.85</v>
      </c>
      <c r="H155" s="66">
        <f t="shared" si="110"/>
        <v>241.26666666666665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-1.1749999999999972</v>
      </c>
      <c r="N155" s="13">
        <f>IF('Données projet'!$A$36&gt;35,N154+M155-V154,IF(A155&lt;'Données projet'!$A$36,$K$205^A155,IF(A155='Données projet'!$A$36,'Données projet'!$B$36,N154+M155-V154)))</f>
        <v>287.47499999999962</v>
      </c>
      <c r="O155" s="13">
        <f>N155*VLOOKUP('Données projet'!$B$9,Paramètres!$A$1:$I$89,3,0)*VLOOKUP('Données projet'!$B$9,Paramètres!$A$1:$I$89,5,0)</f>
        <v>260.10737999999964</v>
      </c>
      <c r="P155" s="13">
        <f t="shared" si="141"/>
        <v>62.745266482747503</v>
      </c>
      <c r="Q155" s="20">
        <f t="shared" si="162"/>
        <v>562.30169262411789</v>
      </c>
      <c r="R155" s="59">
        <f t="shared" si="109"/>
        <v>854.28852268886658</v>
      </c>
      <c r="S155" s="59">
        <f ca="1">AVERAGE(OFFSET($R$3,0,0,'Données projet'!$E$9+1,1))-AVERAGE(OFFSET($H$3,0,0,'Données projet'!$E$9+1,1))</f>
        <v>480.34707165277229</v>
      </c>
      <c r="T155" s="59">
        <f t="shared" si="142"/>
        <v>217.17128038304531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141.84523400805742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141.84523400805742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20.08734000000041</v>
      </c>
      <c r="AK155" s="13">
        <f t="shared" si="164"/>
        <v>6.5285137703520215</v>
      </c>
      <c r="AL155" s="20">
        <f t="shared" si="165"/>
        <v>46.355945316697152</v>
      </c>
      <c r="AM155" s="59">
        <f t="shared" si="113"/>
        <v>338.3427753814459</v>
      </c>
      <c r="AN155" s="59">
        <f ca="1">AVERAGE(OFFSET($AM$3,0,0,'Données projet'!$E$10+1,1))-AVERAGE(OFFSET($H$3,0,0,'Données projet'!$E$10+1,1))</f>
        <v>596.64394969449609</v>
      </c>
      <c r="AO155" s="59">
        <f t="shared" si="144"/>
        <v>312.55704723516362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204.86936829389705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204.86936829389705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212.28480000000002</v>
      </c>
      <c r="BF155" s="13">
        <f t="shared" si="167"/>
        <v>52.434557099704193</v>
      </c>
      <c r="BG155" s="20">
        <f t="shared" si="168"/>
        <v>461.05288028198476</v>
      </c>
      <c r="BH155" s="59">
        <f t="shared" si="116"/>
        <v>753.0397103467335</v>
      </c>
      <c r="BI155" s="59">
        <f ca="1">AVERAGE(OFFSET($BH$3,0,0,'Données projet'!$E$11+1,1))-AVERAGE(OFFSET($H$3,0,0,'Données projet'!$E$11+1,1))</f>
        <v>360.53625471540249</v>
      </c>
      <c r="BJ155" s="59">
        <f t="shared" si="146"/>
        <v>326.66299410556076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20.045584637633411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20.045584637633411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253.79640000000001</v>
      </c>
      <c r="CA155" s="13">
        <f t="shared" si="170"/>
        <v>61.39816832228076</v>
      </c>
      <c r="CB155" s="20">
        <f t="shared" si="171"/>
        <v>548.96387316130563</v>
      </c>
      <c r="CC155" s="59">
        <f t="shared" si="119"/>
        <v>840.95070322605443</v>
      </c>
      <c r="CD155" s="59">
        <f ca="1">AVERAGE(OFFSET($CC$3,0,0,'Données projet'!$E$12+1,1))-AVERAGE(OFFSET($H$3,0,0,'Données projet'!$E$12+1,1))</f>
        <v>358.39045200457502</v>
      </c>
      <c r="CE155" s="59">
        <f t="shared" si="148"/>
        <v>349.48764057925109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12.775872227202468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12.775872227202468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210.25641025641013</v>
      </c>
      <c r="CU155" s="17">
        <f>CT155*VLOOKUP('Données projet'!$B$13,Paramètres!$A$1:$I$89,3,0)*VLOOKUP('Données projet'!$B$13,Paramètres!$A$1:$I$89,5,0)</f>
        <v>163.99999999999991</v>
      </c>
      <c r="CV155" s="13">
        <f t="shared" si="173"/>
        <v>41.743425908362248</v>
      </c>
      <c r="CW155" s="20">
        <f t="shared" si="174"/>
        <v>358.33646679039742</v>
      </c>
      <c r="CX155" s="59">
        <f t="shared" si="122"/>
        <v>650.32329685514617</v>
      </c>
      <c r="CY155" s="59">
        <f ca="1">AVERAGE(OFFSET($CX$3,0,0,'Données projet'!$E$13+1,1))-AVERAGE(OFFSET($H$3,0,0,'Données projet'!$E$13+1,1))</f>
        <v>201.71903756761543</v>
      </c>
      <c r="CZ155" s="59">
        <f t="shared" si="150"/>
        <v>200.66422845182711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6.2411430087771675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6.2411430087771675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-1.1749999999999972</v>
      </c>
      <c r="DO155" s="12">
        <f>IF('Données projet'!$A$166&gt;35,DO154+DN155-DW154,IF(A155&lt;'Données projet'!$A$166,$DL$205^A155,IF(A155='Données projet'!$A$166,'Données projet'!$B$166,DO154+DN155-DW154)))</f>
        <v>287.47499999999962</v>
      </c>
      <c r="DP155" s="17">
        <f>DO155*VLOOKUP('Données projet'!$B$14,Paramètres!$A$1:$I$89,3,0)*VLOOKUP('Données projet'!$B$14,Paramètres!$A$1:$I$89,5,0)</f>
        <v>273.56120999999962</v>
      </c>
      <c r="DQ155" s="13">
        <f t="shared" si="176"/>
        <v>65.604470591810966</v>
      </c>
      <c r="DR155" s="20">
        <f t="shared" si="177"/>
        <v>590.71356036407008</v>
      </c>
      <c r="DS155" s="59">
        <f t="shared" si="125"/>
        <v>882.70039042881876</v>
      </c>
      <c r="DT155" s="59">
        <f ca="1">AVERAGE(OFFSET($DS$3,0,0,'Données projet'!$E$14+1,1))-AVERAGE(OFFSET($H$3,0,0,'Données projet'!$E$14+1,1))</f>
        <v>502.4879901989737</v>
      </c>
      <c r="DU155" s="59">
        <f t="shared" si="152"/>
        <v>226.06453328626355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149.18205645675008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149.18205645675008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-3.2543994166189806E-14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192.76157155207764</v>
      </c>
      <c r="EP155" s="59">
        <f t="shared" si="154"/>
        <v>413.66427458788348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6.643353851903651</v>
      </c>
      <c r="EW155" s="21">
        <f>EXP(-LN(2)/25)*EW154+(1-EXP(-LN(2)/25))/(LN(2)/25)*Calculateur!ER155*Calculateur!ET155*VLOOKUP('Données projet'!$B$15,Paramètres!$A$1:$I$89,3,0)*0.475*44/12</f>
        <v>0.63427463805329487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7.2776284899569461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69.632771835840558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1.05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3.85</v>
      </c>
      <c r="H156" s="66">
        <f t="shared" si="110"/>
        <v>241.26666666666665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286.3</v>
      </c>
      <c r="L156" s="12">
        <f>VLOOKUP(A156,'Données projet'!$A$35:$I$55,9,0)</f>
        <v>-1.1749999999999972</v>
      </c>
      <c r="M156" s="12">
        <f t="array" ref="M156">INDEX(L:L,MIN(IF(ISNUMBER(L156:L352),ROW(L156:L352),"")))</f>
        <v>-1.1749999999999972</v>
      </c>
      <c r="N156" s="13">
        <f>IF('Données projet'!$A$36&gt;35,N155+M156-V155,IF(A156&lt;'Données projet'!$A$36,$K$205^A156,IF(A156='Données projet'!$A$36,'Données projet'!$B$36,N155+M156-V155)))</f>
        <v>286.29999999999961</v>
      </c>
      <c r="O156" s="13">
        <f>N156*VLOOKUP('Données projet'!$B$9,Paramètres!$A$1:$I$89,3,0)*VLOOKUP('Données projet'!$B$9,Paramètres!$A$1:$I$89,5,0)</f>
        <v>259.04423999999966</v>
      </c>
      <c r="P156" s="13">
        <f t="shared" si="141"/>
        <v>62.518604901036205</v>
      </c>
      <c r="Q156" s="20">
        <f t="shared" si="162"/>
        <v>560.05528820263737</v>
      </c>
      <c r="R156" s="59">
        <f t="shared" si="109"/>
        <v>852.06547708876565</v>
      </c>
      <c r="S156" s="59">
        <f ca="1">AVERAGE(OFFSET($R$3,0,0,'Données projet'!$E$9+1,1))-AVERAGE(OFFSET($H$3,0,0,'Données projet'!$E$9+1,1))</f>
        <v>480.34707165277229</v>
      </c>
      <c r="T156" s="59">
        <f t="shared" si="142"/>
        <v>217.17128038304531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89.29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177.46725088634676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177.46725088634676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20.08734000000041</v>
      </c>
      <c r="AK156" s="13">
        <f t="shared" si="164"/>
        <v>6.5285137703520215</v>
      </c>
      <c r="AL156" s="20">
        <f t="shared" si="165"/>
        <v>46.355945316697152</v>
      </c>
      <c r="AM156" s="59">
        <f t="shared" si="113"/>
        <v>338.36613420282549</v>
      </c>
      <c r="AN156" s="59">
        <f ca="1">AVERAGE(OFFSET($AM$3,0,0,'Données projet'!$E$10+1,1))-AVERAGE(OFFSET($H$3,0,0,'Données projet'!$E$10+1,1))</f>
        <v>596.64394969449609</v>
      </c>
      <c r="AO156" s="59">
        <f t="shared" si="144"/>
        <v>312.55704723516362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200.85200493962981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200.85200493962981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212.28480000000002</v>
      </c>
      <c r="BF156" s="13">
        <f t="shared" si="167"/>
        <v>52.434557099704193</v>
      </c>
      <c r="BG156" s="20">
        <f t="shared" si="168"/>
        <v>461.05288028198476</v>
      </c>
      <c r="BH156" s="59">
        <f t="shared" si="116"/>
        <v>753.06306916811309</v>
      </c>
      <c r="BI156" s="59">
        <f ca="1">AVERAGE(OFFSET($BH$3,0,0,'Données projet'!$E$11+1,1))-AVERAGE(OFFSET($H$3,0,0,'Données projet'!$E$11+1,1))</f>
        <v>360.53625471540249</v>
      </c>
      <c r="BJ156" s="59">
        <f t="shared" si="146"/>
        <v>326.66299410556076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19.65250294948877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19.65250294948877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253.79640000000001</v>
      </c>
      <c r="CA156" s="13">
        <f t="shared" si="170"/>
        <v>61.39816832228076</v>
      </c>
      <c r="CB156" s="20">
        <f t="shared" si="171"/>
        <v>548.96387316130563</v>
      </c>
      <c r="CC156" s="59">
        <f t="shared" si="119"/>
        <v>840.97406204743402</v>
      </c>
      <c r="CD156" s="59">
        <f ca="1">AVERAGE(OFFSET($CC$3,0,0,'Données projet'!$E$12+1,1))-AVERAGE(OFFSET($H$3,0,0,'Données projet'!$E$12+1,1))</f>
        <v>358.39045200457502</v>
      </c>
      <c r="CE156" s="59">
        <f t="shared" si="148"/>
        <v>349.48764057925109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12.52534516533964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12.52534516533964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210.25641025641013</v>
      </c>
      <c r="CU156" s="17">
        <f>CT156*VLOOKUP('Données projet'!$B$13,Paramètres!$A$1:$I$89,3,0)*VLOOKUP('Données projet'!$B$13,Paramètres!$A$1:$I$89,5,0)</f>
        <v>163.99999999999991</v>
      </c>
      <c r="CV156" s="13">
        <f t="shared" si="173"/>
        <v>41.743425908362248</v>
      </c>
      <c r="CW156" s="20">
        <f t="shared" si="174"/>
        <v>358.33646679039742</v>
      </c>
      <c r="CX156" s="59">
        <f t="shared" si="122"/>
        <v>650.34665567652576</v>
      </c>
      <c r="CY156" s="59">
        <f ca="1">AVERAGE(OFFSET($CX$3,0,0,'Données projet'!$E$13+1,1))-AVERAGE(OFFSET($H$3,0,0,'Données projet'!$E$13+1,1))</f>
        <v>201.71903756761543</v>
      </c>
      <c r="CZ156" s="59">
        <f t="shared" si="150"/>
        <v>200.66422845182711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6.1187580010964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6.1187580010964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286.3</v>
      </c>
      <c r="DM156" s="12">
        <f>VLOOKUP(A156,'Données projet'!$A$165:$I$185,9,0)</f>
        <v>-1.1749999999999972</v>
      </c>
      <c r="DN156" s="12">
        <f t="array" ref="DN156">INDEX(DM:DM,MIN(IF(ISNUMBER(DM156:DM352),ROW(DM156:DM352),"")))</f>
        <v>-1.1749999999999972</v>
      </c>
      <c r="DO156" s="12">
        <f>IF('Données projet'!$A$166&gt;35,DO155+DN156-DW155,IF(A156&lt;'Données projet'!$A$166,$DL$205^A156,IF(A156='Données projet'!$A$166,'Données projet'!$B$166,DO155+DN156-DW155)))</f>
        <v>286.29999999999961</v>
      </c>
      <c r="DP156" s="17">
        <f>DO156*VLOOKUP('Données projet'!$B$14,Paramètres!$A$1:$I$89,3,0)*VLOOKUP('Données projet'!$B$14,Paramètres!$A$1:$I$89,5,0)</f>
        <v>272.44307999999967</v>
      </c>
      <c r="DQ156" s="13">
        <f t="shared" si="176"/>
        <v>65.367480394697736</v>
      </c>
      <c r="DR156" s="20">
        <f t="shared" si="177"/>
        <v>588.35339268743132</v>
      </c>
      <c r="DS156" s="59">
        <f t="shared" si="125"/>
        <v>880.36358157355971</v>
      </c>
      <c r="DT156" s="59">
        <f ca="1">AVERAGE(OFFSET($DS$3,0,0,'Données projet'!$E$14+1,1))-AVERAGE(OFFSET($H$3,0,0,'Données projet'!$E$14+1,1))</f>
        <v>502.4879901989737</v>
      </c>
      <c r="DU156" s="59">
        <f t="shared" si="152"/>
        <v>226.06453328626355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89.29</v>
      </c>
      <c r="DX156" s="16">
        <f>IF(ISNA(VLOOKUP(A156,'Données projet'!$A$165:$I$185,5,0)),0%,VLOOKUP(A156,'Données projet'!$A$165:$I$185,5,0)*VLOOKUP('Données projet'!$B$14,Paramètres!$A$1:$I$89,7,0))</f>
        <v>0.43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186.64659144943369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186.64659144943369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-3.2543994166189806E-14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192.76157155207764</v>
      </c>
      <c r="EP156" s="59">
        <f t="shared" si="154"/>
        <v>413.66427458788348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6.5130817349135635</v>
      </c>
      <c r="EW156" s="21">
        <f>EXP(-LN(2)/25)*EW155+(1-EXP(-LN(2)/25))/(LN(2)/25)*Calculateur!ER156*Calculateur!ET156*VLOOKUP('Données projet'!$B$15,Paramètres!$A$1:$I$89,3,0)*0.475*44/12</f>
        <v>0.61693036472067397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7.1300120996342375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69.639142423489545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1.05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3.85</v>
      </c>
      <c r="H157" s="66">
        <f t="shared" si="110"/>
        <v>241.26666666666665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-0.62249999999999517</v>
      </c>
      <c r="N157" s="13">
        <f>IF('Données projet'!$A$36&gt;35,N156+M157-V156,IF(A157&lt;'Données projet'!$A$36,$K$205^A157,IF(A157='Données projet'!$A$36,'Données projet'!$B$36,N156+M157-V156)))</f>
        <v>196.38749999999959</v>
      </c>
      <c r="O157" s="13">
        <f>N157*VLOOKUP('Données projet'!$B$9,Paramètres!$A$1:$I$89,3,0)*VLOOKUP('Données projet'!$B$9,Paramètres!$A$1:$I$89,5,0)</f>
        <v>177.69140999999962</v>
      </c>
      <c r="P157" s="13">
        <f t="shared" si="141"/>
        <v>44.808182194782958</v>
      </c>
      <c r="Q157" s="20">
        <f t="shared" si="162"/>
        <v>387.52012307257957</v>
      </c>
      <c r="R157" s="59">
        <f t="shared" si="109"/>
        <v>679.55326555675902</v>
      </c>
      <c r="S157" s="59">
        <f ca="1">AVERAGE(OFFSET($R$3,0,0,'Données projet'!$E$9+1,1))-AVERAGE(OFFSET($H$3,0,0,'Données projet'!$E$9+1,1))</f>
        <v>480.34707165277229</v>
      </c>
      <c r="T157" s="59">
        <f t="shared" si="142"/>
        <v>217.17128038304531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173.98722634080031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173.98722634080031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20.08734000000041</v>
      </c>
      <c r="AK157" s="13">
        <f t="shared" si="164"/>
        <v>6.5285137703520215</v>
      </c>
      <c r="AL157" s="20">
        <f t="shared" si="165"/>
        <v>46.355945316697152</v>
      </c>
      <c r="AM157" s="59">
        <f t="shared" si="113"/>
        <v>338.38908780087667</v>
      </c>
      <c r="AN157" s="59">
        <f ca="1">AVERAGE(OFFSET($AM$3,0,0,'Données projet'!$E$10+1,1))-AVERAGE(OFFSET($H$3,0,0,'Données projet'!$E$10+1,1))</f>
        <v>596.64394969449609</v>
      </c>
      <c r="AO157" s="59">
        <f t="shared" si="144"/>
        <v>312.55704723516362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196.91341963039005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196.91341963039005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212.28480000000002</v>
      </c>
      <c r="BF157" s="13">
        <f t="shared" si="167"/>
        <v>52.434557099704193</v>
      </c>
      <c r="BG157" s="20">
        <f t="shared" si="168"/>
        <v>461.05288028198476</v>
      </c>
      <c r="BH157" s="59">
        <f t="shared" si="116"/>
        <v>753.08602276616421</v>
      </c>
      <c r="BI157" s="59">
        <f ca="1">AVERAGE(OFFSET($BH$3,0,0,'Données projet'!$E$11+1,1))-AVERAGE(OFFSET($H$3,0,0,'Données projet'!$E$11+1,1))</f>
        <v>360.53625471540249</v>
      </c>
      <c r="BJ157" s="59">
        <f t="shared" si="146"/>
        <v>326.66299410556076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19.267129353492493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19.267129353492493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253.79640000000001</v>
      </c>
      <c r="CA157" s="13">
        <f t="shared" si="170"/>
        <v>61.39816832228076</v>
      </c>
      <c r="CB157" s="20">
        <f t="shared" si="171"/>
        <v>548.96387316130563</v>
      </c>
      <c r="CC157" s="59">
        <f t="shared" si="119"/>
        <v>840.99701564548513</v>
      </c>
      <c r="CD157" s="59">
        <f ca="1">AVERAGE(OFFSET($CC$3,0,0,'Données projet'!$E$12+1,1))-AVERAGE(OFFSET($H$3,0,0,'Données projet'!$E$12+1,1))</f>
        <v>358.39045200457502</v>
      </c>
      <c r="CE157" s="59">
        <f t="shared" si="148"/>
        <v>349.48764057925109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12.279730786353522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12.279730786353522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210.25641025641013</v>
      </c>
      <c r="CU157" s="17">
        <f>CT157*VLOOKUP('Données projet'!$B$13,Paramètres!$A$1:$I$89,3,0)*VLOOKUP('Données projet'!$B$13,Paramètres!$A$1:$I$89,5,0)</f>
        <v>163.99999999999991</v>
      </c>
      <c r="CV157" s="13">
        <f t="shared" si="173"/>
        <v>41.743425908362248</v>
      </c>
      <c r="CW157" s="20">
        <f t="shared" si="174"/>
        <v>358.33646679039742</v>
      </c>
      <c r="CX157" s="59">
        <f t="shared" si="122"/>
        <v>650.36960927457699</v>
      </c>
      <c r="CY157" s="59">
        <f ca="1">AVERAGE(OFFSET($CX$3,0,0,'Données projet'!$E$13+1,1))-AVERAGE(OFFSET($H$3,0,0,'Données projet'!$E$13+1,1))</f>
        <v>201.71903756761543</v>
      </c>
      <c r="CZ157" s="59">
        <f t="shared" si="150"/>
        <v>200.66422845182711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5.9987728887687686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5.9987728887687686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-0.62249999999999517</v>
      </c>
      <c r="DO157" s="12">
        <f>IF('Données projet'!$A$166&gt;35,DO156+DN157-DW156,IF(A157&lt;'Données projet'!$A$166,$DL$205^A157,IF(A157='Données projet'!$A$166,'Données projet'!$B$166,DO156+DN157-DW156)))</f>
        <v>196.38749999999959</v>
      </c>
      <c r="DP157" s="17">
        <f>DO157*VLOOKUP('Données projet'!$B$14,Paramètres!$A$1:$I$89,3,0)*VLOOKUP('Données projet'!$B$14,Paramètres!$A$1:$I$89,5,0)</f>
        <v>186.88234499999962</v>
      </c>
      <c r="DQ157" s="13">
        <f t="shared" si="176"/>
        <v>46.850021298075546</v>
      </c>
      <c r="DR157" s="20">
        <f t="shared" si="177"/>
        <v>407.08387130248093</v>
      </c>
      <c r="DS157" s="59">
        <f t="shared" si="125"/>
        <v>699.11701378666044</v>
      </c>
      <c r="DT157" s="59">
        <f ca="1">AVERAGE(OFFSET($DS$3,0,0,'Données projet'!$E$14+1,1))-AVERAGE(OFFSET($H$3,0,0,'Données projet'!$E$14+1,1))</f>
        <v>502.4879901989737</v>
      </c>
      <c r="DU157" s="59">
        <f t="shared" si="152"/>
        <v>226.06453328626355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182.98656563429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182.98656563429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-3.2543994166189806E-14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192.76157155207764</v>
      </c>
      <c r="EP157" s="59">
        <f t="shared" si="154"/>
        <v>413.66427458788348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6.3853641746795065</v>
      </c>
      <c r="EW157" s="21">
        <f>EXP(-LN(2)/25)*EW156+(1-EXP(-LN(2)/25))/(LN(2)/25)*Calculateur!ER157*Calculateur!ET157*VLOOKUP('Données projet'!$B$15,Paramètres!$A$1:$I$89,3,0)*0.475*44/12</f>
        <v>0.60006037145442925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6.9854245461339355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69.645402495685317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1.05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3.85</v>
      </c>
      <c r="H158" s="66">
        <f t="shared" si="110"/>
        <v>241.26666666666665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-0.62249999999999517</v>
      </c>
      <c r="N158" s="13">
        <f>IF('Données projet'!$A$36&gt;35,N157+M158-V157,IF(A158&lt;'Données projet'!$A$36,$K$205^A158,IF(A158='Données projet'!$A$36,'Données projet'!$B$36,N157+M158-V157)))</f>
        <v>195.76499999999959</v>
      </c>
      <c r="O158" s="13">
        <f>N158*VLOOKUP('Données projet'!$B$9,Paramètres!$A$1:$I$89,3,0)*VLOOKUP('Données projet'!$B$9,Paramètres!$A$1:$I$89,5,0)</f>
        <v>177.12817199999964</v>
      </c>
      <c r="P158" s="13">
        <f t="shared" si="141"/>
        <v>44.682660512074754</v>
      </c>
      <c r="Q158" s="20">
        <f t="shared" si="162"/>
        <v>386.32053329186289</v>
      </c>
      <c r="R158" s="59">
        <f t="shared" si="109"/>
        <v>678.37623118048396</v>
      </c>
      <c r="S158" s="59">
        <f ca="1">AVERAGE(OFFSET($R$3,0,0,'Données projet'!$E$9+1,1))-AVERAGE(OFFSET($H$3,0,0,'Données projet'!$E$9+1,1))</f>
        <v>480.34707165277229</v>
      </c>
      <c r="T158" s="59">
        <f t="shared" si="142"/>
        <v>217.17128038304531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170.57544295398662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170.57544295398662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20.08734000000041</v>
      </c>
      <c r="AK158" s="13">
        <f t="shared" si="164"/>
        <v>6.5285137703520215</v>
      </c>
      <c r="AL158" s="20">
        <f t="shared" si="165"/>
        <v>46.355945316697152</v>
      </c>
      <c r="AM158" s="59">
        <f t="shared" si="113"/>
        <v>338.41164320531823</v>
      </c>
      <c r="AN158" s="59">
        <f ca="1">AVERAGE(OFFSET($AM$3,0,0,'Données projet'!$E$10+1,1))-AVERAGE(OFFSET($H$3,0,0,'Données projet'!$E$10+1,1))</f>
        <v>596.64394969449609</v>
      </c>
      <c r="AO158" s="59">
        <f t="shared" si="144"/>
        <v>312.55704723516362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193.05206757676467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193.05206757676467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212.28480000000002</v>
      </c>
      <c r="BF158" s="13">
        <f t="shared" si="167"/>
        <v>52.434557099704193</v>
      </c>
      <c r="BG158" s="20">
        <f t="shared" si="168"/>
        <v>461.05288028198476</v>
      </c>
      <c r="BH158" s="59">
        <f t="shared" si="116"/>
        <v>753.10857817060582</v>
      </c>
      <c r="BI158" s="59">
        <f ca="1">AVERAGE(OFFSET($BH$3,0,0,'Données projet'!$E$11+1,1))-AVERAGE(OFFSET($H$3,0,0,'Données projet'!$E$11+1,1))</f>
        <v>360.53625471540249</v>
      </c>
      <c r="BJ158" s="59">
        <f t="shared" si="146"/>
        <v>326.66299410556076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18.889312698659019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18.889312698659019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253.79640000000001</v>
      </c>
      <c r="CA158" s="13">
        <f t="shared" si="170"/>
        <v>61.39816832228076</v>
      </c>
      <c r="CB158" s="20">
        <f t="shared" si="171"/>
        <v>548.96387316130563</v>
      </c>
      <c r="CC158" s="59">
        <f t="shared" si="119"/>
        <v>841.01957104992675</v>
      </c>
      <c r="CD158" s="59">
        <f ca="1">AVERAGE(OFFSET($CC$3,0,0,'Données projet'!$E$12+1,1))-AVERAGE(OFFSET($H$3,0,0,'Données projet'!$E$12+1,1))</f>
        <v>358.39045200457502</v>
      </c>
      <c r="CE158" s="59">
        <f t="shared" si="148"/>
        <v>349.48764057925109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12.038932755529343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12.038932755529343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210.25641025641013</v>
      </c>
      <c r="CU158" s="17">
        <f>CT158*VLOOKUP('Données projet'!$B$13,Paramètres!$A$1:$I$89,3,0)*VLOOKUP('Données projet'!$B$13,Paramètres!$A$1:$I$89,5,0)</f>
        <v>163.99999999999991</v>
      </c>
      <c r="CV158" s="13">
        <f t="shared" si="173"/>
        <v>41.743425908362248</v>
      </c>
      <c r="CW158" s="20">
        <f t="shared" si="174"/>
        <v>358.33646679039742</v>
      </c>
      <c r="CX158" s="59">
        <f t="shared" si="122"/>
        <v>650.39216467901849</v>
      </c>
      <c r="CY158" s="59">
        <f ca="1">AVERAGE(OFFSET($CX$3,0,0,'Données projet'!$E$13+1,1))-AVERAGE(OFFSET($H$3,0,0,'Données projet'!$E$13+1,1))</f>
        <v>201.71903756761543</v>
      </c>
      <c r="CZ158" s="59">
        <f t="shared" si="150"/>
        <v>200.66422845182711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5.8811406113101894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5.8811406113101894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-0.62249999999999517</v>
      </c>
      <c r="DO158" s="12">
        <f>IF('Données projet'!$A$166&gt;35,DO157+DN158-DW157,IF(A158&lt;'Données projet'!$A$166,$DL$205^A158,IF(A158='Données projet'!$A$166,'Données projet'!$B$166,DO157+DN158-DW157)))</f>
        <v>195.76499999999959</v>
      </c>
      <c r="DP158" s="17">
        <f>DO158*VLOOKUP('Données projet'!$B$14,Paramètres!$A$1:$I$89,3,0)*VLOOKUP('Données projet'!$B$14,Paramètres!$A$1:$I$89,5,0)</f>
        <v>186.2899739999996</v>
      </c>
      <c r="DQ158" s="13">
        <f t="shared" si="176"/>
        <v>46.718779787703973</v>
      </c>
      <c r="DR158" s="20">
        <f t="shared" si="177"/>
        <v>405.82357951358364</v>
      </c>
      <c r="DS158" s="59">
        <f t="shared" si="125"/>
        <v>697.87927740220471</v>
      </c>
      <c r="DT158" s="59">
        <f ca="1">AVERAGE(OFFSET($DS$3,0,0,'Données projet'!$E$14+1,1))-AVERAGE(OFFSET($H$3,0,0,'Données projet'!$E$14+1,1))</f>
        <v>502.4879901989737</v>
      </c>
      <c r="DU158" s="59">
        <f t="shared" si="152"/>
        <v>226.06453328626355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179.39831069298597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179.39831069298597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-3.2543994166189806E-14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192.76157155207764</v>
      </c>
      <c r="EP158" s="59">
        <f t="shared" si="154"/>
        <v>413.66427458788348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6.2601510779016198</v>
      </c>
      <c r="EW158" s="21">
        <f>EXP(-LN(2)/25)*EW157+(1-EXP(-LN(2)/25))/(LN(2)/25)*Calculateur!ER158*Calculateur!ET158*VLOOKUP('Données projet'!$B$15,Paramètres!$A$1:$I$89,3,0)*0.475*44/12</f>
        <v>0.58365168904120446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6.8438027669428241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69.651553969623933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1.05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3.85</v>
      </c>
      <c r="H159" s="66">
        <f t="shared" si="110"/>
        <v>241.26666666666665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-0.62249999999999517</v>
      </c>
      <c r="N159" s="13">
        <f>IF('Données projet'!$A$36&gt;35,N158+M159-V158,IF(A159&lt;'Données projet'!$A$36,$K$205^A159,IF(A159='Données projet'!$A$36,'Données projet'!$B$36,N158+M159-V158)))</f>
        <v>195.14249999999959</v>
      </c>
      <c r="O159" s="13">
        <f>N159*VLOOKUP('Données projet'!$B$9,Paramètres!$A$1:$I$89,3,0)*VLOOKUP('Données projet'!$B$9,Paramètres!$A$1:$I$89,5,0)</f>
        <v>176.56493399999962</v>
      </c>
      <c r="P159" s="13">
        <f t="shared" si="141"/>
        <v>44.557092361023152</v>
      </c>
      <c r="Q159" s="20">
        <f t="shared" si="162"/>
        <v>385.12086257878133</v>
      </c>
      <c r="R159" s="59">
        <f t="shared" si="109"/>
        <v>677.19872458600321</v>
      </c>
      <c r="S159" s="59">
        <f ca="1">AVERAGE(OFFSET($R$3,0,0,'Données projet'!$E$9+1,1))-AVERAGE(OFFSET($H$3,0,0,'Données projet'!$E$9+1,1))</f>
        <v>480.34707165277229</v>
      </c>
      <c r="T159" s="59">
        <f t="shared" si="142"/>
        <v>217.17128038304531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167.23056255840598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167.23056255840598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20.08734000000041</v>
      </c>
      <c r="AK159" s="13">
        <f t="shared" si="164"/>
        <v>6.5285137703520215</v>
      </c>
      <c r="AL159" s="20">
        <f t="shared" si="165"/>
        <v>46.355945316697152</v>
      </c>
      <c r="AM159" s="59">
        <f t="shared" si="113"/>
        <v>338.43380732391904</v>
      </c>
      <c r="AN159" s="59">
        <f ca="1">AVERAGE(OFFSET($AM$3,0,0,'Données projet'!$E$10+1,1))-AVERAGE(OFFSET($H$3,0,0,'Données projet'!$E$10+1,1))</f>
        <v>596.64394969449609</v>
      </c>
      <c r="AO159" s="59">
        <f t="shared" si="144"/>
        <v>312.55704723516362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189.26643428171869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189.26643428171869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212.28480000000002</v>
      </c>
      <c r="BF159" s="13">
        <f t="shared" si="167"/>
        <v>52.434557099704193</v>
      </c>
      <c r="BG159" s="20">
        <f t="shared" si="168"/>
        <v>461.05288028198476</v>
      </c>
      <c r="BH159" s="59">
        <f t="shared" si="116"/>
        <v>753.13074228920664</v>
      </c>
      <c r="BI159" s="59">
        <f ca="1">AVERAGE(OFFSET($BH$3,0,0,'Données projet'!$E$11+1,1))-AVERAGE(OFFSET($H$3,0,0,'Données projet'!$E$11+1,1))</f>
        <v>360.53625471540249</v>
      </c>
      <c r="BJ159" s="59">
        <f t="shared" si="146"/>
        <v>326.66299410556076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18.518904797981424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18.518904797981424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253.79640000000001</v>
      </c>
      <c r="CA159" s="13">
        <f t="shared" si="170"/>
        <v>61.39816832228076</v>
      </c>
      <c r="CB159" s="20">
        <f t="shared" si="171"/>
        <v>548.96387316130563</v>
      </c>
      <c r="CC159" s="59">
        <f t="shared" si="119"/>
        <v>841.04173516852757</v>
      </c>
      <c r="CD159" s="59">
        <f ca="1">AVERAGE(OFFSET($CC$3,0,0,'Données projet'!$E$12+1,1))-AVERAGE(OFFSET($H$3,0,0,'Données projet'!$E$12+1,1))</f>
        <v>358.39045200457502</v>
      </c>
      <c r="CE159" s="59">
        <f t="shared" si="148"/>
        <v>349.48764057925109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11.802856627217331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11.802856627217331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210.25641025641013</v>
      </c>
      <c r="CU159" s="17">
        <f>CT159*VLOOKUP('Données projet'!$B$13,Paramètres!$A$1:$I$89,3,0)*VLOOKUP('Données projet'!$B$13,Paramètres!$A$1:$I$89,5,0)</f>
        <v>163.99999999999991</v>
      </c>
      <c r="CV159" s="13">
        <f t="shared" si="173"/>
        <v>41.743425908362248</v>
      </c>
      <c r="CW159" s="20">
        <f t="shared" si="174"/>
        <v>358.33646679039742</v>
      </c>
      <c r="CX159" s="59">
        <f t="shared" si="122"/>
        <v>650.41432879761931</v>
      </c>
      <c r="CY159" s="59">
        <f ca="1">AVERAGE(OFFSET($CX$3,0,0,'Données projet'!$E$13+1,1))-AVERAGE(OFFSET($H$3,0,0,'Données projet'!$E$13+1,1))</f>
        <v>201.71903756761543</v>
      </c>
      <c r="CZ159" s="59">
        <f t="shared" si="150"/>
        <v>200.66422845182711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5.7658150310639691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5.7658150310639691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-0.62249999999999517</v>
      </c>
      <c r="DO159" s="12">
        <f>IF('Données projet'!$A$166&gt;35,DO158+DN159-DW158,IF(A159&lt;'Données projet'!$A$166,$DL$205^A159,IF(A159='Données projet'!$A$166,'Données projet'!$B$166,DO158+DN159-DW158)))</f>
        <v>195.14249999999959</v>
      </c>
      <c r="DP159" s="17">
        <f>DO159*VLOOKUP('Données projet'!$B$14,Paramètres!$A$1:$I$89,3,0)*VLOOKUP('Données projet'!$B$14,Paramètres!$A$1:$I$89,5,0)</f>
        <v>185.69760299999959</v>
      </c>
      <c r="DQ159" s="13">
        <f t="shared" si="176"/>
        <v>46.58748969149886</v>
      </c>
      <c r="DR159" s="20">
        <f t="shared" si="177"/>
        <v>404.56320310435973</v>
      </c>
      <c r="DS159" s="59">
        <f t="shared" si="125"/>
        <v>696.64106511158161</v>
      </c>
      <c r="DT159" s="59">
        <f ca="1">AVERAGE(OFFSET($DS$3,0,0,'Données projet'!$E$14+1,1))-AVERAGE(OFFSET($H$3,0,0,'Données projet'!$E$14+1,1))</f>
        <v>502.4879901989737</v>
      </c>
      <c r="DU159" s="59">
        <f t="shared" si="152"/>
        <v>226.06453328626355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175.8804192424615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175.8804192424615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-3.2543994166189806E-14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192.76157155207764</v>
      </c>
      <c r="EP159" s="59">
        <f t="shared" si="154"/>
        <v>413.66427458788348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6.1373933335790989</v>
      </c>
      <c r="EW159" s="21">
        <f>EXP(-LN(2)/25)*EW158+(1-EXP(-LN(2)/25))/(LN(2)/25)*Calculateur!ER159*Calculateur!ET159*VLOOKUP('Données projet'!$B$15,Paramètres!$A$1:$I$89,3,0)*0.475*44/12</f>
        <v>0.56769170291146431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6.705085036490563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69.657598729242338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1.05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3.85</v>
      </c>
      <c r="H160" s="66">
        <f t="shared" si="110"/>
        <v>241.26666666666665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194.52</v>
      </c>
      <c r="L160" s="12">
        <f>VLOOKUP(A160,'Données projet'!$A$35:$I$55,9,0)</f>
        <v>-0.62249999999999517</v>
      </c>
      <c r="M160" s="12">
        <f t="array" ref="M160">INDEX(L:L,MIN(IF(ISNUMBER(L160:L356),ROW(L160:L356),"")))</f>
        <v>-0.62249999999999517</v>
      </c>
      <c r="N160" s="13">
        <f>IF('Données projet'!$A$36&gt;35,N159+M160-V159,IF(A160&lt;'Données projet'!$A$36,$K$205^A160,IF(A160='Données projet'!$A$36,'Données projet'!$B$36,N159+M160-V159)))</f>
        <v>194.51999999999958</v>
      </c>
      <c r="O160" s="13">
        <f>N160*VLOOKUP('Données projet'!$B$9,Paramètres!$A$1:$I$89,3,0)*VLOOKUP('Données projet'!$B$9,Paramètres!$A$1:$I$89,5,0)</f>
        <v>176.00169599999961</v>
      </c>
      <c r="P160" s="13">
        <f t="shared" si="141"/>
        <v>44.431477576109586</v>
      </c>
      <c r="Q160" s="20">
        <f t="shared" si="162"/>
        <v>383.92111064505684</v>
      </c>
      <c r="R160" s="59">
        <f t="shared" si="109"/>
        <v>676.02075227297337</v>
      </c>
      <c r="S160" s="59">
        <f ca="1">AVERAGE(OFFSET($R$3,0,0,'Données projet'!$E$9+1,1))-AVERAGE(OFFSET($H$3,0,0,'Données projet'!$E$9+1,1))</f>
        <v>480.34707165277229</v>
      </c>
      <c r="T160" s="59">
        <f t="shared" si="142"/>
        <v>217.17128038304531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57.95</v>
      </c>
      <c r="W160" s="16">
        <f>IF(ISNA(VLOOKUP(A160,'Données projet'!$A$35:$I$55,5,0)),0%,VLOOKUP(A160,'Données projet'!$A$35:$I$55,5,0)*VLOOKUP('Données projet'!$B$9,Paramètres!$A$1:$I$89,7,0))</f>
        <v>0.43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188.8754944998912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188.8754944998912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20.08734000000041</v>
      </c>
      <c r="AK160" s="13">
        <f t="shared" si="164"/>
        <v>6.5285137703520215</v>
      </c>
      <c r="AL160" s="20">
        <f t="shared" si="165"/>
        <v>46.355945316697152</v>
      </c>
      <c r="AM160" s="59">
        <f t="shared" si="113"/>
        <v>338.45558694461369</v>
      </c>
      <c r="AN160" s="59">
        <f ca="1">AVERAGE(OFFSET($AM$3,0,0,'Données projet'!$E$10+1,1))-AVERAGE(OFFSET($H$3,0,0,'Données projet'!$E$10+1,1))</f>
        <v>596.64394969449609</v>
      </c>
      <c r="AO160" s="59">
        <f t="shared" si="144"/>
        <v>312.55704723516362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185.55503494658024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185.55503494658024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212.28480000000002</v>
      </c>
      <c r="BF160" s="13">
        <f t="shared" si="167"/>
        <v>52.434557099704193</v>
      </c>
      <c r="BG160" s="20">
        <f t="shared" si="168"/>
        <v>461.05288028198476</v>
      </c>
      <c r="BH160" s="59">
        <f t="shared" si="116"/>
        <v>753.15252190990122</v>
      </c>
      <c r="BI160" s="59">
        <f ca="1">AVERAGE(OFFSET($BH$3,0,0,'Données projet'!$E$11+1,1))-AVERAGE(OFFSET($H$3,0,0,'Données projet'!$E$11+1,1))</f>
        <v>360.53625471540249</v>
      </c>
      <c r="BJ160" s="59">
        <f t="shared" si="146"/>
        <v>326.66299410556076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18.155760370309604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18.155760370309604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253.79640000000001</v>
      </c>
      <c r="CA160" s="13">
        <f t="shared" si="170"/>
        <v>61.39816832228076</v>
      </c>
      <c r="CB160" s="20">
        <f t="shared" si="171"/>
        <v>548.96387316130563</v>
      </c>
      <c r="CC160" s="59">
        <f t="shared" si="119"/>
        <v>841.06351478922215</v>
      </c>
      <c r="CD160" s="59">
        <f ca="1">AVERAGE(OFFSET($CC$3,0,0,'Données projet'!$E$12+1,1))-AVERAGE(OFFSET($H$3,0,0,'Données projet'!$E$12+1,1))</f>
        <v>358.39045200457502</v>
      </c>
      <c r="CE160" s="59">
        <f t="shared" si="148"/>
        <v>349.48764057925109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11.571409807789296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11.571409807789296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210.25641025641013</v>
      </c>
      <c r="CU160" s="17">
        <f>CT160*VLOOKUP('Données projet'!$B$13,Paramètres!$A$1:$I$89,3,0)*VLOOKUP('Données projet'!$B$13,Paramètres!$A$1:$I$89,5,0)</f>
        <v>163.99999999999991</v>
      </c>
      <c r="CV160" s="13">
        <f t="shared" si="173"/>
        <v>41.743425908362248</v>
      </c>
      <c r="CW160" s="20">
        <f t="shared" si="174"/>
        <v>358.33646679039742</v>
      </c>
      <c r="CX160" s="59">
        <f t="shared" si="122"/>
        <v>650.43610841831401</v>
      </c>
      <c r="CY160" s="59">
        <f ca="1">AVERAGE(OFFSET($CX$3,0,0,'Données projet'!$E$13+1,1))-AVERAGE(OFFSET($H$3,0,0,'Données projet'!$E$13+1,1))</f>
        <v>201.71903756761543</v>
      </c>
      <c r="CZ160" s="59">
        <f t="shared" si="150"/>
        <v>200.66422845182711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5.6527509151047184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5.6527509151047184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194.52</v>
      </c>
      <c r="DM160" s="12">
        <f>VLOOKUP(A160,'Données projet'!$A$165:$I$185,9,0)</f>
        <v>-0.62249999999999517</v>
      </c>
      <c r="DN160" s="12">
        <f t="array" ref="DN160">INDEX(DM:DM,MIN(IF(ISNUMBER(DM160:DM356),ROW(DM160:DM356),"")))</f>
        <v>-0.62249999999999517</v>
      </c>
      <c r="DO160" s="12">
        <f>IF('Données projet'!$A$166&gt;35,DO159+DN160-DW159,IF(A160&lt;'Données projet'!$A$166,$DL$205^A160,IF(A160='Données projet'!$A$166,'Données projet'!$B$166,DO159+DN160-DW159)))</f>
        <v>194.51999999999958</v>
      </c>
      <c r="DP160" s="17">
        <f>DO160*VLOOKUP('Données projet'!$B$14,Paramètres!$A$1:$I$89,3,0)*VLOOKUP('Données projet'!$B$14,Paramètres!$A$1:$I$89,5,0)</f>
        <v>185.1052319999996</v>
      </c>
      <c r="DQ160" s="13">
        <f t="shared" si="176"/>
        <v>46.456150836399331</v>
      </c>
      <c r="DR160" s="20">
        <f t="shared" si="177"/>
        <v>403.30274177339476</v>
      </c>
      <c r="DS160" s="59">
        <f t="shared" si="125"/>
        <v>695.40238340131123</v>
      </c>
      <c r="DT160" s="59">
        <f ca="1">AVERAGE(OFFSET($DS$3,0,0,'Données projet'!$E$14+1,1))-AVERAGE(OFFSET($H$3,0,0,'Données projet'!$E$14+1,1))</f>
        <v>502.4879901989737</v>
      </c>
      <c r="DU160" s="59">
        <f t="shared" si="152"/>
        <v>226.06453328626355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57.95</v>
      </c>
      <c r="DX160" s="16">
        <f>IF(ISNA(VLOOKUP(A160,'Données projet'!$A$165:$I$185,5,0)),0%,VLOOKUP(A160,'Données projet'!$A$165:$I$185,5,0)*VLOOKUP('Données projet'!$B$14,Paramètres!$A$1:$I$89,7,0))</f>
        <v>0.43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198.64491662919596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198.64491662919596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-3.2543994166189806E-14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192.76157155207764</v>
      </c>
      <c r="EP160" s="59">
        <f t="shared" si="154"/>
        <v>413.66427458788348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6.0170427937479118</v>
      </c>
      <c r="EW160" s="21">
        <f>EXP(-LN(2)/25)*EW159+(1-EXP(-LN(2)/25))/(LN(2)/25)*Calculateur!ER160*Calculateur!ET160*VLOOKUP('Données projet'!$B$15,Paramètres!$A$1:$I$89,3,0)*0.475*44/12</f>
        <v>0.55216814344174114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6.569210937189653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69.663538625795411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1.05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3.85</v>
      </c>
      <c r="H161" s="66">
        <f t="shared" si="110"/>
        <v>241.26666666666665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-0.57750000000000057</v>
      </c>
      <c r="N161" s="13">
        <f>IF('Données projet'!$A$36&gt;35,N160+M161-V160,IF(A161&lt;'Données projet'!$A$36,$K$205^A161,IF(A161='Données projet'!$A$36,'Données projet'!$B$36,N160+M161-V160)))</f>
        <v>135.99249999999961</v>
      </c>
      <c r="O161" s="13">
        <f>N161*VLOOKUP('Données projet'!$B$9,Paramètres!$A$1:$I$89,3,0)*VLOOKUP('Données projet'!$B$9,Paramètres!$A$1:$I$89,5,0)</f>
        <v>123.04601399999964</v>
      </c>
      <c r="P161" s="13">
        <f t="shared" si="141"/>
        <v>32.384392287025349</v>
      </c>
      <c r="Q161" s="20">
        <f t="shared" si="162"/>
        <v>270.70795761656854</v>
      </c>
      <c r="R161" s="59">
        <f t="shared" si="109"/>
        <v>562.8290010374526</v>
      </c>
      <c r="S161" s="59">
        <f ca="1">AVERAGE(OFFSET($R$3,0,0,'Données projet'!$E$9+1,1))-AVERAGE(OFFSET($H$3,0,0,'Données projet'!$E$9+1,1))</f>
        <v>480.34707165277229</v>
      </c>
      <c r="T161" s="59">
        <f t="shared" si="142"/>
        <v>217.17128038304531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185.17176125542466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185.17176125542466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20.08734000000041</v>
      </c>
      <c r="AK161" s="13">
        <f t="shared" si="164"/>
        <v>6.5285137703520215</v>
      </c>
      <c r="AL161" s="20">
        <f t="shared" si="165"/>
        <v>46.355945316697152</v>
      </c>
      <c r="AM161" s="59">
        <f t="shared" si="113"/>
        <v>338.47698873758122</v>
      </c>
      <c r="AN161" s="59">
        <f ca="1">AVERAGE(OFFSET($AM$3,0,0,'Données projet'!$E$10+1,1))-AVERAGE(OFFSET($H$3,0,0,'Données projet'!$E$10+1,1))</f>
        <v>596.64394969449609</v>
      </c>
      <c r="AO161" s="59">
        <f t="shared" si="144"/>
        <v>312.55704723516362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181.91641388867379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181.91641388867379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212.28480000000002</v>
      </c>
      <c r="BF161" s="13">
        <f t="shared" si="167"/>
        <v>52.434557099704193</v>
      </c>
      <c r="BG161" s="20">
        <f t="shared" si="168"/>
        <v>461.05288028198476</v>
      </c>
      <c r="BH161" s="59">
        <f t="shared" si="116"/>
        <v>753.17392370286882</v>
      </c>
      <c r="BI161" s="59">
        <f ca="1">AVERAGE(OFFSET($BH$3,0,0,'Données projet'!$E$11+1,1))-AVERAGE(OFFSET($H$3,0,0,'Données projet'!$E$11+1,1))</f>
        <v>360.53625471540249</v>
      </c>
      <c r="BJ161" s="59">
        <f t="shared" si="146"/>
        <v>326.66299410556076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17.799736983368199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17.799736983368199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253.79640000000001</v>
      </c>
      <c r="CA161" s="13">
        <f t="shared" si="170"/>
        <v>61.39816832228076</v>
      </c>
      <c r="CB161" s="20">
        <f t="shared" si="171"/>
        <v>548.96387316130563</v>
      </c>
      <c r="CC161" s="59">
        <f t="shared" si="119"/>
        <v>841.08491658218963</v>
      </c>
      <c r="CD161" s="59">
        <f ca="1">AVERAGE(OFFSET($CC$3,0,0,'Données projet'!$E$12+1,1))-AVERAGE(OFFSET($H$3,0,0,'Données projet'!$E$12+1,1))</f>
        <v>358.39045200457502</v>
      </c>
      <c r="CE161" s="59">
        <f t="shared" si="148"/>
        <v>349.48764057925109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11.344501519321625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11.344501519321625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210.25641025641013</v>
      </c>
      <c r="CU161" s="17">
        <f>CT161*VLOOKUP('Données projet'!$B$13,Paramètres!$A$1:$I$89,3,0)*VLOOKUP('Données projet'!$B$13,Paramètres!$A$1:$I$89,5,0)</f>
        <v>163.99999999999991</v>
      </c>
      <c r="CV161" s="13">
        <f t="shared" si="173"/>
        <v>41.743425908362248</v>
      </c>
      <c r="CW161" s="20">
        <f t="shared" si="174"/>
        <v>358.33646679039742</v>
      </c>
      <c r="CX161" s="59">
        <f t="shared" si="122"/>
        <v>650.45751021128149</v>
      </c>
      <c r="CY161" s="59">
        <f ca="1">AVERAGE(OFFSET($CX$3,0,0,'Données projet'!$E$13+1,1))-AVERAGE(OFFSET($H$3,0,0,'Données projet'!$E$13+1,1))</f>
        <v>201.71903756761543</v>
      </c>
      <c r="CZ161" s="59">
        <f t="shared" si="150"/>
        <v>200.66422845182711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5.5419039174971276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5.5419039174971276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-0.57750000000000057</v>
      </c>
      <c r="DO161" s="12">
        <f>IF('Données projet'!$A$166&gt;35,DO160+DN161-DW160,IF(A161&lt;'Données projet'!$A$166,$DL$205^A161,IF(A161='Données projet'!$A$166,'Données projet'!$B$166,DO160+DN161-DW160)))</f>
        <v>135.99249999999961</v>
      </c>
      <c r="DP161" s="17">
        <f>DO161*VLOOKUP('Données projet'!$B$14,Paramètres!$A$1:$I$89,3,0)*VLOOKUP('Données projet'!$B$14,Paramètres!$A$1:$I$89,5,0)</f>
        <v>129.41046299999962</v>
      </c>
      <c r="DQ161" s="13">
        <f t="shared" si="176"/>
        <v>33.860098626117001</v>
      </c>
      <c r="DR161" s="20">
        <f t="shared" si="177"/>
        <v>284.36289483215313</v>
      </c>
      <c r="DS161" s="59">
        <f t="shared" si="125"/>
        <v>576.48393825303719</v>
      </c>
      <c r="DT161" s="59">
        <f ca="1">AVERAGE(OFFSET($DS$3,0,0,'Données projet'!$E$14+1,1))-AVERAGE(OFFSET($H$3,0,0,'Données projet'!$E$14+1,1))</f>
        <v>502.4879901989737</v>
      </c>
      <c r="DU161" s="59">
        <f t="shared" si="152"/>
        <v>226.06453328626355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194.74961097553287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194.74961097553287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-3.2543994166189806E-14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192.76157155207764</v>
      </c>
      <c r="EP161" s="59">
        <f t="shared" si="154"/>
        <v>413.66427458788348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5.8990522545962341</v>
      </c>
      <c r="EW161" s="21">
        <f>EXP(-LN(2)/25)*EW160+(1-EXP(-LN(2)/25))/(LN(2)/25)*Calculateur!ER161*Calculateur!ET161*VLOOKUP('Données projet'!$B$15,Paramètres!$A$1:$I$89,3,0)*0.475*44/12</f>
        <v>0.53706907652206604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6.4361213311182999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69.669375478422921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1.05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3.85</v>
      </c>
      <c r="H162" s="66">
        <f t="shared" si="110"/>
        <v>241.26666666666665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-0.57750000000000057</v>
      </c>
      <c r="N162" s="13">
        <f>IF('Données projet'!$A$36&gt;35,N161+M162-V161,IF(A162&lt;'Données projet'!$A$36,$K$205^A162,IF(A162='Données projet'!$A$36,'Données projet'!$B$36,N161+M162-V161)))</f>
        <v>135.41499999999962</v>
      </c>
      <c r="O162" s="13">
        <f>N162*VLOOKUP('Données projet'!$B$9,Paramètres!$A$1:$I$89,3,0)*VLOOKUP('Données projet'!$B$9,Paramètres!$A$1:$I$89,5,0)</f>
        <v>122.52349199999965</v>
      </c>
      <c r="P162" s="13">
        <f t="shared" si="141"/>
        <v>32.262847599287056</v>
      </c>
      <c r="Q162" s="20">
        <f t="shared" si="162"/>
        <v>269.58620813542433</v>
      </c>
      <c r="R162" s="59">
        <f t="shared" si="109"/>
        <v>561.72828207601515</v>
      </c>
      <c r="S162" s="59">
        <f ca="1">AVERAGE(OFFSET($R$3,0,0,'Données projet'!$E$9+1,1))-AVERAGE(OFFSET($H$3,0,0,'Données projet'!$E$9+1,1))</f>
        <v>480.34707165277229</v>
      </c>
      <c r="T162" s="59">
        <f t="shared" si="142"/>
        <v>217.17128038304531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181.54065596082788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181.54065596082788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20.08734000000041</v>
      </c>
      <c r="AK162" s="13">
        <f t="shared" si="164"/>
        <v>6.5285137703520215</v>
      </c>
      <c r="AL162" s="20">
        <f t="shared" si="165"/>
        <v>46.355945316697152</v>
      </c>
      <c r="AM162" s="59">
        <f t="shared" si="113"/>
        <v>338.49801925728798</v>
      </c>
      <c r="AN162" s="59">
        <f ca="1">AVERAGE(OFFSET($AM$3,0,0,'Données projet'!$E$10+1,1))-AVERAGE(OFFSET($H$3,0,0,'Données projet'!$E$10+1,1))</f>
        <v>596.64394969449609</v>
      </c>
      <c r="AO162" s="59">
        <f t="shared" si="144"/>
        <v>312.55704723516362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178.34914397037318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178.34914397037318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212.28480000000002</v>
      </c>
      <c r="BF162" s="13">
        <f t="shared" si="167"/>
        <v>52.434557099704193</v>
      </c>
      <c r="BG162" s="20">
        <f t="shared" si="168"/>
        <v>461.05288028198476</v>
      </c>
      <c r="BH162" s="59">
        <f t="shared" si="116"/>
        <v>753.19495422257557</v>
      </c>
      <c r="BI162" s="59">
        <f ca="1">AVERAGE(OFFSET($BH$3,0,0,'Données projet'!$E$11+1,1))-AVERAGE(OFFSET($H$3,0,0,'Données projet'!$E$11+1,1))</f>
        <v>360.53625471540249</v>
      </c>
      <c r="BJ162" s="59">
        <f t="shared" si="146"/>
        <v>326.66299410556076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17.45069499789189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17.45069499789189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253.79640000000001</v>
      </c>
      <c r="CA162" s="13">
        <f t="shared" si="170"/>
        <v>61.39816832228076</v>
      </c>
      <c r="CB162" s="20">
        <f t="shared" si="171"/>
        <v>548.96387316130563</v>
      </c>
      <c r="CC162" s="59">
        <f t="shared" si="119"/>
        <v>841.10594710189639</v>
      </c>
      <c r="CD162" s="59">
        <f ca="1">AVERAGE(OFFSET($CC$3,0,0,'Données projet'!$E$12+1,1))-AVERAGE(OFFSET($H$3,0,0,'Données projet'!$E$12+1,1))</f>
        <v>358.39045200457502</v>
      </c>
      <c r="CE162" s="59">
        <f t="shared" si="148"/>
        <v>349.48764057925109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11.122042763990414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11.122042763990414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210.25641025641013</v>
      </c>
      <c r="CU162" s="17">
        <f>CT162*VLOOKUP('Données projet'!$B$13,Paramètres!$A$1:$I$89,3,0)*VLOOKUP('Données projet'!$B$13,Paramètres!$A$1:$I$89,5,0)</f>
        <v>163.99999999999991</v>
      </c>
      <c r="CV162" s="13">
        <f t="shared" si="173"/>
        <v>41.743425908362248</v>
      </c>
      <c r="CW162" s="20">
        <f t="shared" si="174"/>
        <v>358.33646679039742</v>
      </c>
      <c r="CX162" s="59">
        <f t="shared" si="122"/>
        <v>650.47854073098824</v>
      </c>
      <c r="CY162" s="59">
        <f ca="1">AVERAGE(OFFSET($CX$3,0,0,'Données projet'!$E$13+1,1))-AVERAGE(OFFSET($H$3,0,0,'Données projet'!$E$13+1,1))</f>
        <v>201.71903756761543</v>
      </c>
      <c r="CZ162" s="59">
        <f t="shared" si="150"/>
        <v>200.66422845182711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5.4332305619026293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5.4332305619026293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-0.57750000000000057</v>
      </c>
      <c r="DO162" s="12">
        <f>IF('Données projet'!$A$166&gt;35,DO161+DN162-DW161,IF(A162&lt;'Données projet'!$A$166,$DL$205^A162,IF(A162='Données projet'!$A$166,'Données projet'!$B$166,DO161+DN162-DW161)))</f>
        <v>135.41499999999962</v>
      </c>
      <c r="DP162" s="17">
        <f>DO162*VLOOKUP('Données projet'!$B$14,Paramètres!$A$1:$I$89,3,0)*VLOOKUP('Données projet'!$B$14,Paramètres!$A$1:$I$89,5,0)</f>
        <v>128.86091399999964</v>
      </c>
      <c r="DQ162" s="13">
        <f t="shared" si="176"/>
        <v>33.733015336184529</v>
      </c>
      <c r="DR162" s="20">
        <f t="shared" si="177"/>
        <v>283.18442692718742</v>
      </c>
      <c r="DS162" s="59">
        <f t="shared" si="125"/>
        <v>575.32650086777824</v>
      </c>
      <c r="DT162" s="59">
        <f ca="1">AVERAGE(OFFSET($DS$3,0,0,'Données projet'!$E$14+1,1))-AVERAGE(OFFSET($H$3,0,0,'Données projet'!$E$14+1,1))</f>
        <v>502.4879901989737</v>
      </c>
      <c r="DU162" s="59">
        <f t="shared" si="152"/>
        <v>226.06453328626355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190.93068988983626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190.93068988983626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-3.2543994166189806E-14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192.76157155207764</v>
      </c>
      <c r="EP162" s="59">
        <f t="shared" si="154"/>
        <v>413.66427458788348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5.7833754379501974</v>
      </c>
      <c r="EW162" s="21">
        <f>EXP(-LN(2)/25)*EW161+(1-EXP(-LN(2)/25))/(LN(2)/25)*Calculateur!ER162*Calculateur!ET162*VLOOKUP('Données projet'!$B$15,Paramètres!$A$1:$I$89,3,0)*0.475*44/12</f>
        <v>0.52238289438133489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6.305758332331532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69.675111074706592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1.05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3.85</v>
      </c>
      <c r="H163" s="66">
        <f t="shared" si="110"/>
        <v>241.26666666666665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-0.57750000000000057</v>
      </c>
      <c r="N163" s="13">
        <f>IF('Données projet'!$A$36&gt;35,N162+M163-V162,IF(A163&lt;'Données projet'!$A$36,$K$205^A163,IF(A163='Données projet'!$A$36,'Données projet'!$B$36,N162+M163-V162)))</f>
        <v>134.83749999999964</v>
      </c>
      <c r="O163" s="13">
        <f>N163*VLOOKUP('Données projet'!$B$9,Paramètres!$A$1:$I$89,3,0)*VLOOKUP('Données projet'!$B$9,Paramètres!$A$1:$I$89,5,0)</f>
        <v>122.00096999999967</v>
      </c>
      <c r="P163" s="13">
        <f t="shared" si="141"/>
        <v>32.141242560701933</v>
      </c>
      <c r="Q163" s="20">
        <f t="shared" si="162"/>
        <v>268.46435354322199</v>
      </c>
      <c r="R163" s="59">
        <f t="shared" si="109"/>
        <v>560.62709317101985</v>
      </c>
      <c r="S163" s="59">
        <f ca="1">AVERAGE(OFFSET($R$3,0,0,'Données projet'!$E$9+1,1))-AVERAGE(OFFSET($H$3,0,0,'Données projet'!$E$9+1,1))</f>
        <v>480.34707165277229</v>
      </c>
      <c r="T163" s="59">
        <f t="shared" si="142"/>
        <v>217.17128038304531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177.98075442630261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177.98075442630261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20.08734000000041</v>
      </c>
      <c r="AK163" s="13">
        <f t="shared" si="164"/>
        <v>6.5285137703520215</v>
      </c>
      <c r="AL163" s="20">
        <f t="shared" si="165"/>
        <v>46.355945316697152</v>
      </c>
      <c r="AM163" s="59">
        <f t="shared" si="113"/>
        <v>338.51868494449502</v>
      </c>
      <c r="AN163" s="59">
        <f ca="1">AVERAGE(OFFSET($AM$3,0,0,'Données projet'!$E$10+1,1))-AVERAGE(OFFSET($H$3,0,0,'Données projet'!$E$10+1,1))</f>
        <v>596.64394969449609</v>
      </c>
      <c r="AO163" s="59">
        <f t="shared" si="144"/>
        <v>312.55704723516362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174.85182603935064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174.85182603935064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212.28480000000002</v>
      </c>
      <c r="BF163" s="13">
        <f t="shared" si="167"/>
        <v>52.434557099704193</v>
      </c>
      <c r="BG163" s="20">
        <f t="shared" si="168"/>
        <v>461.05288028198476</v>
      </c>
      <c r="BH163" s="59">
        <f t="shared" si="116"/>
        <v>753.21561990978262</v>
      </c>
      <c r="BI163" s="59">
        <f ca="1">AVERAGE(OFFSET($BH$3,0,0,'Données projet'!$E$11+1,1))-AVERAGE(OFFSET($H$3,0,0,'Données projet'!$E$11+1,1))</f>
        <v>360.53625471540249</v>
      </c>
      <c r="BJ163" s="59">
        <f t="shared" si="146"/>
        <v>326.66299410556076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17.108497512856182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17.108497512856182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253.79640000000001</v>
      </c>
      <c r="CA163" s="13">
        <f t="shared" si="170"/>
        <v>61.39816832228076</v>
      </c>
      <c r="CB163" s="20">
        <f t="shared" si="171"/>
        <v>548.96387316130563</v>
      </c>
      <c r="CC163" s="59">
        <f t="shared" si="119"/>
        <v>841.12661278910355</v>
      </c>
      <c r="CD163" s="59">
        <f ca="1">AVERAGE(OFFSET($CC$3,0,0,'Données projet'!$E$12+1,1))-AVERAGE(OFFSET($H$3,0,0,'Données projet'!$E$12+1,1))</f>
        <v>358.39045200457502</v>
      </c>
      <c r="CE163" s="59">
        <f t="shared" si="148"/>
        <v>349.48764057925109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10.903946289164805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10.903946289164805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210.25641025641013</v>
      </c>
      <c r="CU163" s="17">
        <f>CT163*VLOOKUP('Données projet'!$B$13,Paramètres!$A$1:$I$89,3,0)*VLOOKUP('Données projet'!$B$13,Paramètres!$A$1:$I$89,5,0)</f>
        <v>163.99999999999991</v>
      </c>
      <c r="CV163" s="13">
        <f t="shared" si="173"/>
        <v>41.743425908362248</v>
      </c>
      <c r="CW163" s="20">
        <f t="shared" si="174"/>
        <v>358.33646679039742</v>
      </c>
      <c r="CX163" s="59">
        <f t="shared" si="122"/>
        <v>650.49920641819529</v>
      </c>
      <c r="CY163" s="59">
        <f ca="1">AVERAGE(OFFSET($CX$3,0,0,'Données projet'!$E$13+1,1))-AVERAGE(OFFSET($H$3,0,0,'Données projet'!$E$13+1,1))</f>
        <v>201.71903756761543</v>
      </c>
      <c r="CZ163" s="59">
        <f t="shared" si="150"/>
        <v>200.66422845182711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5.3266882245271372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5.3266882245271372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-0.57750000000000057</v>
      </c>
      <c r="DO163" s="12">
        <f>IF('Données projet'!$A$166&gt;35,DO162+DN163-DW162,IF(A163&lt;'Données projet'!$A$166,$DL$205^A163,IF(A163='Données projet'!$A$166,'Données projet'!$B$166,DO162+DN163-DW162)))</f>
        <v>134.83749999999964</v>
      </c>
      <c r="DP163" s="17">
        <f>DO163*VLOOKUP('Données projet'!$B$14,Paramètres!$A$1:$I$89,3,0)*VLOOKUP('Données projet'!$B$14,Paramètres!$A$1:$I$89,5,0)</f>
        <v>128.31136499999965</v>
      </c>
      <c r="DQ163" s="13">
        <f t="shared" si="176"/>
        <v>33.605868945311109</v>
      </c>
      <c r="DR163" s="20">
        <f t="shared" si="177"/>
        <v>282.00584912141625</v>
      </c>
      <c r="DS163" s="59">
        <f t="shared" si="125"/>
        <v>574.16858874921411</v>
      </c>
      <c r="DT163" s="59">
        <f ca="1">AVERAGE(OFFSET($DS$3,0,0,'Données projet'!$E$14+1,1))-AVERAGE(OFFSET($H$3,0,0,'Données projet'!$E$14+1,1))</f>
        <v>502.4879901989737</v>
      </c>
      <c r="DU163" s="59">
        <f t="shared" si="152"/>
        <v>226.06453328626355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187.18665551731831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187.18665551731831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-3.2543994166189806E-14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192.76157155207764</v>
      </c>
      <c r="EP163" s="59">
        <f t="shared" si="154"/>
        <v>413.66427458788348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5.6699669731226985</v>
      </c>
      <c r="EW163" s="21">
        <f>EXP(-LN(2)/25)*EW162+(1-EXP(-LN(2)/25))/(LN(2)/25)*Calculateur!ER163*Calculateur!ET163*VLOOKUP('Données projet'!$B$15,Paramètres!$A$1:$I$89,3,0)*0.475*44/12</f>
        <v>0.50809830666355482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6.178065279786253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69.680747171217604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1.05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3.85</v>
      </c>
      <c r="H164" s="66">
        <f t="shared" si="110"/>
        <v>241.26666666666665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134.26</v>
      </c>
      <c r="L164" s="12">
        <f>VLOOKUP(A164,'Données projet'!$A$35:$I$55,9,0)</f>
        <v>-0.57750000000000057</v>
      </c>
      <c r="M164" s="12">
        <f t="array" ref="M164">INDEX(L:L,MIN(IF(ISNUMBER(L164:L360),ROW(L164:L360),"")))</f>
        <v>-0.57750000000000057</v>
      </c>
      <c r="N164" s="13">
        <f>IF('Données projet'!$A$36&gt;35,N163+M164-V163,IF(A164&lt;'Données projet'!$A$36,$K$205^A164,IF(A164='Données projet'!$A$36,'Données projet'!$B$36,N163+M164-V163)))</f>
        <v>134.25999999999965</v>
      </c>
      <c r="O164" s="13">
        <f>N164*VLOOKUP('Données projet'!$B$9,Paramètres!$A$1:$I$89,3,0)*VLOOKUP('Données projet'!$B$9,Paramètres!$A$1:$I$89,5,0)</f>
        <v>121.47844799999967</v>
      </c>
      <c r="P164" s="13">
        <f t="shared" si="141"/>
        <v>32.01957688263073</v>
      </c>
      <c r="Q164" s="20">
        <f t="shared" si="162"/>
        <v>267.34239333724798</v>
      </c>
      <c r="R164" s="59">
        <f t="shared" si="109"/>
        <v>559.5254401487814</v>
      </c>
      <c r="S164" s="59">
        <f ca="1">AVERAGE(OFFSET($R$3,0,0,'Données projet'!$E$9+1,1))-AVERAGE(OFFSET($H$3,0,0,'Données projet'!$E$9+1,1))</f>
        <v>480.34707165277229</v>
      </c>
      <c r="T164" s="59">
        <f t="shared" si="142"/>
        <v>217.17128038304531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115.43</v>
      </c>
      <c r="W164" s="16">
        <f>IF(ISNA(VLOOKUP(A164,'Données projet'!$A$35:$I$55,5,0)),0%,VLOOKUP(A164,'Données projet'!$A$35:$I$55,5,0)*VLOOKUP('Données projet'!$B$9,Paramètres!$A$1:$I$89,7,0))</f>
        <v>0.43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224.13695653287306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224.13695653287306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20.08734000000041</v>
      </c>
      <c r="AK164" s="13">
        <f t="shared" si="164"/>
        <v>6.5285137703520215</v>
      </c>
      <c r="AL164" s="20">
        <f t="shared" si="165"/>
        <v>46.355945316697152</v>
      </c>
      <c r="AM164" s="59">
        <f t="shared" si="113"/>
        <v>338.53899212823063</v>
      </c>
      <c r="AN164" s="59">
        <f ca="1">AVERAGE(OFFSET($AM$3,0,0,'Données projet'!$E$10+1,1))-AVERAGE(OFFSET($H$3,0,0,'Données projet'!$E$10+1,1))</f>
        <v>596.64394969449609</v>
      </c>
      <c r="AO164" s="59">
        <f t="shared" si="144"/>
        <v>312.55704723516362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171.42308837980212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171.42308837980212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212.28480000000002</v>
      </c>
      <c r="BF164" s="13">
        <f t="shared" si="167"/>
        <v>52.434557099704193</v>
      </c>
      <c r="BG164" s="20">
        <f t="shared" si="168"/>
        <v>461.05288028198476</v>
      </c>
      <c r="BH164" s="59">
        <f t="shared" si="116"/>
        <v>753.23592709351828</v>
      </c>
      <c r="BI164" s="59">
        <f ca="1">AVERAGE(OFFSET($BH$3,0,0,'Données projet'!$E$11+1,1))-AVERAGE(OFFSET($H$3,0,0,'Données projet'!$E$11+1,1))</f>
        <v>360.53625471540249</v>
      </c>
      <c r="BJ164" s="59">
        <f t="shared" si="146"/>
        <v>326.66299410556076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16.773010311782169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16.773010311782169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253.79640000000001</v>
      </c>
      <c r="CA164" s="13">
        <f t="shared" si="170"/>
        <v>61.39816832228076</v>
      </c>
      <c r="CB164" s="20">
        <f t="shared" si="171"/>
        <v>548.96387316130563</v>
      </c>
      <c r="CC164" s="59">
        <f t="shared" si="119"/>
        <v>841.1469199728391</v>
      </c>
      <c r="CD164" s="59">
        <f ca="1">AVERAGE(OFFSET($CC$3,0,0,'Données projet'!$E$12+1,1))-AVERAGE(OFFSET($H$3,0,0,'Données projet'!$E$12+1,1))</f>
        <v>358.39045200457502</v>
      </c>
      <c r="CE164" s="59">
        <f t="shared" si="148"/>
        <v>349.48764057925109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10.690126553184813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10.690126553184813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210.25641025641013</v>
      </c>
      <c r="CU164" s="17">
        <f>CT164*VLOOKUP('Données projet'!$B$13,Paramètres!$A$1:$I$89,3,0)*VLOOKUP('Données projet'!$B$13,Paramètres!$A$1:$I$89,5,0)</f>
        <v>163.99999999999991</v>
      </c>
      <c r="CV164" s="13">
        <f t="shared" si="173"/>
        <v>41.743425908362248</v>
      </c>
      <c r="CW164" s="20">
        <f t="shared" si="174"/>
        <v>358.33646679039742</v>
      </c>
      <c r="CX164" s="59">
        <f t="shared" si="122"/>
        <v>650.51951360193084</v>
      </c>
      <c r="CY164" s="59">
        <f ca="1">AVERAGE(OFFSET($CX$3,0,0,'Données projet'!$E$13+1,1))-AVERAGE(OFFSET($H$3,0,0,'Données projet'!$E$13+1,1))</f>
        <v>201.71903756761543</v>
      </c>
      <c r="CZ164" s="59">
        <f t="shared" si="150"/>
        <v>200.66422845182711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5.2222351174031694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5.2222351174031694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134.26</v>
      </c>
      <c r="DM164" s="12">
        <f>VLOOKUP(A164,'Données projet'!$A$165:$I$185,9,0)</f>
        <v>-0.57750000000000057</v>
      </c>
      <c r="DN164" s="12">
        <f t="array" ref="DN164">INDEX(DM:DM,MIN(IF(ISNUMBER(DM164:DM360),ROW(DM164:DM360),"")))</f>
        <v>-0.57750000000000057</v>
      </c>
      <c r="DO164" s="12">
        <f>IF('Données projet'!$A$166&gt;35,DO163+DN164-DW163,IF(A164&lt;'Données projet'!$A$166,$DL$205^A164,IF(A164='Données projet'!$A$166,'Données projet'!$B$166,DO163+DN164-DW163)))</f>
        <v>134.25999999999965</v>
      </c>
      <c r="DP164" s="17">
        <f>DO164*VLOOKUP('Données projet'!$B$14,Paramètres!$A$1:$I$89,3,0)*VLOOKUP('Données projet'!$B$14,Paramètres!$A$1:$I$89,5,0)</f>
        <v>127.76181599999967</v>
      </c>
      <c r="DQ164" s="13">
        <f t="shared" si="176"/>
        <v>33.478659151704591</v>
      </c>
      <c r="DR164" s="20">
        <f t="shared" si="177"/>
        <v>280.82716088921825</v>
      </c>
      <c r="DS164" s="59">
        <f t="shared" si="125"/>
        <v>573.01020770075172</v>
      </c>
      <c r="DT164" s="59">
        <f ca="1">AVERAGE(OFFSET($DS$3,0,0,'Données projet'!$E$14+1,1))-AVERAGE(OFFSET($H$3,0,0,'Données projet'!$E$14+1,1))</f>
        <v>502.4879901989737</v>
      </c>
      <c r="DU164" s="59">
        <f t="shared" si="152"/>
        <v>226.06453328626355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115.43</v>
      </c>
      <c r="DX164" s="16">
        <f>IF(ISNA(VLOOKUP(A164,'Données projet'!$A$165:$I$185,5,0)),0%,VLOOKUP(A164,'Données projet'!$A$165:$I$185,5,0)*VLOOKUP('Données projet'!$B$14,Paramètres!$A$1:$I$89,7,0))</f>
        <v>0.43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235.73024738802172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235.73024738802172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-3.2543994166189806E-14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192.76157155207764</v>
      </c>
      <c r="EP164" s="59">
        <f t="shared" si="154"/>
        <v>413.66427458788348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5.5587823791181332</v>
      </c>
      <c r="EW164" s="21">
        <f>EXP(-LN(2)/25)*EW163+(1-EXP(-LN(2)/25))/(LN(2)/25)*Calculateur!ER164*Calculateur!ET164*VLOOKUP('Données projet'!$B$15,Paramètres!$A$1:$I$89,3,0)*0.475*44/12</f>
        <v>0.49420433174811124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6.0529867108662447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69.686285494054587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1.05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3.85</v>
      </c>
      <c r="H165" s="66">
        <f t="shared" si="110"/>
        <v>241.26666666666665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18.829999999999643</v>
      </c>
      <c r="O165" s="13">
        <f>N165*VLOOKUP('Données projet'!$B$9,Paramètres!$A$1:$I$89,3,0)*VLOOKUP('Données projet'!$B$9,Paramètres!$A$1:$I$89,5,0)</f>
        <v>17.037383999999676</v>
      </c>
      <c r="P165" s="13">
        <f t="shared" si="141"/>
        <v>5.644424624466958</v>
      </c>
      <c r="Q165" s="20">
        <f t="shared" si="162"/>
        <v>39.504150020946049</v>
      </c>
      <c r="R165" s="59">
        <f t="shared" si="109"/>
        <v>331.70715173197732</v>
      </c>
      <c r="S165" s="59">
        <f ca="1">AVERAGE(OFFSET($R$3,0,0,'Données projet'!$E$9+1,1))-AVERAGE(OFFSET($H$3,0,0,'Données projet'!$E$9+1,1))</f>
        <v>480.34707165277229</v>
      </c>
      <c r="T165" s="59">
        <f t="shared" si="142"/>
        <v>217.17128038304531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219.74176752530789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219.74176752530789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20.08734000000041</v>
      </c>
      <c r="AK165" s="13">
        <f t="shared" si="164"/>
        <v>6.5285137703520215</v>
      </c>
      <c r="AL165" s="20">
        <f t="shared" si="165"/>
        <v>46.355945316697152</v>
      </c>
      <c r="AM165" s="59">
        <f t="shared" si="113"/>
        <v>338.55894702772844</v>
      </c>
      <c r="AN165" s="59">
        <f ca="1">AVERAGE(OFFSET($AM$3,0,0,'Données projet'!$E$10+1,1))-AVERAGE(OFFSET($H$3,0,0,'Données projet'!$E$10+1,1))</f>
        <v>596.64394969449609</v>
      </c>
      <c r="AO165" s="59">
        <f t="shared" si="144"/>
        <v>312.55704723516362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168.0615861744339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168.0615861744339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212.28480000000002</v>
      </c>
      <c r="BF165" s="13">
        <f t="shared" si="167"/>
        <v>52.434557099704193</v>
      </c>
      <c r="BG165" s="20">
        <f t="shared" si="168"/>
        <v>461.05288028198476</v>
      </c>
      <c r="BH165" s="59">
        <f t="shared" si="116"/>
        <v>753.25588199301603</v>
      </c>
      <c r="BI165" s="59">
        <f ca="1">AVERAGE(OFFSET($BH$3,0,0,'Données projet'!$E$11+1,1))-AVERAGE(OFFSET($H$3,0,0,'Données projet'!$E$11+1,1))</f>
        <v>360.53625471540249</v>
      </c>
      <c r="BJ165" s="59">
        <f t="shared" si="146"/>
        <v>326.66299410556076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16.444101810094232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16.444101810094232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253.79640000000001</v>
      </c>
      <c r="CA165" s="13">
        <f t="shared" si="170"/>
        <v>61.39816832228076</v>
      </c>
      <c r="CB165" s="20">
        <f t="shared" si="171"/>
        <v>548.96387316130563</v>
      </c>
      <c r="CC165" s="59">
        <f t="shared" si="119"/>
        <v>841.16687487233685</v>
      </c>
      <c r="CD165" s="59">
        <f ca="1">AVERAGE(OFFSET($CC$3,0,0,'Données projet'!$E$12+1,1))-AVERAGE(OFFSET($H$3,0,0,'Données projet'!$E$12+1,1))</f>
        <v>358.39045200457502</v>
      </c>
      <c r="CE165" s="59">
        <f t="shared" si="148"/>
        <v>349.48764057925109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10.480499691810227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10.480499691810227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210.25641025641013</v>
      </c>
      <c r="CU165" s="17">
        <f>CT165*VLOOKUP('Données projet'!$B$13,Paramètres!$A$1:$I$89,3,0)*VLOOKUP('Données projet'!$B$13,Paramètres!$A$1:$I$89,5,0)</f>
        <v>163.99999999999991</v>
      </c>
      <c r="CV165" s="13">
        <f t="shared" si="173"/>
        <v>41.743425908362248</v>
      </c>
      <c r="CW165" s="20">
        <f t="shared" si="174"/>
        <v>358.33646679039742</v>
      </c>
      <c r="CX165" s="59">
        <f t="shared" si="122"/>
        <v>650.5394685014287</v>
      </c>
      <c r="CY165" s="59">
        <f ca="1">AVERAGE(OFFSET($CX$3,0,0,'Données projet'!$E$13+1,1))-AVERAGE(OFFSET($H$3,0,0,'Données projet'!$E$13+1,1))</f>
        <v>201.71903756761543</v>
      </c>
      <c r="CZ165" s="59">
        <f t="shared" si="150"/>
        <v>200.66422845182711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5.1198302719997972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5.1198302719997972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18.829999999999643</v>
      </c>
      <c r="DP165" s="17">
        <f>DO165*VLOOKUP('Données projet'!$B$14,Paramètres!$A$1:$I$89,3,0)*VLOOKUP('Données projet'!$B$14,Paramètres!$A$1:$I$89,5,0)</f>
        <v>17.918627999999661</v>
      </c>
      <c r="DQ165" s="13">
        <f t="shared" si="176"/>
        <v>5.9016322671185755</v>
      </c>
      <c r="DR165" s="20">
        <f t="shared" si="177"/>
        <v>41.486953298564259</v>
      </c>
      <c r="DS165" s="59">
        <f t="shared" si="125"/>
        <v>333.68995500959556</v>
      </c>
      <c r="DT165" s="59">
        <f ca="1">AVERAGE(OFFSET($DS$3,0,0,'Données projet'!$E$14+1,1))-AVERAGE(OFFSET($H$3,0,0,'Données projet'!$E$14+1,1))</f>
        <v>502.4879901989737</v>
      </c>
      <c r="DU165" s="59">
        <f t="shared" si="152"/>
        <v>226.06453328626355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231.10772101799631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231.10772101799631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-3.2543994166189806E-14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192.76157155207764</v>
      </c>
      <c r="EP165" s="59">
        <f t="shared" si="154"/>
        <v>413.66427458788348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5.4497780471860917</v>
      </c>
      <c r="EW165" s="21">
        <f>EXP(-LN(2)/25)*EW164+(1-EXP(-LN(2)/25))/(LN(2)/25)*Calculateur!ER165*Calculateur!ET165*VLOOKUP('Données projet'!$B$15,Paramètres!$A$1:$I$89,3,0)*0.475*44/12</f>
        <v>0.48069028830738286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5.9304683354934742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69.691727739372169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1.05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3.85</v>
      </c>
      <c r="H166" s="66">
        <f t="shared" si="110"/>
        <v>241.26666666666665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18.829999999999643</v>
      </c>
      <c r="O166" s="13">
        <f>N166*VLOOKUP('Données projet'!$B$9,Paramètres!$A$1:$I$89,3,0)*VLOOKUP('Données projet'!$B$9,Paramètres!$A$1:$I$89,5,0)</f>
        <v>17.037383999999676</v>
      </c>
      <c r="P166" s="13">
        <f t="shared" si="141"/>
        <v>5.644424624466958</v>
      </c>
      <c r="Q166" s="20">
        <f t="shared" si="162"/>
        <v>39.504150020946049</v>
      </c>
      <c r="R166" s="59">
        <f t="shared" si="109"/>
        <v>331.7267604585814</v>
      </c>
      <c r="S166" s="59">
        <f ca="1">AVERAGE(OFFSET($R$3,0,0,'Données projet'!$E$9+1,1))-AVERAGE(OFFSET($H$3,0,0,'Données projet'!$E$9+1,1))</f>
        <v>480.34707165277229</v>
      </c>
      <c r="T166" s="59">
        <f t="shared" si="142"/>
        <v>217.17128038304531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215.43276549338051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215.43276549338051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20.08734000000041</v>
      </c>
      <c r="AK166" s="13">
        <f t="shared" si="164"/>
        <v>6.5285137703520215</v>
      </c>
      <c r="AL166" s="20">
        <f t="shared" si="165"/>
        <v>46.355945316697152</v>
      </c>
      <c r="AM166" s="59">
        <f t="shared" si="113"/>
        <v>338.57855575433251</v>
      </c>
      <c r="AN166" s="59">
        <f ca="1">AVERAGE(OFFSET($AM$3,0,0,'Données projet'!$E$10+1,1))-AVERAGE(OFFSET($H$3,0,0,'Données projet'!$E$10+1,1))</f>
        <v>596.64394969449609</v>
      </c>
      <c r="AO166" s="59">
        <f t="shared" si="144"/>
        <v>312.55704723516362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164.76600097699904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164.76600097699904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212.28480000000002</v>
      </c>
      <c r="BF166" s="13">
        <f t="shared" si="167"/>
        <v>52.434557099704193</v>
      </c>
      <c r="BG166" s="20">
        <f t="shared" si="168"/>
        <v>461.05288028198476</v>
      </c>
      <c r="BH166" s="59">
        <f t="shared" si="116"/>
        <v>753.27549071962017</v>
      </c>
      <c r="BI166" s="59">
        <f ca="1">AVERAGE(OFFSET($BH$3,0,0,'Données projet'!$E$11+1,1))-AVERAGE(OFFSET($H$3,0,0,'Données projet'!$E$11+1,1))</f>
        <v>360.53625471540249</v>
      </c>
      <c r="BJ166" s="59">
        <f t="shared" si="146"/>
        <v>326.66299410556076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16.121643003510016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16.121643003510016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253.79640000000001</v>
      </c>
      <c r="CA166" s="13">
        <f t="shared" si="170"/>
        <v>61.39816832228076</v>
      </c>
      <c r="CB166" s="20">
        <f t="shared" si="171"/>
        <v>548.96387316130563</v>
      </c>
      <c r="CC166" s="59">
        <f t="shared" si="119"/>
        <v>841.18648359894098</v>
      </c>
      <c r="CD166" s="59">
        <f ca="1">AVERAGE(OFFSET($CC$3,0,0,'Données projet'!$E$12+1,1))-AVERAGE(OFFSET($H$3,0,0,'Données projet'!$E$12+1,1))</f>
        <v>358.39045200457502</v>
      </c>
      <c r="CE166" s="59">
        <f t="shared" si="148"/>
        <v>349.48764057925109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10.274983485327436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10.274983485327436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210.25641025641013</v>
      </c>
      <c r="CU166" s="17">
        <f>CT166*VLOOKUP('Données projet'!$B$13,Paramètres!$A$1:$I$89,3,0)*VLOOKUP('Données projet'!$B$13,Paramètres!$A$1:$I$89,5,0)</f>
        <v>163.99999999999991</v>
      </c>
      <c r="CV166" s="13">
        <f t="shared" si="173"/>
        <v>41.743425908362248</v>
      </c>
      <c r="CW166" s="20">
        <f t="shared" si="174"/>
        <v>358.33646679039742</v>
      </c>
      <c r="CX166" s="59">
        <f t="shared" si="122"/>
        <v>650.55907722803272</v>
      </c>
      <c r="CY166" s="59">
        <f ca="1">AVERAGE(OFFSET($CX$3,0,0,'Données projet'!$E$13+1,1))-AVERAGE(OFFSET($H$3,0,0,'Données projet'!$E$13+1,1))</f>
        <v>201.71903756761543</v>
      </c>
      <c r="CZ166" s="59">
        <f t="shared" si="150"/>
        <v>200.66422845182711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5.0194335231539977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5.0194335231539977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18.829999999999643</v>
      </c>
      <c r="DP166" s="17">
        <f>DO166*VLOOKUP('Données projet'!$B$14,Paramètres!$A$1:$I$89,3,0)*VLOOKUP('Données projet'!$B$14,Paramètres!$A$1:$I$89,5,0)</f>
        <v>17.918627999999661</v>
      </c>
      <c r="DQ166" s="13">
        <f t="shared" si="176"/>
        <v>5.9016322671185755</v>
      </c>
      <c r="DR166" s="20">
        <f t="shared" si="177"/>
        <v>41.486953298564259</v>
      </c>
      <c r="DS166" s="59">
        <f t="shared" si="125"/>
        <v>333.70956373619958</v>
      </c>
      <c r="DT166" s="59">
        <f ca="1">AVERAGE(OFFSET($DS$3,0,0,'Données projet'!$E$14+1,1))-AVERAGE(OFFSET($H$3,0,0,'Données projet'!$E$14+1,1))</f>
        <v>502.4879901989737</v>
      </c>
      <c r="DU166" s="59">
        <f t="shared" si="152"/>
        <v>226.06453328626355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226.5758395706244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226.5758395706244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-3.2543994166189806E-14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192.76157155207764</v>
      </c>
      <c r="EP166" s="59">
        <f t="shared" si="154"/>
        <v>413.66427458788348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5.3429112237171603</v>
      </c>
      <c r="EW166" s="21">
        <f>EXP(-LN(2)/25)*EW165+(1-EXP(-LN(2)/25))/(LN(2)/25)*Calculateur!ER166*Calculateur!ET166*VLOOKUP('Données projet'!$B$15,Paramètres!$A$1:$I$89,3,0)*0.475*44/12</f>
        <v>0.46754578709521383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5.8104570108123745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69.697075573900548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1.05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3.85</v>
      </c>
      <c r="H167" s="66">
        <f t="shared" si="110"/>
        <v>241.26666666666665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18.829999999999643</v>
      </c>
      <c r="O167" s="13">
        <f>N167*VLOOKUP('Données projet'!$B$9,Paramètres!$A$1:$I$89,3,0)*VLOOKUP('Données projet'!$B$9,Paramètres!$A$1:$I$89,5,0)</f>
        <v>17.037383999999676</v>
      </c>
      <c r="P167" s="13">
        <f t="shared" si="141"/>
        <v>5.644424624466958</v>
      </c>
      <c r="Q167" s="20">
        <f t="shared" si="162"/>
        <v>39.504150020946049</v>
      </c>
      <c r="R167" s="59">
        <f t="shared" si="109"/>
        <v>331.74602901761733</v>
      </c>
      <c r="S167" s="59">
        <f ca="1">AVERAGE(OFFSET($R$3,0,0,'Données projet'!$E$9+1,1))-AVERAGE(OFFSET($H$3,0,0,'Données projet'!$E$9+1,1))</f>
        <v>480.34707165277229</v>
      </c>
      <c r="T167" s="59">
        <f t="shared" si="142"/>
        <v>217.17128038304531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211.2082603630675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211.2082603630675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20.08734000000041</v>
      </c>
      <c r="AK167" s="13">
        <f t="shared" si="164"/>
        <v>6.5285137703520215</v>
      </c>
      <c r="AL167" s="20">
        <f t="shared" si="165"/>
        <v>46.355945316697152</v>
      </c>
      <c r="AM167" s="59">
        <f t="shared" si="113"/>
        <v>338.59782431336845</v>
      </c>
      <c r="AN167" s="59">
        <f ca="1">AVERAGE(OFFSET($AM$3,0,0,'Données projet'!$E$10+1,1))-AVERAGE(OFFSET($H$3,0,0,'Données projet'!$E$10+1,1))</f>
        <v>596.64394969449609</v>
      </c>
      <c r="AO167" s="59">
        <f t="shared" si="144"/>
        <v>312.55704723516362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161.5350401951774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161.5350401951774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212.28480000000002</v>
      </c>
      <c r="BF167" s="13">
        <f t="shared" si="167"/>
        <v>52.434557099704193</v>
      </c>
      <c r="BG167" s="20">
        <f t="shared" si="168"/>
        <v>461.05288028198476</v>
      </c>
      <c r="BH167" s="59">
        <f t="shared" si="116"/>
        <v>753.2947592786561</v>
      </c>
      <c r="BI167" s="59">
        <f ca="1">AVERAGE(OFFSET($BH$3,0,0,'Données projet'!$E$11+1,1))-AVERAGE(OFFSET($H$3,0,0,'Données projet'!$E$11+1,1))</f>
        <v>360.53625471540249</v>
      </c>
      <c r="BJ167" s="59">
        <f t="shared" si="146"/>
        <v>326.66299410556076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15.805507417442465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15.805507417442465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253.79640000000001</v>
      </c>
      <c r="CA167" s="13">
        <f t="shared" si="170"/>
        <v>61.39816832228076</v>
      </c>
      <c r="CB167" s="20">
        <f t="shared" si="171"/>
        <v>548.96387316130563</v>
      </c>
      <c r="CC167" s="59">
        <f t="shared" si="119"/>
        <v>841.20575215797692</v>
      </c>
      <c r="CD167" s="59">
        <f ca="1">AVERAGE(OFFSET($CC$3,0,0,'Données projet'!$E$12+1,1))-AVERAGE(OFFSET($H$3,0,0,'Données projet'!$E$12+1,1))</f>
        <v>358.39045200457502</v>
      </c>
      <c r="CE167" s="59">
        <f t="shared" si="148"/>
        <v>349.48764057925109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10.073497326301265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10.073497326301265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210.25641025641013</v>
      </c>
      <c r="CU167" s="17">
        <f>CT167*VLOOKUP('Données projet'!$B$13,Paramètres!$A$1:$I$89,3,0)*VLOOKUP('Données projet'!$B$13,Paramètres!$A$1:$I$89,5,0)</f>
        <v>163.99999999999991</v>
      </c>
      <c r="CV167" s="13">
        <f t="shared" si="173"/>
        <v>41.743425908362248</v>
      </c>
      <c r="CW167" s="20">
        <f t="shared" si="174"/>
        <v>358.33646679039742</v>
      </c>
      <c r="CX167" s="59">
        <f t="shared" si="122"/>
        <v>650.57834578706866</v>
      </c>
      <c r="CY167" s="59">
        <f ca="1">AVERAGE(OFFSET($CX$3,0,0,'Données projet'!$E$13+1,1))-AVERAGE(OFFSET($H$3,0,0,'Données projet'!$E$13+1,1))</f>
        <v>201.71903756761543</v>
      </c>
      <c r="CZ167" s="59">
        <f t="shared" si="150"/>
        <v>200.66422845182711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4.9210054933170939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4.9210054933170939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18.829999999999643</v>
      </c>
      <c r="DP167" s="17">
        <f>DO167*VLOOKUP('Données projet'!$B$14,Paramètres!$A$1:$I$89,3,0)*VLOOKUP('Données projet'!$B$14,Paramètres!$A$1:$I$89,5,0)</f>
        <v>17.918627999999661</v>
      </c>
      <c r="DQ167" s="13">
        <f t="shared" si="176"/>
        <v>5.9016322671185755</v>
      </c>
      <c r="DR167" s="20">
        <f t="shared" si="177"/>
        <v>41.486953298564259</v>
      </c>
      <c r="DS167" s="59">
        <f t="shared" si="125"/>
        <v>333.72883229523552</v>
      </c>
      <c r="DT167" s="59">
        <f ca="1">AVERAGE(OFFSET($DS$3,0,0,'Données projet'!$E$14+1,1))-AVERAGE(OFFSET($H$3,0,0,'Données projet'!$E$14+1,1))</f>
        <v>502.4879901989737</v>
      </c>
      <c r="DU167" s="59">
        <f t="shared" si="152"/>
        <v>226.06453328626355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222.13282555426071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222.13282555426071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-3.2543994166189806E-14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192.76157155207764</v>
      </c>
      <c r="EP167" s="59">
        <f t="shared" si="154"/>
        <v>413.66427458788348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5.2381399934741282</v>
      </c>
      <c r="EW167" s="21">
        <f>EXP(-LN(2)/25)*EW166+(1-EXP(-LN(2)/25))/(LN(2)/25)*Calculateur!ER167*Calculateur!ET167*VLOOKUP('Données projet'!$B$15,Paramètres!$A$1:$I$89,3,0)*0.475*44/12</f>
        <v>0.45476072295993086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5.6929007164340586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69.702330635455809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1.05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3.85</v>
      </c>
      <c r="H168" s="66">
        <f t="shared" si="110"/>
        <v>241.26666666666665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18.829999999999643</v>
      </c>
      <c r="O168" s="13">
        <f>N168*VLOOKUP('Données projet'!$B$9,Paramètres!$A$1:$I$89,3,0)*VLOOKUP('Données projet'!$B$9,Paramètres!$A$1:$I$89,5,0)</f>
        <v>17.037383999999676</v>
      </c>
      <c r="P168" s="13">
        <f t="shared" si="141"/>
        <v>5.644424624466958</v>
      </c>
      <c r="Q168" s="20">
        <f t="shared" si="162"/>
        <v>39.504150020946049</v>
      </c>
      <c r="R168" s="59">
        <f t="shared" si="109"/>
        <v>331.76496331023208</v>
      </c>
      <c r="S168" s="59">
        <f ca="1">AVERAGE(OFFSET($R$3,0,0,'Données projet'!$E$9+1,1))-AVERAGE(OFFSET($H$3,0,0,'Données projet'!$E$9+1,1))</f>
        <v>480.34707165277229</v>
      </c>
      <c r="T168" s="59">
        <f t="shared" si="142"/>
        <v>217.17128038304531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207.06659520166622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207.06659520166622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20.08734000000041</v>
      </c>
      <c r="AK168" s="13">
        <f t="shared" si="164"/>
        <v>6.5285137703520215</v>
      </c>
      <c r="AL168" s="20">
        <f t="shared" si="165"/>
        <v>46.355945316697152</v>
      </c>
      <c r="AM168" s="59">
        <f t="shared" si="113"/>
        <v>338.61675860598319</v>
      </c>
      <c r="AN168" s="59">
        <f ca="1">AVERAGE(OFFSET($AM$3,0,0,'Données projet'!$E$10+1,1))-AVERAGE(OFFSET($H$3,0,0,'Données projet'!$E$10+1,1))</f>
        <v>596.64394969449609</v>
      </c>
      <c r="AO168" s="59">
        <f t="shared" si="144"/>
        <v>312.55704723516362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158.3674365835958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158.3674365835958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212.28480000000002</v>
      </c>
      <c r="BF168" s="13">
        <f t="shared" si="167"/>
        <v>52.434557099704193</v>
      </c>
      <c r="BG168" s="20">
        <f t="shared" si="168"/>
        <v>461.05288028198476</v>
      </c>
      <c r="BH168" s="59">
        <f t="shared" si="116"/>
        <v>753.31369357127073</v>
      </c>
      <c r="BI168" s="59">
        <f ca="1">AVERAGE(OFFSET($BH$3,0,0,'Données projet'!$E$11+1,1))-AVERAGE(OFFSET($H$3,0,0,'Données projet'!$E$11+1,1))</f>
        <v>360.53625471540249</v>
      </c>
      <c r="BJ168" s="59">
        <f t="shared" si="146"/>
        <v>326.66299410556076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15.495571057394031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15.495571057394031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253.79640000000001</v>
      </c>
      <c r="CA168" s="13">
        <f t="shared" si="170"/>
        <v>61.39816832228076</v>
      </c>
      <c r="CB168" s="20">
        <f t="shared" si="171"/>
        <v>548.96387316130563</v>
      </c>
      <c r="CC168" s="59">
        <f t="shared" si="119"/>
        <v>841.22468645059166</v>
      </c>
      <c r="CD168" s="59">
        <f ca="1">AVERAGE(OFFSET($CC$3,0,0,'Données projet'!$E$12+1,1))-AVERAGE(OFFSET($H$3,0,0,'Données projet'!$E$12+1,1))</f>
        <v>358.39045200457502</v>
      </c>
      <c r="CE168" s="59">
        <f t="shared" si="148"/>
        <v>349.48764057925109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9.8759621879591748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9.8759621879591748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210.25641025641013</v>
      </c>
      <c r="CU168" s="17">
        <f>CT168*VLOOKUP('Données projet'!$B$13,Paramètres!$A$1:$I$89,3,0)*VLOOKUP('Données projet'!$B$13,Paramètres!$A$1:$I$89,5,0)</f>
        <v>163.99999999999991</v>
      </c>
      <c r="CV168" s="13">
        <f t="shared" si="173"/>
        <v>41.743425908362248</v>
      </c>
      <c r="CW168" s="20">
        <f t="shared" si="174"/>
        <v>358.33646679039742</v>
      </c>
      <c r="CX168" s="59">
        <f t="shared" si="122"/>
        <v>650.59728007968351</v>
      </c>
      <c r="CY168" s="59">
        <f ca="1">AVERAGE(OFFSET($CX$3,0,0,'Données projet'!$E$13+1,1))-AVERAGE(OFFSET($H$3,0,0,'Données projet'!$E$13+1,1))</f>
        <v>201.71903756761543</v>
      </c>
      <c r="CZ168" s="59">
        <f t="shared" si="150"/>
        <v>200.66422845182711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4.8245075771101211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4.8245075771101211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18.829999999999643</v>
      </c>
      <c r="DP168" s="17">
        <f>DO168*VLOOKUP('Données projet'!$B$14,Paramètres!$A$1:$I$89,3,0)*VLOOKUP('Données projet'!$B$14,Paramètres!$A$1:$I$89,5,0)</f>
        <v>17.918627999999661</v>
      </c>
      <c r="DQ168" s="13">
        <f t="shared" si="176"/>
        <v>5.9016322671185755</v>
      </c>
      <c r="DR168" s="20">
        <f t="shared" si="177"/>
        <v>41.486953298564259</v>
      </c>
      <c r="DS168" s="59">
        <f t="shared" si="125"/>
        <v>333.74776658785026</v>
      </c>
      <c r="DT168" s="59">
        <f ca="1">AVERAGE(OFFSET($DS$3,0,0,'Données projet'!$E$14+1,1))-AVERAGE(OFFSET($H$3,0,0,'Données projet'!$E$14+1,1))</f>
        <v>502.4879901989737</v>
      </c>
      <c r="DU168" s="59">
        <f t="shared" si="152"/>
        <v>226.06453328626355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217.77693633278696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217.77693633278696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-3.2543994166189806E-14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192.76157155207764</v>
      </c>
      <c r="EP168" s="59">
        <f t="shared" si="154"/>
        <v>413.66427458788348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5.1354232631520214</v>
      </c>
      <c r="EW168" s="21">
        <f>EXP(-LN(2)/25)*EW167+(1-EXP(-LN(2)/25))/(LN(2)/25)*Calculateur!ER168*Calculateur!ET168*VLOOKUP('Données projet'!$B$15,Paramètres!$A$1:$I$89,3,0)*0.475*44/12</f>
        <v>0.44232526707576453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5.5777485302277858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69.707494533441647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1.05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3.85</v>
      </c>
      <c r="H169" s="66">
        <f t="shared" si="110"/>
        <v>241.26666666666665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18.829999999999643</v>
      </c>
      <c r="O169" s="13">
        <f>N169*VLOOKUP('Données projet'!$B$9,Paramètres!$A$1:$I$89,3,0)*VLOOKUP('Données projet'!$B$9,Paramètres!$A$1:$I$89,5,0)</f>
        <v>17.037383999999676</v>
      </c>
      <c r="P169" s="13">
        <f t="shared" si="141"/>
        <v>5.644424624466958</v>
      </c>
      <c r="Q169" s="20">
        <f t="shared" si="162"/>
        <v>39.504150020946049</v>
      </c>
      <c r="R169" s="59">
        <f t="shared" si="109"/>
        <v>331.78356913520065</v>
      </c>
      <c r="S169" s="59">
        <f ca="1">AVERAGE(OFFSET($R$3,0,0,'Données projet'!$E$9+1,1))-AVERAGE(OFFSET($H$3,0,0,'Données projet'!$E$9+1,1))</f>
        <v>480.34707165277229</v>
      </c>
      <c r="T169" s="59">
        <f t="shared" si="142"/>
        <v>217.17128038304531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203.00614556791371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203.00614556791371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20.08734000000041</v>
      </c>
      <c r="AK169" s="13">
        <f t="shared" si="164"/>
        <v>6.5285137703520215</v>
      </c>
      <c r="AL169" s="20">
        <f t="shared" si="165"/>
        <v>46.355945316697152</v>
      </c>
      <c r="AM169" s="59">
        <f t="shared" si="113"/>
        <v>338.63536443095177</v>
      </c>
      <c r="AN169" s="59">
        <f ca="1">AVERAGE(OFFSET($AM$3,0,0,'Données projet'!$E$10+1,1))-AVERAGE(OFFSET($H$3,0,0,'Données projet'!$E$10+1,1))</f>
        <v>596.64394969449609</v>
      </c>
      <c r="AO169" s="59">
        <f t="shared" si="144"/>
        <v>312.55704723516362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155.26194774678987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155.26194774678987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212.28480000000002</v>
      </c>
      <c r="BF169" s="13">
        <f t="shared" si="167"/>
        <v>52.434557099704193</v>
      </c>
      <c r="BG169" s="20">
        <f t="shared" si="168"/>
        <v>461.05288028198476</v>
      </c>
      <c r="BH169" s="59">
        <f t="shared" si="116"/>
        <v>753.33229939623936</v>
      </c>
      <c r="BI169" s="59">
        <f ca="1">AVERAGE(OFFSET($BH$3,0,0,'Données projet'!$E$11+1,1))-AVERAGE(OFFSET($H$3,0,0,'Données projet'!$E$11+1,1))</f>
        <v>360.53625471540249</v>
      </c>
      <c r="BJ169" s="59">
        <f t="shared" si="146"/>
        <v>326.66299410556076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15.191712360323635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15.191712360323635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253.79640000000001</v>
      </c>
      <c r="CA169" s="13">
        <f t="shared" si="170"/>
        <v>61.39816832228076</v>
      </c>
      <c r="CB169" s="20">
        <f t="shared" si="171"/>
        <v>548.96387316130563</v>
      </c>
      <c r="CC169" s="59">
        <f t="shared" si="119"/>
        <v>841.24329227556018</v>
      </c>
      <c r="CD169" s="59">
        <f ca="1">AVERAGE(OFFSET($CC$3,0,0,'Données projet'!$E$12+1,1))-AVERAGE(OFFSET($H$3,0,0,'Données projet'!$E$12+1,1))</f>
        <v>358.39045200457502</v>
      </c>
      <c r="CE169" s="59">
        <f t="shared" si="148"/>
        <v>349.48764057925109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9.6823005931954356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9.6823005931954356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210.25641025641013</v>
      </c>
      <c r="CU169" s="17">
        <f>CT169*VLOOKUP('Données projet'!$B$13,Paramètres!$A$1:$I$89,3,0)*VLOOKUP('Données projet'!$B$13,Paramètres!$A$1:$I$89,5,0)</f>
        <v>163.99999999999991</v>
      </c>
      <c r="CV169" s="13">
        <f t="shared" si="173"/>
        <v>41.743425908362248</v>
      </c>
      <c r="CW169" s="20">
        <f t="shared" si="174"/>
        <v>358.33646679039742</v>
      </c>
      <c r="CX169" s="59">
        <f t="shared" si="122"/>
        <v>650.61588590465203</v>
      </c>
      <c r="CY169" s="59">
        <f ca="1">AVERAGE(OFFSET($CX$3,0,0,'Données projet'!$E$13+1,1))-AVERAGE(OFFSET($H$3,0,0,'Données projet'!$E$13+1,1))</f>
        <v>201.71903756761543</v>
      </c>
      <c r="CZ169" s="59">
        <f t="shared" si="150"/>
        <v>200.66422845182711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4.7299019261820501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4.7299019261820501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18.829999999999643</v>
      </c>
      <c r="DP169" s="17">
        <f>DO169*VLOOKUP('Données projet'!$B$14,Paramètres!$A$1:$I$89,3,0)*VLOOKUP('Données projet'!$B$14,Paramètres!$A$1:$I$89,5,0)</f>
        <v>17.918627999999661</v>
      </c>
      <c r="DQ169" s="13">
        <f t="shared" si="176"/>
        <v>5.9016322671185755</v>
      </c>
      <c r="DR169" s="20">
        <f t="shared" si="177"/>
        <v>41.486953298564259</v>
      </c>
      <c r="DS169" s="59">
        <f t="shared" si="125"/>
        <v>333.7663724128189</v>
      </c>
      <c r="DT169" s="59">
        <f ca="1">AVERAGE(OFFSET($DS$3,0,0,'Données projet'!$E$14+1,1))-AVERAGE(OFFSET($H$3,0,0,'Données projet'!$E$14+1,1))</f>
        <v>502.4879901989737</v>
      </c>
      <c r="DU169" s="59">
        <f t="shared" si="152"/>
        <v>226.06453328626355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213.50646344211623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213.50646344211623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-3.2543994166189806E-14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192.76157155207764</v>
      </c>
      <c r="EP169" s="59">
        <f t="shared" si="154"/>
        <v>413.66427458788348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5.0347207452605121</v>
      </c>
      <c r="EW169" s="21">
        <f>EXP(-LN(2)/25)*EW168+(1-EXP(-LN(2)/25))/(LN(2)/25)*Calculateur!ER169*Calculateur!ET169*VLOOKUP('Données projet'!$B$15,Paramètres!$A$1:$I$89,3,0)*0.475*44/12</f>
        <v>0.43022985938670288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5.4649506046472149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69.712568849342176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1.05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3.85</v>
      </c>
      <c r="H170" s="66">
        <f t="shared" si="110"/>
        <v>241.26666666666665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18.829999999999643</v>
      </c>
      <c r="O170" s="13">
        <f>N170*VLOOKUP('Données projet'!$B$9,Paramètres!$A$1:$I$89,3,0)*VLOOKUP('Données projet'!$B$9,Paramètres!$A$1:$I$89,5,0)</f>
        <v>17.037383999999676</v>
      </c>
      <c r="P170" s="13">
        <f t="shared" si="141"/>
        <v>5.644424624466958</v>
      </c>
      <c r="Q170" s="20">
        <f t="shared" si="162"/>
        <v>39.504150020946049</v>
      </c>
      <c r="R170" s="59">
        <f t="shared" si="109"/>
        <v>331.8018521907025</v>
      </c>
      <c r="S170" s="59">
        <f ca="1">AVERAGE(OFFSET($R$3,0,0,'Données projet'!$E$9+1,1))-AVERAGE(OFFSET($H$3,0,0,'Données projet'!$E$9+1,1))</f>
        <v>480.34707165277229</v>
      </c>
      <c r="T170" s="59">
        <f t="shared" si="142"/>
        <v>217.17128038304531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199.02531887484935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199.02531887484935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20.08734000000041</v>
      </c>
      <c r="AK170" s="13">
        <f t="shared" si="164"/>
        <v>6.5285137703520215</v>
      </c>
      <c r="AL170" s="20">
        <f t="shared" si="165"/>
        <v>46.355945316697152</v>
      </c>
      <c r="AM170" s="59">
        <f t="shared" si="113"/>
        <v>338.65364748645362</v>
      </c>
      <c r="AN170" s="59">
        <f ca="1">AVERAGE(OFFSET($AM$3,0,0,'Données projet'!$E$10+1,1))-AVERAGE(OFFSET($H$3,0,0,'Données projet'!$E$10+1,1))</f>
        <v>596.64394969449609</v>
      </c>
      <c r="AO170" s="59">
        <f t="shared" si="144"/>
        <v>312.55704723516362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152.21735565191256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152.21735565191256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212.28480000000002</v>
      </c>
      <c r="BF170" s="13">
        <f t="shared" si="167"/>
        <v>52.434557099704193</v>
      </c>
      <c r="BG170" s="20">
        <f t="shared" si="168"/>
        <v>461.05288028198476</v>
      </c>
      <c r="BH170" s="59">
        <f t="shared" si="116"/>
        <v>753.35058245174127</v>
      </c>
      <c r="BI170" s="59">
        <f ca="1">AVERAGE(OFFSET($BH$3,0,0,'Données projet'!$E$11+1,1))-AVERAGE(OFFSET($H$3,0,0,'Données projet'!$E$11+1,1))</f>
        <v>360.53625471540249</v>
      </c>
      <c r="BJ170" s="59">
        <f t="shared" si="146"/>
        <v>326.66299410556076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14.893812146967283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14.893812146967283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253.79640000000001</v>
      </c>
      <c r="CA170" s="13">
        <f t="shared" si="170"/>
        <v>61.39816832228076</v>
      </c>
      <c r="CB170" s="20">
        <f t="shared" si="171"/>
        <v>548.96387316130563</v>
      </c>
      <c r="CC170" s="59">
        <f t="shared" si="119"/>
        <v>841.26157533106209</v>
      </c>
      <c r="CD170" s="59">
        <f ca="1">AVERAGE(OFFSET($CC$3,0,0,'Données projet'!$E$12+1,1))-AVERAGE(OFFSET($H$3,0,0,'Données projet'!$E$12+1,1))</f>
        <v>358.39045200457502</v>
      </c>
      <c r="CE170" s="59">
        <f t="shared" si="148"/>
        <v>349.48764057925109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9.4924365841831033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9.4924365841831033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210.25641025641013</v>
      </c>
      <c r="CU170" s="17">
        <f>CT170*VLOOKUP('Données projet'!$B$13,Paramètres!$A$1:$I$89,3,0)*VLOOKUP('Données projet'!$B$13,Paramètres!$A$1:$I$89,5,0)</f>
        <v>163.99999999999991</v>
      </c>
      <c r="CV170" s="13">
        <f t="shared" si="173"/>
        <v>41.743425908362248</v>
      </c>
      <c r="CW170" s="20">
        <f t="shared" si="174"/>
        <v>358.33646679039742</v>
      </c>
      <c r="CX170" s="59">
        <f t="shared" si="122"/>
        <v>650.63416896015383</v>
      </c>
      <c r="CY170" s="59">
        <f ca="1">AVERAGE(OFFSET($CX$3,0,0,'Données projet'!$E$13+1,1))-AVERAGE(OFFSET($H$3,0,0,'Données projet'!$E$13+1,1))</f>
        <v>201.71903756761543</v>
      </c>
      <c r="CZ170" s="59">
        <f t="shared" si="150"/>
        <v>200.66422845182711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4.6371514343649292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4.6371514343649292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18.829999999999643</v>
      </c>
      <c r="DP170" s="17">
        <f>DO170*VLOOKUP('Données projet'!$B$14,Paramètres!$A$1:$I$89,3,0)*VLOOKUP('Données projet'!$B$14,Paramètres!$A$1:$I$89,5,0)</f>
        <v>17.918627999999661</v>
      </c>
      <c r="DQ170" s="13">
        <f t="shared" si="176"/>
        <v>5.9016322671185755</v>
      </c>
      <c r="DR170" s="20">
        <f t="shared" si="177"/>
        <v>41.486953298564259</v>
      </c>
      <c r="DS170" s="59">
        <f t="shared" si="125"/>
        <v>333.78465546832069</v>
      </c>
      <c r="DT170" s="59">
        <f ca="1">AVERAGE(OFFSET($DS$3,0,0,'Données projet'!$E$14+1,1))-AVERAGE(OFFSET($H$3,0,0,'Données projet'!$E$14+1,1))</f>
        <v>502.4879901989737</v>
      </c>
      <c r="DU170" s="59">
        <f t="shared" si="152"/>
        <v>226.06453328626355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209.31973192010028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209.31973192010028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-3.2543994166189806E-14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192.76157155207764</v>
      </c>
      <c r="EP170" s="59">
        <f t="shared" si="154"/>
        <v>413.66427458788348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4.9359929423223843</v>
      </c>
      <c r="EW170" s="21">
        <f>EXP(-LN(2)/25)*EW169+(1-EXP(-LN(2)/25))/(LN(2)/25)*Calculateur!ER170*Calculateur!ET170*VLOOKUP('Données projet'!$B$15,Paramètres!$A$1:$I$89,3,0)*0.475*44/12</f>
        <v>0.41846520125696851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5.354458143579353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69.717555137206304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1.05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3.85</v>
      </c>
      <c r="H171" s="66">
        <f t="shared" si="110"/>
        <v>241.26666666666665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18.829999999999643</v>
      </c>
      <c r="O171" s="13">
        <f>N171*VLOOKUP('Données projet'!$B$9,Paramètres!$A$1:$I$89,3,0)*VLOOKUP('Données projet'!$B$9,Paramètres!$A$1:$I$89,5,0)</f>
        <v>17.037383999999676</v>
      </c>
      <c r="P171" s="13">
        <f t="shared" si="141"/>
        <v>5.644424624466958</v>
      </c>
      <c r="Q171" s="20">
        <f t="shared" si="162"/>
        <v>39.504150020946049</v>
      </c>
      <c r="R171" s="59">
        <f t="shared" si="109"/>
        <v>331.81981807606616</v>
      </c>
      <c r="S171" s="59">
        <f ca="1">AVERAGE(OFFSET($R$3,0,0,'Données projet'!$E$9+1,1))-AVERAGE(OFFSET($H$3,0,0,'Données projet'!$E$9+1,1))</f>
        <v>480.34707165277229</v>
      </c>
      <c r="T171" s="59">
        <f t="shared" si="142"/>
        <v>217.17128038304531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195.12255376517146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195.12255376517146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20.08734000000041</v>
      </c>
      <c r="AK171" s="13">
        <f t="shared" si="164"/>
        <v>6.5285137703520215</v>
      </c>
      <c r="AL171" s="20">
        <f t="shared" si="165"/>
        <v>46.355945316697152</v>
      </c>
      <c r="AM171" s="59">
        <f t="shared" si="113"/>
        <v>338.67161337181727</v>
      </c>
      <c r="AN171" s="59">
        <f ca="1">AVERAGE(OFFSET($AM$3,0,0,'Données projet'!$E$10+1,1))-AVERAGE(OFFSET($H$3,0,0,'Données projet'!$E$10+1,1))</f>
        <v>596.64394969449609</v>
      </c>
      <c r="AO171" s="59">
        <f t="shared" si="144"/>
        <v>312.55704723516362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149.23246615099796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149.23246615099796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212.28480000000002</v>
      </c>
      <c r="BF171" s="13">
        <f t="shared" si="167"/>
        <v>52.434557099704193</v>
      </c>
      <c r="BG171" s="20">
        <f t="shared" si="168"/>
        <v>461.05288028198476</v>
      </c>
      <c r="BH171" s="59">
        <f t="shared" si="116"/>
        <v>753.36854833710481</v>
      </c>
      <c r="BI171" s="59">
        <f ca="1">AVERAGE(OFFSET($BH$3,0,0,'Données projet'!$E$11+1,1))-AVERAGE(OFFSET($H$3,0,0,'Données projet'!$E$11+1,1))</f>
        <v>360.53625471540249</v>
      </c>
      <c r="BJ171" s="59">
        <f t="shared" si="146"/>
        <v>326.66299410556076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14.601753575093662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14.601753575093662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253.79640000000001</v>
      </c>
      <c r="CA171" s="13">
        <f t="shared" si="170"/>
        <v>61.39816832228076</v>
      </c>
      <c r="CB171" s="20">
        <f t="shared" si="171"/>
        <v>548.96387316130563</v>
      </c>
      <c r="CC171" s="59">
        <f t="shared" si="119"/>
        <v>841.27954121642574</v>
      </c>
      <c r="CD171" s="59">
        <f ca="1">AVERAGE(OFFSET($CC$3,0,0,'Données projet'!$E$12+1,1))-AVERAGE(OFFSET($H$3,0,0,'Données projet'!$E$12+1,1))</f>
        <v>358.39045200457502</v>
      </c>
      <c r="CE171" s="59">
        <f t="shared" si="148"/>
        <v>349.48764057925109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9.3062956925818927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9.3062956925818927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210.25641025641013</v>
      </c>
      <c r="CU171" s="17">
        <f>CT171*VLOOKUP('Données projet'!$B$13,Paramètres!$A$1:$I$89,3,0)*VLOOKUP('Données projet'!$B$13,Paramètres!$A$1:$I$89,5,0)</f>
        <v>163.99999999999991</v>
      </c>
      <c r="CV171" s="13">
        <f t="shared" si="173"/>
        <v>41.743425908362248</v>
      </c>
      <c r="CW171" s="20">
        <f t="shared" si="174"/>
        <v>358.33646679039742</v>
      </c>
      <c r="CX171" s="59">
        <f t="shared" si="122"/>
        <v>650.65213484551759</v>
      </c>
      <c r="CY171" s="59">
        <f ca="1">AVERAGE(OFFSET($CX$3,0,0,'Données projet'!$E$13+1,1))-AVERAGE(OFFSET($H$3,0,0,'Données projet'!$E$13+1,1))</f>
        <v>201.71903756761543</v>
      </c>
      <c r="CZ171" s="59">
        <f t="shared" si="150"/>
        <v>200.66422845182711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4.546219723120128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4.546219723120128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18.829999999999643</v>
      </c>
      <c r="DP171" s="17">
        <f>DO171*VLOOKUP('Données projet'!$B$14,Paramètres!$A$1:$I$89,3,0)*VLOOKUP('Données projet'!$B$14,Paramètres!$A$1:$I$89,5,0)</f>
        <v>17.918627999999661</v>
      </c>
      <c r="DQ171" s="13">
        <f t="shared" si="176"/>
        <v>5.9016322671185755</v>
      </c>
      <c r="DR171" s="20">
        <f t="shared" si="177"/>
        <v>41.486953298564259</v>
      </c>
      <c r="DS171" s="59">
        <f t="shared" si="125"/>
        <v>333.80262135368434</v>
      </c>
      <c r="DT171" s="59">
        <f ca="1">AVERAGE(OFFSET($DS$3,0,0,'Données projet'!$E$14+1,1))-AVERAGE(OFFSET($H$3,0,0,'Données projet'!$E$14+1,1))</f>
        <v>502.4879901989737</v>
      </c>
      <c r="DU171" s="59">
        <f t="shared" si="152"/>
        <v>226.06453328626355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205.21509964957698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205.21509964957698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-3.2543994166189806E-14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192.76157155207764</v>
      </c>
      <c r="EP171" s="59">
        <f t="shared" si="154"/>
        <v>413.66427458788348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4.8392011313818593</v>
      </c>
      <c r="EW171" s="21">
        <f>EXP(-LN(2)/25)*EW170+(1-EXP(-LN(2)/25))/(LN(2)/25)*Calculateur!ER171*Calculateur!ET171*VLOOKUP('Données projet'!$B$15,Paramètres!$A$1:$I$89,3,0)*0.475*44/12</f>
        <v>0.40702224832246819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5.2462233797043272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69.722454924123667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1.05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3.85</v>
      </c>
      <c r="H172" s="66">
        <f t="shared" si="110"/>
        <v>241.26666666666665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18.829999999999643</v>
      </c>
      <c r="O172" s="13">
        <f>N172*VLOOKUP('Données projet'!$B$9,Paramètres!$A$1:$I$89,3,0)*VLOOKUP('Données projet'!$B$9,Paramètres!$A$1:$I$89,5,0)</f>
        <v>17.037383999999676</v>
      </c>
      <c r="P172" s="13">
        <f t="shared" si="141"/>
        <v>5.644424624466958</v>
      </c>
      <c r="Q172" s="20">
        <f t="shared" si="162"/>
        <v>39.504150020946049</v>
      </c>
      <c r="R172" s="59">
        <f t="shared" si="109"/>
        <v>331.83747229348444</v>
      </c>
      <c r="S172" s="59">
        <f ca="1">AVERAGE(OFFSET($R$3,0,0,'Données projet'!$E$9+1,1))-AVERAGE(OFFSET($H$3,0,0,'Données projet'!$E$9+1,1))</f>
        <v>480.34707165277229</v>
      </c>
      <c r="T172" s="59">
        <f t="shared" si="142"/>
        <v>217.17128038304531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191.29631949884268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191.29631949884268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20.08734000000041</v>
      </c>
      <c r="AK172" s="13">
        <f t="shared" si="164"/>
        <v>6.5285137703520215</v>
      </c>
      <c r="AL172" s="20">
        <f t="shared" si="165"/>
        <v>46.355945316697152</v>
      </c>
      <c r="AM172" s="59">
        <f t="shared" si="113"/>
        <v>338.68926758923556</v>
      </c>
      <c r="AN172" s="59">
        <f ca="1">AVERAGE(OFFSET($AM$3,0,0,'Données projet'!$E$10+1,1))-AVERAGE(OFFSET($H$3,0,0,'Données projet'!$E$10+1,1))</f>
        <v>596.64394969449609</v>
      </c>
      <c r="AO172" s="59">
        <f t="shared" si="144"/>
        <v>312.55704723516362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146.30610851259348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146.30610851259348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212.28480000000002</v>
      </c>
      <c r="BF172" s="13">
        <f t="shared" si="167"/>
        <v>52.434557099704193</v>
      </c>
      <c r="BG172" s="20">
        <f t="shared" si="168"/>
        <v>461.05288028198476</v>
      </c>
      <c r="BH172" s="59">
        <f t="shared" si="116"/>
        <v>753.38620255452315</v>
      </c>
      <c r="BI172" s="59">
        <f ca="1">AVERAGE(OFFSET($BH$3,0,0,'Données projet'!$E$11+1,1))-AVERAGE(OFFSET($H$3,0,0,'Données projet'!$E$11+1,1))</f>
        <v>360.53625471540249</v>
      </c>
      <c r="BJ172" s="59">
        <f t="shared" si="146"/>
        <v>326.66299410556076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14.315422093676343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14.315422093676343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253.79640000000001</v>
      </c>
      <c r="CA172" s="13">
        <f t="shared" si="170"/>
        <v>61.39816832228076</v>
      </c>
      <c r="CB172" s="20">
        <f t="shared" si="171"/>
        <v>548.96387316130563</v>
      </c>
      <c r="CC172" s="59">
        <f t="shared" si="119"/>
        <v>841.29719543384408</v>
      </c>
      <c r="CD172" s="59">
        <f ca="1">AVERAGE(OFFSET($CC$3,0,0,'Données projet'!$E$12+1,1))-AVERAGE(OFFSET($H$3,0,0,'Données projet'!$E$12+1,1))</f>
        <v>358.39045200457502</v>
      </c>
      <c r="CE172" s="59">
        <f t="shared" si="148"/>
        <v>349.48764057925109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9.1238049103302483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9.1238049103302483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210.25641025641013</v>
      </c>
      <c r="CU172" s="17">
        <f>CT172*VLOOKUP('Données projet'!$B$13,Paramètres!$A$1:$I$89,3,0)*VLOOKUP('Données projet'!$B$13,Paramètres!$A$1:$I$89,5,0)</f>
        <v>163.99999999999991</v>
      </c>
      <c r="CV172" s="13">
        <f t="shared" si="173"/>
        <v>41.743425908362248</v>
      </c>
      <c r="CW172" s="20">
        <f t="shared" si="174"/>
        <v>358.33646679039742</v>
      </c>
      <c r="CX172" s="59">
        <f t="shared" si="122"/>
        <v>650.66978906293582</v>
      </c>
      <c r="CY172" s="59">
        <f ca="1">AVERAGE(OFFSET($CX$3,0,0,'Données projet'!$E$13+1,1))-AVERAGE(OFFSET($H$3,0,0,'Données projet'!$E$13+1,1))</f>
        <v>201.71903756761543</v>
      </c>
      <c r="CZ172" s="59">
        <f t="shared" si="150"/>
        <v>200.66422845182711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4.4570711272699706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4.4570711272699706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18.829999999999643</v>
      </c>
      <c r="DP172" s="17">
        <f>DO172*VLOOKUP('Données projet'!$B$14,Paramètres!$A$1:$I$89,3,0)*VLOOKUP('Données projet'!$B$14,Paramètres!$A$1:$I$89,5,0)</f>
        <v>17.918627999999661</v>
      </c>
      <c r="DQ172" s="13">
        <f t="shared" si="176"/>
        <v>5.9016322671185755</v>
      </c>
      <c r="DR172" s="20">
        <f t="shared" si="177"/>
        <v>41.486953298564259</v>
      </c>
      <c r="DS172" s="59">
        <f t="shared" si="125"/>
        <v>333.82027557110268</v>
      </c>
      <c r="DT172" s="59">
        <f ca="1">AVERAGE(OFFSET($DS$3,0,0,'Données projet'!$E$14+1,1))-AVERAGE(OFFSET($H$3,0,0,'Données projet'!$E$14+1,1))</f>
        <v>502.4879901989737</v>
      </c>
      <c r="DU172" s="59">
        <f t="shared" si="152"/>
        <v>226.06453328626355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201.19095671430017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201.19095671430017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-3.2543994166189806E-14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192.76157155207764</v>
      </c>
      <c r="EP172" s="59">
        <f t="shared" si="154"/>
        <v>413.66427458788348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4.7443073488167027</v>
      </c>
      <c r="EW172" s="21">
        <f>EXP(-LN(2)/25)*EW171+(1-EXP(-LN(2)/25))/(LN(2)/25)*Calculateur!ER172*Calculateur!ET172*VLOOKUP('Données projet'!$B$15,Paramètres!$A$1:$I$89,3,0)*0.475*44/12</f>
        <v>0.39589220353772053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5.1401995523544235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69.727269710692283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1.05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3.85</v>
      </c>
      <c r="H173" s="66">
        <f t="shared" si="110"/>
        <v>241.26666666666665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18.829999999999643</v>
      </c>
      <c r="O173" s="13">
        <f>N173*VLOOKUP('Données projet'!$B$9,Paramètres!$A$1:$I$89,3,0)*VLOOKUP('Données projet'!$B$9,Paramètres!$A$1:$I$89,5,0)</f>
        <v>17.037383999999676</v>
      </c>
      <c r="P173" s="13">
        <f t="shared" si="141"/>
        <v>5.644424624466958</v>
      </c>
      <c r="Q173" s="20">
        <f t="shared" si="162"/>
        <v>39.504150020946049</v>
      </c>
      <c r="R173" s="59">
        <f t="shared" si="109"/>
        <v>331.8548202496994</v>
      </c>
      <c r="S173" s="59">
        <f ca="1">AVERAGE(OFFSET($R$3,0,0,'Données projet'!$E$9+1,1))-AVERAGE(OFFSET($H$3,0,0,'Données projet'!$E$9+1,1))</f>
        <v>480.34707165277229</v>
      </c>
      <c r="T173" s="59">
        <f t="shared" si="142"/>
        <v>217.17128038304531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187.54511535270416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187.54511535270416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20.08734000000041</v>
      </c>
      <c r="AK173" s="13">
        <f t="shared" si="164"/>
        <v>6.5285137703520215</v>
      </c>
      <c r="AL173" s="20">
        <f t="shared" si="165"/>
        <v>46.355945316697152</v>
      </c>
      <c r="AM173" s="59">
        <f t="shared" si="113"/>
        <v>338.70661554545052</v>
      </c>
      <c r="AN173" s="59">
        <f ca="1">AVERAGE(OFFSET($AM$3,0,0,'Données projet'!$E$10+1,1))-AVERAGE(OFFSET($H$3,0,0,'Données projet'!$E$10+1,1))</f>
        <v>596.64394969449609</v>
      </c>
      <c r="AO173" s="59">
        <f t="shared" si="144"/>
        <v>312.55704723516362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143.43713496257621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143.43713496257621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212.28480000000002</v>
      </c>
      <c r="BF173" s="13">
        <f t="shared" si="167"/>
        <v>52.434557099704193</v>
      </c>
      <c r="BG173" s="20">
        <f t="shared" si="168"/>
        <v>461.05288028198476</v>
      </c>
      <c r="BH173" s="59">
        <f t="shared" si="116"/>
        <v>753.40355051073811</v>
      </c>
      <c r="BI173" s="59">
        <f ca="1">AVERAGE(OFFSET($BH$3,0,0,'Données projet'!$E$11+1,1))-AVERAGE(OFFSET($H$3,0,0,'Données projet'!$E$11+1,1))</f>
        <v>360.53625471540249</v>
      </c>
      <c r="BJ173" s="59">
        <f t="shared" si="146"/>
        <v>326.66299410556076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14.034705397964659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14.034705397964659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253.79640000000001</v>
      </c>
      <c r="CA173" s="13">
        <f t="shared" si="170"/>
        <v>61.39816832228076</v>
      </c>
      <c r="CB173" s="20">
        <f t="shared" si="171"/>
        <v>548.96387316130563</v>
      </c>
      <c r="CC173" s="59">
        <f t="shared" si="119"/>
        <v>841.31454339005904</v>
      </c>
      <c r="CD173" s="59">
        <f ca="1">AVERAGE(OFFSET($CC$3,0,0,'Données projet'!$E$12+1,1))-AVERAGE(OFFSET($H$3,0,0,'Données projet'!$E$12+1,1))</f>
        <v>358.39045200457502</v>
      </c>
      <c r="CE173" s="59">
        <f t="shared" si="148"/>
        <v>349.48764057925109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8.9448926610101722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8.9448926610101722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210.25641025641013</v>
      </c>
      <c r="CU173" s="17">
        <f>CT173*VLOOKUP('Données projet'!$B$13,Paramètres!$A$1:$I$89,3,0)*VLOOKUP('Données projet'!$B$13,Paramètres!$A$1:$I$89,5,0)</f>
        <v>163.99999999999991</v>
      </c>
      <c r="CV173" s="13">
        <f t="shared" si="173"/>
        <v>41.743425908362248</v>
      </c>
      <c r="CW173" s="20">
        <f t="shared" si="174"/>
        <v>358.33646679039742</v>
      </c>
      <c r="CX173" s="59">
        <f t="shared" si="122"/>
        <v>650.68713701915078</v>
      </c>
      <c r="CY173" s="59">
        <f ca="1">AVERAGE(OFFSET($CX$3,0,0,'Données projet'!$E$13+1,1))-AVERAGE(OFFSET($H$3,0,0,'Données projet'!$E$13+1,1))</f>
        <v>201.71903756761543</v>
      </c>
      <c r="CZ173" s="59">
        <f t="shared" si="150"/>
        <v>200.66422845182711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4.3696706810091603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4.3696706810091603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18.829999999999643</v>
      </c>
      <c r="DP173" s="17">
        <f>DO173*VLOOKUP('Données projet'!$B$14,Paramètres!$A$1:$I$89,3,0)*VLOOKUP('Données projet'!$B$14,Paramètres!$A$1:$I$89,5,0)</f>
        <v>17.918627999999661</v>
      </c>
      <c r="DQ173" s="13">
        <f t="shared" si="176"/>
        <v>5.9016322671185755</v>
      </c>
      <c r="DR173" s="20">
        <f t="shared" si="177"/>
        <v>41.486953298564259</v>
      </c>
      <c r="DS173" s="59">
        <f t="shared" si="125"/>
        <v>333.83762352731765</v>
      </c>
      <c r="DT173" s="59">
        <f ca="1">AVERAGE(OFFSET($DS$3,0,0,'Données projet'!$E$14+1,1))-AVERAGE(OFFSET($H$3,0,0,'Données projet'!$E$14+1,1))</f>
        <v>502.4879901989737</v>
      </c>
      <c r="DU173" s="59">
        <f t="shared" si="152"/>
        <v>226.06453328626355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197.2457247674993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197.2457247674993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-3.2543994166189806E-14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192.76157155207764</v>
      </c>
      <c r="EP173" s="59">
        <f t="shared" si="154"/>
        <v>413.66427458788348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4.6512743754481569</v>
      </c>
      <c r="EW173" s="21">
        <f>EXP(-LN(2)/25)*EW172+(1-EXP(-LN(2)/25))/(LN(2)/25)*Calculateur!ER173*Calculateur!ET173*VLOOKUP('Données projet'!$B$15,Paramètres!$A$1:$I$89,3,0)*0.475*44/12</f>
        <v>0.3850665104129154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5.0363408858610725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69.732000971478186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1.05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3.85</v>
      </c>
      <c r="H174" s="66">
        <f t="shared" si="110"/>
        <v>241.26666666666665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18.829999999999643</v>
      </c>
      <c r="O174" s="13">
        <f>N174*VLOOKUP('Données projet'!$B$9,Paramètres!$A$1:$I$89,3,0)*VLOOKUP('Données projet'!$B$9,Paramètres!$A$1:$I$89,5,0)</f>
        <v>17.037383999999676</v>
      </c>
      <c r="P174" s="13">
        <f t="shared" si="141"/>
        <v>5.644424624466958</v>
      </c>
      <c r="Q174" s="20">
        <f t="shared" si="162"/>
        <v>39.504150020946049</v>
      </c>
      <c r="R174" s="59">
        <f t="shared" si="109"/>
        <v>331.87186725765827</v>
      </c>
      <c r="S174" s="59">
        <f ca="1">AVERAGE(OFFSET($R$3,0,0,'Données projet'!$E$9+1,1))-AVERAGE(OFFSET($H$3,0,0,'Données projet'!$E$9+1,1))</f>
        <v>480.34707165277229</v>
      </c>
      <c r="T174" s="59">
        <f t="shared" si="142"/>
        <v>217.17128038304531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183.86747003186281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183.86747003186281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20.08734000000041</v>
      </c>
      <c r="AK174" s="13">
        <f t="shared" si="164"/>
        <v>6.5285137703520215</v>
      </c>
      <c r="AL174" s="20">
        <f t="shared" si="165"/>
        <v>46.355945316697152</v>
      </c>
      <c r="AM174" s="59">
        <f t="shared" si="113"/>
        <v>338.72366255340938</v>
      </c>
      <c r="AN174" s="59">
        <f ca="1">AVERAGE(OFFSET($AM$3,0,0,'Données projet'!$E$10+1,1))-AVERAGE(OFFSET($H$3,0,0,'Données projet'!$E$10+1,1))</f>
        <v>596.64394969449609</v>
      </c>
      <c r="AO174" s="59">
        <f t="shared" si="144"/>
        <v>312.55704723516362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140.62442023397369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140.62442023397369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212.28480000000002</v>
      </c>
      <c r="BF174" s="13">
        <f t="shared" si="167"/>
        <v>52.434557099704193</v>
      </c>
      <c r="BG174" s="20">
        <f t="shared" si="168"/>
        <v>461.05288028198476</v>
      </c>
      <c r="BH174" s="59">
        <f t="shared" si="116"/>
        <v>753.42059751869692</v>
      </c>
      <c r="BI174" s="59">
        <f ca="1">AVERAGE(OFFSET($BH$3,0,0,'Données projet'!$E$11+1,1))-AVERAGE(OFFSET($H$3,0,0,'Données projet'!$E$11+1,1))</f>
        <v>360.53625471540249</v>
      </c>
      <c r="BJ174" s="59">
        <f t="shared" si="146"/>
        <v>326.66299410556076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13.759493385435603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13.759493385435603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253.79640000000001</v>
      </c>
      <c r="CA174" s="13">
        <f t="shared" si="170"/>
        <v>61.39816832228076</v>
      </c>
      <c r="CB174" s="20">
        <f t="shared" si="171"/>
        <v>548.96387316130563</v>
      </c>
      <c r="CC174" s="59">
        <f t="shared" si="119"/>
        <v>841.33159039801785</v>
      </c>
      <c r="CD174" s="59">
        <f ca="1">AVERAGE(OFFSET($CC$3,0,0,'Données projet'!$E$12+1,1))-AVERAGE(OFFSET($H$3,0,0,'Données projet'!$E$12+1,1))</f>
        <v>358.39045200457502</v>
      </c>
      <c r="CE174" s="59">
        <f t="shared" si="148"/>
        <v>349.48764057925109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8.7694887717735668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8.7694887717735668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210.25641025641013</v>
      </c>
      <c r="CU174" s="17">
        <f>CT174*VLOOKUP('Données projet'!$B$13,Paramètres!$A$1:$I$89,3,0)*VLOOKUP('Données projet'!$B$13,Paramètres!$A$1:$I$89,5,0)</f>
        <v>163.99999999999991</v>
      </c>
      <c r="CV174" s="13">
        <f t="shared" si="173"/>
        <v>41.743425908362248</v>
      </c>
      <c r="CW174" s="20">
        <f t="shared" si="174"/>
        <v>358.33646679039742</v>
      </c>
      <c r="CX174" s="59">
        <f t="shared" si="122"/>
        <v>650.7041840271097</v>
      </c>
      <c r="CY174" s="59">
        <f ca="1">AVERAGE(OFFSET($CX$3,0,0,'Données projet'!$E$13+1,1))-AVERAGE(OFFSET($H$3,0,0,'Données projet'!$E$13+1,1))</f>
        <v>201.71903756761543</v>
      </c>
      <c r="CZ174" s="59">
        <f t="shared" si="150"/>
        <v>200.66422845182711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4.283984104190516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4.283984104190516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18.829999999999643</v>
      </c>
      <c r="DP174" s="17">
        <f>DO174*VLOOKUP('Données projet'!$B$14,Paramètres!$A$1:$I$89,3,0)*VLOOKUP('Données projet'!$B$14,Paramètres!$A$1:$I$89,5,0)</f>
        <v>17.918627999999661</v>
      </c>
      <c r="DQ174" s="13">
        <f t="shared" si="176"/>
        <v>5.9016322671185755</v>
      </c>
      <c r="DR174" s="20">
        <f t="shared" si="177"/>
        <v>41.486953298564259</v>
      </c>
      <c r="DS174" s="59">
        <f t="shared" si="125"/>
        <v>333.85467053527645</v>
      </c>
      <c r="DT174" s="59">
        <f ca="1">AVERAGE(OFFSET($DS$3,0,0,'Données projet'!$E$14+1,1))-AVERAGE(OFFSET($H$3,0,0,'Données projet'!$E$14+1,1))</f>
        <v>502.4879901989737</v>
      </c>
      <c r="DU174" s="59">
        <f t="shared" si="152"/>
        <v>226.06453328626355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193.3778564128213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193.3778564128213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-3.2543994166189806E-14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192.76157155207764</v>
      </c>
      <c r="EP174" s="59">
        <f t="shared" si="154"/>
        <v>413.66427458788348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4.5600657219428573</v>
      </c>
      <c r="EW174" s="21">
        <f>EXP(-LN(2)/25)*EW173+(1-EXP(-LN(2)/25))/(LN(2)/25)*Calculateur!ER174*Calculateur!ET174*VLOOKUP('Données projet'!$B$15,Paramètres!$A$1:$I$89,3,0)*0.475*44/12</f>
        <v>0.37453684643590651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4.9346025683787635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69.736650155466975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1.05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3.85</v>
      </c>
      <c r="H175" s="66">
        <f t="shared" si="110"/>
        <v>241.26666666666665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18.829999999999643</v>
      </c>
      <c r="O175" s="13">
        <f>N175*VLOOKUP('Données projet'!$B$9,Paramètres!$A$1:$I$89,3,0)*VLOOKUP('Données projet'!$B$9,Paramètres!$A$1:$I$89,5,0)</f>
        <v>17.037383999999676</v>
      </c>
      <c r="P175" s="13">
        <f t="shared" si="141"/>
        <v>5.644424624466958</v>
      </c>
      <c r="Q175" s="20">
        <f t="shared" si="162"/>
        <v>39.504150020946049</v>
      </c>
      <c r="R175" s="59">
        <f t="shared" si="109"/>
        <v>331.88861853814046</v>
      </c>
      <c r="S175" s="59">
        <f ca="1">AVERAGE(OFFSET($R$3,0,0,'Données projet'!$E$9+1,1))-AVERAGE(OFFSET($H$3,0,0,'Données projet'!$E$9+1,1))</f>
        <v>480.34707165277229</v>
      </c>
      <c r="T175" s="59">
        <f t="shared" si="142"/>
        <v>217.17128038304531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180.26194109262099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180.26194109262099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20.08734000000041</v>
      </c>
      <c r="AK175" s="13">
        <f t="shared" si="164"/>
        <v>6.5285137703520215</v>
      </c>
      <c r="AL175" s="20">
        <f t="shared" si="165"/>
        <v>46.355945316697152</v>
      </c>
      <c r="AM175" s="59">
        <f t="shared" si="113"/>
        <v>338.74041383389158</v>
      </c>
      <c r="AN175" s="59">
        <f ca="1">AVERAGE(OFFSET($AM$3,0,0,'Données projet'!$E$10+1,1))-AVERAGE(OFFSET($H$3,0,0,'Données projet'!$E$10+1,1))</f>
        <v>596.64394969449609</v>
      </c>
      <c r="AO175" s="59">
        <f t="shared" si="144"/>
        <v>312.55704723516362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137.8668611256125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137.8668611256125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212.28480000000002</v>
      </c>
      <c r="BF175" s="13">
        <f t="shared" si="167"/>
        <v>52.434557099704193</v>
      </c>
      <c r="BG175" s="20">
        <f t="shared" si="168"/>
        <v>461.05288028198476</v>
      </c>
      <c r="BH175" s="59">
        <f t="shared" si="116"/>
        <v>753.43734879917918</v>
      </c>
      <c r="BI175" s="59">
        <f ca="1">AVERAGE(OFFSET($BH$3,0,0,'Données projet'!$E$11+1,1))-AVERAGE(OFFSET($H$3,0,0,'Données projet'!$E$11+1,1))</f>
        <v>360.53625471540249</v>
      </c>
      <c r="BJ175" s="59">
        <f t="shared" si="146"/>
        <v>326.66299410556076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13.489678112609489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13.489678112609489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253.79640000000001</v>
      </c>
      <c r="CA175" s="13">
        <f t="shared" si="170"/>
        <v>61.39816832228076</v>
      </c>
      <c r="CB175" s="20">
        <f t="shared" si="171"/>
        <v>548.96387316130563</v>
      </c>
      <c r="CC175" s="59">
        <f t="shared" si="119"/>
        <v>841.34834167849999</v>
      </c>
      <c r="CD175" s="59">
        <f ca="1">AVERAGE(OFFSET($CC$3,0,0,'Données projet'!$E$12+1,1))-AVERAGE(OFFSET($H$3,0,0,'Données projet'!$E$12+1,1))</f>
        <v>358.39045200457502</v>
      </c>
      <c r="CE175" s="59">
        <f t="shared" si="148"/>
        <v>349.48764057925109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8.5975244458190812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8.5975244458190812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210.25641025641013</v>
      </c>
      <c r="CU175" s="17">
        <f>CT175*VLOOKUP('Données projet'!$B$13,Paramètres!$A$1:$I$89,3,0)*VLOOKUP('Données projet'!$B$13,Paramètres!$A$1:$I$89,5,0)</f>
        <v>163.99999999999991</v>
      </c>
      <c r="CV175" s="13">
        <f t="shared" si="173"/>
        <v>41.743425908362248</v>
      </c>
      <c r="CW175" s="20">
        <f t="shared" si="174"/>
        <v>358.33646679039742</v>
      </c>
      <c r="CX175" s="59">
        <f t="shared" si="122"/>
        <v>650.72093530759184</v>
      </c>
      <c r="CY175" s="59">
        <f ca="1">AVERAGE(OFFSET($CX$3,0,0,'Données projet'!$E$13+1,1))-AVERAGE(OFFSET($H$3,0,0,'Données projet'!$E$13+1,1))</f>
        <v>201.71903756761543</v>
      </c>
      <c r="CZ175" s="59">
        <f t="shared" si="150"/>
        <v>200.66422845182711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4.1999777888796341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4.1999777888796341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18.829999999999643</v>
      </c>
      <c r="DP175" s="17">
        <f>DO175*VLOOKUP('Données projet'!$B$14,Paramètres!$A$1:$I$89,3,0)*VLOOKUP('Données projet'!$B$14,Paramètres!$A$1:$I$89,5,0)</f>
        <v>17.918627999999661</v>
      </c>
      <c r="DQ175" s="13">
        <f t="shared" si="176"/>
        <v>5.9016322671185755</v>
      </c>
      <c r="DR175" s="20">
        <f t="shared" si="177"/>
        <v>41.486953298564259</v>
      </c>
      <c r="DS175" s="59">
        <f t="shared" si="125"/>
        <v>333.87142181575871</v>
      </c>
      <c r="DT175" s="59">
        <f ca="1">AVERAGE(OFFSET($DS$3,0,0,'Données projet'!$E$14+1,1))-AVERAGE(OFFSET($H$3,0,0,'Données projet'!$E$14+1,1))</f>
        <v>502.4879901989737</v>
      </c>
      <c r="DU175" s="59">
        <f t="shared" si="152"/>
        <v>226.06453328626355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189.5858345974118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189.5858345974118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-3.2543994166189806E-14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192.76157155207764</v>
      </c>
      <c r="EP175" s="59">
        <f t="shared" si="154"/>
        <v>413.66427458788348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4.4706456145010112</v>
      </c>
      <c r="EW175" s="21">
        <f>EXP(-LN(2)/25)*EW174+(1-EXP(-LN(2)/25))/(LN(2)/25)*Calculateur!ER175*Calculateur!ET175*VLOOKUP('Données projet'!$B$15,Paramètres!$A$1:$I$89,3,0)*0.475*44/12</f>
        <v>0.36429511667407993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4.8349407311750907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69.74121868650758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1.05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3.85</v>
      </c>
      <c r="H176" s="66">
        <f t="shared" si="110"/>
        <v>241.26666666666665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18.829999999999643</v>
      </c>
      <c r="O176" s="13">
        <f>N176*VLOOKUP('Données projet'!$B$9,Paramètres!$A$1:$I$89,3,0)*VLOOKUP('Données projet'!$B$9,Paramètres!$A$1:$I$89,5,0)</f>
        <v>17.037383999999676</v>
      </c>
      <c r="P176" s="13">
        <f t="shared" si="141"/>
        <v>5.644424624466958</v>
      </c>
      <c r="Q176" s="20">
        <f t="shared" si="162"/>
        <v>39.504150020946049</v>
      </c>
      <c r="R176" s="59">
        <f t="shared" si="109"/>
        <v>331.90507922135657</v>
      </c>
      <c r="S176" s="59">
        <f ca="1">AVERAGE(OFFSET($R$3,0,0,'Données projet'!$E$9+1,1))-AVERAGE(OFFSET($H$3,0,0,'Données projet'!$E$9+1,1))</f>
        <v>480.34707165277229</v>
      </c>
      <c r="T176" s="59">
        <f t="shared" si="142"/>
        <v>217.17128038304531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176.7271143767222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176.7271143767222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20.08734000000041</v>
      </c>
      <c r="AK176" s="13">
        <f t="shared" si="164"/>
        <v>6.5285137703520215</v>
      </c>
      <c r="AL176" s="20">
        <f t="shared" si="165"/>
        <v>46.355945316697152</v>
      </c>
      <c r="AM176" s="59">
        <f t="shared" si="113"/>
        <v>338.75687451710769</v>
      </c>
      <c r="AN176" s="59">
        <f ca="1">AVERAGE(OFFSET($AM$3,0,0,'Données projet'!$E$10+1,1))-AVERAGE(OFFSET($H$3,0,0,'Données projet'!$E$10+1,1))</f>
        <v>596.64394969449609</v>
      </c>
      <c r="AO176" s="59">
        <f t="shared" si="144"/>
        <v>312.55704723516362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135.16337606942128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135.16337606942128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212.28480000000002</v>
      </c>
      <c r="BF176" s="13">
        <f t="shared" si="167"/>
        <v>52.434557099704193</v>
      </c>
      <c r="BG176" s="20">
        <f t="shared" si="168"/>
        <v>461.05288028198476</v>
      </c>
      <c r="BH176" s="59">
        <f t="shared" si="116"/>
        <v>753.45380948239529</v>
      </c>
      <c r="BI176" s="59">
        <f ca="1">AVERAGE(OFFSET($BH$3,0,0,'Données projet'!$E$11+1,1))-AVERAGE(OFFSET($H$3,0,0,'Données projet'!$E$11+1,1))</f>
        <v>360.53625471540249</v>
      </c>
      <c r="BJ176" s="59">
        <f t="shared" si="146"/>
        <v>326.66299410556076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13.22515375271243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13.22515375271243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253.79640000000001</v>
      </c>
      <c r="CA176" s="13">
        <f t="shared" si="170"/>
        <v>61.39816832228076</v>
      </c>
      <c r="CB176" s="20">
        <f t="shared" si="171"/>
        <v>548.96387316130563</v>
      </c>
      <c r="CC176" s="59">
        <f t="shared" si="119"/>
        <v>841.3648023617161</v>
      </c>
      <c r="CD176" s="59">
        <f ca="1">AVERAGE(OFFSET($CC$3,0,0,'Données projet'!$E$12+1,1))-AVERAGE(OFFSET($H$3,0,0,'Données projet'!$E$12+1,1))</f>
        <v>358.39045200457502</v>
      </c>
      <c r="CE176" s="59">
        <f t="shared" si="148"/>
        <v>349.48764057925109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8.4289322354086824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8.4289322354086824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210.25641025641013</v>
      </c>
      <c r="CU176" s="17">
        <f>CT176*VLOOKUP('Données projet'!$B$13,Paramètres!$A$1:$I$89,3,0)*VLOOKUP('Données projet'!$B$13,Paramètres!$A$1:$I$89,5,0)</f>
        <v>163.99999999999991</v>
      </c>
      <c r="CV176" s="13">
        <f t="shared" si="173"/>
        <v>41.743425908362248</v>
      </c>
      <c r="CW176" s="20">
        <f t="shared" si="174"/>
        <v>358.33646679039742</v>
      </c>
      <c r="CX176" s="59">
        <f t="shared" si="122"/>
        <v>650.73739599080795</v>
      </c>
      <c r="CY176" s="59">
        <f ca="1">AVERAGE(OFFSET($CX$3,0,0,'Données projet'!$E$13+1,1))-AVERAGE(OFFSET($H$3,0,0,'Données projet'!$E$13+1,1))</f>
        <v>201.71903756761543</v>
      </c>
      <c r="CZ176" s="59">
        <f t="shared" si="150"/>
        <v>200.66422845182711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4.1176187861732059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4.1176187861732059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18.829999999999643</v>
      </c>
      <c r="DP176" s="17">
        <f>DO176*VLOOKUP('Données projet'!$B$14,Paramètres!$A$1:$I$89,3,0)*VLOOKUP('Données projet'!$B$14,Paramètres!$A$1:$I$89,5,0)</f>
        <v>17.918627999999661</v>
      </c>
      <c r="DQ176" s="13">
        <f t="shared" si="176"/>
        <v>5.9016322671185755</v>
      </c>
      <c r="DR176" s="20">
        <f t="shared" si="177"/>
        <v>41.486953298564259</v>
      </c>
      <c r="DS176" s="59">
        <f t="shared" si="125"/>
        <v>333.88788249897482</v>
      </c>
      <c r="DT176" s="59">
        <f ca="1">AVERAGE(OFFSET($DS$3,0,0,'Données projet'!$E$14+1,1))-AVERAGE(OFFSET($H$3,0,0,'Données projet'!$E$14+1,1))</f>
        <v>502.4879901989737</v>
      </c>
      <c r="DU176" s="59">
        <f t="shared" si="152"/>
        <v>226.06453328626355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185.86817201689757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185.86817201689757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-3.2543994166189806E-14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192.76157155207764</v>
      </c>
      <c r="EP176" s="59">
        <f t="shared" si="154"/>
        <v>413.66427458788348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4.3829789808252198</v>
      </c>
      <c r="EW176" s="21">
        <f>EXP(-LN(2)/25)*EW175+(1-EXP(-LN(2)/25))/(LN(2)/25)*Calculateur!ER176*Calculateur!ET176*VLOOKUP('Données projet'!$B$15,Paramètres!$A$1:$I$89,3,0)*0.475*44/12</f>
        <v>0.35433344755117963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4.7373124283763994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69.74570796374833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1.05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3.85</v>
      </c>
      <c r="H177" s="66">
        <f t="shared" si="110"/>
        <v>241.26666666666665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18.829999999999643</v>
      </c>
      <c r="O177" s="13">
        <f>N177*VLOOKUP('Données projet'!$B$9,Paramètres!$A$1:$I$89,3,0)*VLOOKUP('Données projet'!$B$9,Paramètres!$A$1:$I$89,5,0)</f>
        <v>17.037383999999676</v>
      </c>
      <c r="P177" s="13">
        <f t="shared" si="141"/>
        <v>5.644424624466958</v>
      </c>
      <c r="Q177" s="20">
        <f t="shared" si="162"/>
        <v>39.504150020946049</v>
      </c>
      <c r="R177" s="59">
        <f t="shared" si="109"/>
        <v>331.92125434851948</v>
      </c>
      <c r="S177" s="59">
        <f ca="1">AVERAGE(OFFSET($R$3,0,0,'Données projet'!$E$9+1,1))-AVERAGE(OFFSET($H$3,0,0,'Données projet'!$E$9+1,1))</f>
        <v>480.34707165277229</v>
      </c>
      <c r="T177" s="59">
        <f t="shared" si="142"/>
        <v>217.17128038304531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173.26160345669078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173.26160345669078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20.08734000000041</v>
      </c>
      <c r="AK177" s="13">
        <f t="shared" si="164"/>
        <v>6.5285137703520215</v>
      </c>
      <c r="AL177" s="20">
        <f t="shared" si="165"/>
        <v>46.355945316697152</v>
      </c>
      <c r="AM177" s="59">
        <f t="shared" si="113"/>
        <v>338.7730496442706</v>
      </c>
      <c r="AN177" s="59">
        <f ca="1">AVERAGE(OFFSET($AM$3,0,0,'Données projet'!$E$10+1,1))-AVERAGE(OFFSET($H$3,0,0,'Données projet'!$E$10+1,1))</f>
        <v>596.64394969449609</v>
      </c>
      <c r="AO177" s="59">
        <f t="shared" si="144"/>
        <v>312.55704723516362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132.5129047062189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132.5129047062189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212.28480000000002</v>
      </c>
      <c r="BF177" s="13">
        <f t="shared" si="167"/>
        <v>52.434557099704193</v>
      </c>
      <c r="BG177" s="20">
        <f t="shared" si="168"/>
        <v>461.05288028198476</v>
      </c>
      <c r="BH177" s="59">
        <f t="shared" si="116"/>
        <v>753.4699846095582</v>
      </c>
      <c r="BI177" s="59">
        <f ca="1">AVERAGE(OFFSET($BH$3,0,0,'Données projet'!$E$11+1,1))-AVERAGE(OFFSET($H$3,0,0,'Données projet'!$E$11+1,1))</f>
        <v>360.53625471540249</v>
      </c>
      <c r="BJ177" s="59">
        <f t="shared" si="146"/>
        <v>326.66299410556076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12.965816554169022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12.965816554169022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253.79640000000001</v>
      </c>
      <c r="CA177" s="13">
        <f t="shared" si="170"/>
        <v>61.39816832228076</v>
      </c>
      <c r="CB177" s="20">
        <f t="shared" si="171"/>
        <v>548.96387316130563</v>
      </c>
      <c r="CC177" s="59">
        <f t="shared" si="119"/>
        <v>841.38097748887913</v>
      </c>
      <c r="CD177" s="59">
        <f ca="1">AVERAGE(OFFSET($CC$3,0,0,'Données projet'!$E$12+1,1))-AVERAGE(OFFSET($H$3,0,0,'Données projet'!$E$12+1,1))</f>
        <v>358.39045200457502</v>
      </c>
      <c r="CE177" s="59">
        <f t="shared" si="148"/>
        <v>349.48764057925109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8.263646015413336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8.263646015413336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210.25641025641013</v>
      </c>
      <c r="CU177" s="17">
        <f>CT177*VLOOKUP('Données projet'!$B$13,Paramètres!$A$1:$I$89,3,0)*VLOOKUP('Données projet'!$B$13,Paramètres!$A$1:$I$89,5,0)</f>
        <v>163.99999999999991</v>
      </c>
      <c r="CV177" s="13">
        <f t="shared" si="173"/>
        <v>41.743425908362248</v>
      </c>
      <c r="CW177" s="20">
        <f t="shared" si="174"/>
        <v>358.33646679039742</v>
      </c>
      <c r="CX177" s="59">
        <f t="shared" si="122"/>
        <v>650.75357111797086</v>
      </c>
      <c r="CY177" s="59">
        <f ca="1">AVERAGE(OFFSET($CX$3,0,0,'Données projet'!$E$13+1,1))-AVERAGE(OFFSET($H$3,0,0,'Données projet'!$E$13+1,1))</f>
        <v>201.71903756761543</v>
      </c>
      <c r="CZ177" s="59">
        <f t="shared" si="150"/>
        <v>200.66422845182711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4.0368747932758193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4.0368747932758193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18.829999999999643</v>
      </c>
      <c r="DP177" s="17">
        <f>DO177*VLOOKUP('Données projet'!$B$14,Paramètres!$A$1:$I$89,3,0)*VLOOKUP('Données projet'!$B$14,Paramètres!$A$1:$I$89,5,0)</f>
        <v>17.918627999999661</v>
      </c>
      <c r="DQ177" s="13">
        <f t="shared" si="176"/>
        <v>5.9016322671185755</v>
      </c>
      <c r="DR177" s="20">
        <f t="shared" si="177"/>
        <v>41.486953298564259</v>
      </c>
      <c r="DS177" s="59">
        <f t="shared" si="125"/>
        <v>333.90405762613773</v>
      </c>
      <c r="DT177" s="59">
        <f ca="1">AVERAGE(OFFSET($DS$3,0,0,'Données projet'!$E$14+1,1))-AVERAGE(OFFSET($H$3,0,0,'Données projet'!$E$14+1,1))</f>
        <v>502.4879901989737</v>
      </c>
      <c r="DU177" s="59">
        <f t="shared" si="152"/>
        <v>226.06453328626355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182.22341053203695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182.22341053203695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-3.2543994166189806E-14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192.76157155207764</v>
      </c>
      <c r="EP177" s="59">
        <f t="shared" si="154"/>
        <v>413.66427458788348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4.2970314363644437</v>
      </c>
      <c r="EW177" s="21">
        <f>EXP(-LN(2)/25)*EW176+(1-EXP(-LN(2)/25))/(LN(2)/25)*Calculateur!ER177*Calculateur!ET177*VLOOKUP('Données projet'!$B$15,Paramètres!$A$1:$I$89,3,0)*0.475*44/12</f>
        <v>0.34464418079430648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4.6416756171587501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69.750119362065476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1.05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3.85</v>
      </c>
      <c r="H178" s="66">
        <f t="shared" si="110"/>
        <v>241.26666666666665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18.829999999999643</v>
      </c>
      <c r="O178" s="13">
        <f>N178*VLOOKUP('Données projet'!$B$9,Paramètres!$A$1:$I$89,3,0)*VLOOKUP('Données projet'!$B$9,Paramètres!$A$1:$I$89,5,0)</f>
        <v>17.037383999999676</v>
      </c>
      <c r="P178" s="13">
        <f t="shared" si="141"/>
        <v>5.644424624466958</v>
      </c>
      <c r="Q178" s="20">
        <f t="shared" si="162"/>
        <v>39.504150020946049</v>
      </c>
      <c r="R178" s="59">
        <f t="shared" si="109"/>
        <v>331.9371488733882</v>
      </c>
      <c r="S178" s="59">
        <f ca="1">AVERAGE(OFFSET($R$3,0,0,'Données projet'!$E$9+1,1))-AVERAGE(OFFSET($H$3,0,0,'Données projet'!$E$9+1,1))</f>
        <v>480.34707165277229</v>
      </c>
      <c r="T178" s="59">
        <f t="shared" si="142"/>
        <v>217.17128038304531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169.86404909204822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169.86404909204822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20.08734000000041</v>
      </c>
      <c r="AK178" s="13">
        <f t="shared" si="164"/>
        <v>6.5285137703520215</v>
      </c>
      <c r="AL178" s="20">
        <f t="shared" si="165"/>
        <v>46.355945316697152</v>
      </c>
      <c r="AM178" s="59">
        <f t="shared" si="113"/>
        <v>338.78894416913931</v>
      </c>
      <c r="AN178" s="59">
        <f ca="1">AVERAGE(OFFSET($AM$3,0,0,'Données projet'!$E$10+1,1))-AVERAGE(OFFSET($H$3,0,0,'Données projet'!$E$10+1,1))</f>
        <v>596.64394969449609</v>
      </c>
      <c r="AO178" s="59">
        <f t="shared" si="144"/>
        <v>312.55704723516362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129.91440746982101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129.91440746982101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212.28480000000002</v>
      </c>
      <c r="BF178" s="13">
        <f t="shared" si="167"/>
        <v>52.434557099704193</v>
      </c>
      <c r="BG178" s="20">
        <f t="shared" si="168"/>
        <v>461.05288028198476</v>
      </c>
      <c r="BH178" s="59">
        <f t="shared" si="116"/>
        <v>753.48587913442691</v>
      </c>
      <c r="BI178" s="59">
        <f ca="1">AVERAGE(OFFSET($BH$3,0,0,'Données projet'!$E$11+1,1))-AVERAGE(OFFSET($H$3,0,0,'Données projet'!$E$11+1,1))</f>
        <v>360.53625471540249</v>
      </c>
      <c r="BJ178" s="59">
        <f t="shared" si="146"/>
        <v>326.66299410556076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12.711564799908979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12.711564799908979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253.79640000000001</v>
      </c>
      <c r="CA178" s="13">
        <f t="shared" si="170"/>
        <v>61.39816832228076</v>
      </c>
      <c r="CB178" s="20">
        <f t="shared" si="171"/>
        <v>548.96387316130563</v>
      </c>
      <c r="CC178" s="59">
        <f t="shared" si="119"/>
        <v>841.39687201374772</v>
      </c>
      <c r="CD178" s="59">
        <f ca="1">AVERAGE(OFFSET($CC$3,0,0,'Données projet'!$E$12+1,1))-AVERAGE(OFFSET($H$3,0,0,'Données projet'!$E$12+1,1))</f>
        <v>358.39045200457502</v>
      </c>
      <c r="CE178" s="59">
        <f t="shared" si="148"/>
        <v>349.48764057925109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8.1016009573774586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8.1016009573774586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210.25641025641013</v>
      </c>
      <c r="CU178" s="17">
        <f>CT178*VLOOKUP('Données projet'!$B$13,Paramètres!$A$1:$I$89,3,0)*VLOOKUP('Données projet'!$B$13,Paramètres!$A$1:$I$89,5,0)</f>
        <v>163.99999999999991</v>
      </c>
      <c r="CV178" s="13">
        <f t="shared" si="173"/>
        <v>41.743425908362248</v>
      </c>
      <c r="CW178" s="20">
        <f t="shared" si="174"/>
        <v>358.33646679039742</v>
      </c>
      <c r="CX178" s="59">
        <f t="shared" si="122"/>
        <v>650.76946564283958</v>
      </c>
      <c r="CY178" s="59">
        <f ca="1">AVERAGE(OFFSET($CX$3,0,0,'Données projet'!$E$13+1,1))-AVERAGE(OFFSET($H$3,0,0,'Données projet'!$E$13+1,1))</f>
        <v>201.71903756761543</v>
      </c>
      <c r="CZ178" s="59">
        <f t="shared" si="150"/>
        <v>200.66422845182711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3.9577141408301775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3.9577141408301775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18.829999999999643</v>
      </c>
      <c r="DP178" s="17">
        <f>DO178*VLOOKUP('Données projet'!$B$14,Paramètres!$A$1:$I$89,3,0)*VLOOKUP('Données projet'!$B$14,Paramètres!$A$1:$I$89,5,0)</f>
        <v>17.918627999999661</v>
      </c>
      <c r="DQ178" s="13">
        <f t="shared" si="176"/>
        <v>5.9016322671185755</v>
      </c>
      <c r="DR178" s="20">
        <f t="shared" si="177"/>
        <v>41.486953298564259</v>
      </c>
      <c r="DS178" s="59">
        <f t="shared" si="125"/>
        <v>333.91995215100644</v>
      </c>
      <c r="DT178" s="59">
        <f ca="1">AVERAGE(OFFSET($DS$3,0,0,'Données projet'!$E$14+1,1))-AVERAGE(OFFSET($H$3,0,0,'Données projet'!$E$14+1,1))</f>
        <v>502.4879901989737</v>
      </c>
      <c r="DU178" s="59">
        <f t="shared" si="152"/>
        <v>226.06453328626355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178.65012059680944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178.65012059680944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-3.2543994166189806E-14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192.76157155207764</v>
      </c>
      <c r="EP178" s="59">
        <f t="shared" si="154"/>
        <v>413.66427458788348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4.2127692708277182</v>
      </c>
      <c r="EW178" s="21">
        <f>EXP(-LN(2)/25)*EW177+(1-EXP(-LN(2)/25))/(LN(2)/25)*Calculateur!ER178*Calculateur!ET178*VLOOKUP('Données projet'!$B$15,Paramètres!$A$1:$I$89,3,0)*0.475*44/12</f>
        <v>0.3352198675464364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4.5479891383741542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69.754454232484221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1.05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3.85</v>
      </c>
      <c r="H179" s="66">
        <f t="shared" si="110"/>
        <v>241.26666666666665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18.829999999999643</v>
      </c>
      <c r="O179" s="13">
        <f>N179*VLOOKUP('Données projet'!$B$9,Paramètres!$A$1:$I$89,3,0)*VLOOKUP('Données projet'!$B$9,Paramètres!$A$1:$I$89,5,0)</f>
        <v>17.037383999999676</v>
      </c>
      <c r="P179" s="13">
        <f t="shared" si="141"/>
        <v>5.644424624466958</v>
      </c>
      <c r="Q179" s="20">
        <f t="shared" si="162"/>
        <v>39.504150020946049</v>
      </c>
      <c r="R179" s="59">
        <f t="shared" si="109"/>
        <v>331.95276766378527</v>
      </c>
      <c r="S179" s="59">
        <f ca="1">AVERAGE(OFFSET($R$3,0,0,'Données projet'!$E$9+1,1))-AVERAGE(OFFSET($H$3,0,0,'Données projet'!$E$9+1,1))</f>
        <v>480.34707165277229</v>
      </c>
      <c r="T179" s="59">
        <f t="shared" si="142"/>
        <v>217.17128038304531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166.53311869619279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166.53311869619279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20.08734000000041</v>
      </c>
      <c r="AK179" s="13">
        <f t="shared" si="164"/>
        <v>6.5285137703520215</v>
      </c>
      <c r="AL179" s="20">
        <f t="shared" si="165"/>
        <v>46.355945316697152</v>
      </c>
      <c r="AM179" s="59">
        <f t="shared" si="113"/>
        <v>338.80456295953638</v>
      </c>
      <c r="AN179" s="59">
        <f ca="1">AVERAGE(OFFSET($AM$3,0,0,'Données projet'!$E$10+1,1))-AVERAGE(OFFSET($H$3,0,0,'Données projet'!$E$10+1,1))</f>
        <v>596.64394969449609</v>
      </c>
      <c r="AO179" s="59">
        <f t="shared" si="144"/>
        <v>312.55704723516362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127.36686517930208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127.36686517930208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212.28480000000002</v>
      </c>
      <c r="BF179" s="13">
        <f t="shared" si="167"/>
        <v>52.434557099704193</v>
      </c>
      <c r="BG179" s="20">
        <f t="shared" si="168"/>
        <v>461.05288028198476</v>
      </c>
      <c r="BH179" s="59">
        <f t="shared" si="116"/>
        <v>753.50149792482398</v>
      </c>
      <c r="BI179" s="59">
        <f ca="1">AVERAGE(OFFSET($BH$3,0,0,'Données projet'!$E$11+1,1))-AVERAGE(OFFSET($H$3,0,0,'Données projet'!$E$11+1,1))</f>
        <v>360.53625471540249</v>
      </c>
      <c r="BJ179" s="59">
        <f t="shared" si="146"/>
        <v>326.66299410556076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12.462298767471719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12.462298767471719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253.79640000000001</v>
      </c>
      <c r="CA179" s="13">
        <f t="shared" si="170"/>
        <v>61.39816832228076</v>
      </c>
      <c r="CB179" s="20">
        <f t="shared" si="171"/>
        <v>548.96387316130563</v>
      </c>
      <c r="CC179" s="59">
        <f t="shared" si="119"/>
        <v>841.41249080414491</v>
      </c>
      <c r="CD179" s="59">
        <f ca="1">AVERAGE(OFFSET($CC$3,0,0,'Données projet'!$E$12+1,1))-AVERAGE(OFFSET($H$3,0,0,'Données projet'!$E$12+1,1))</f>
        <v>358.39045200457502</v>
      </c>
      <c r="CE179" s="59">
        <f t="shared" si="148"/>
        <v>349.48764057925109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7.9427335040919393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7.9427335040919393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210.25641025641013</v>
      </c>
      <c r="CU179" s="17">
        <f>CT179*VLOOKUP('Données projet'!$B$13,Paramètres!$A$1:$I$89,3,0)*VLOOKUP('Données projet'!$B$13,Paramètres!$A$1:$I$89,5,0)</f>
        <v>163.99999999999991</v>
      </c>
      <c r="CV179" s="13">
        <f t="shared" si="173"/>
        <v>41.743425908362248</v>
      </c>
      <c r="CW179" s="20">
        <f t="shared" si="174"/>
        <v>358.33646679039742</v>
      </c>
      <c r="CX179" s="59">
        <f t="shared" si="122"/>
        <v>650.78508443323665</v>
      </c>
      <c r="CY179" s="59">
        <f ca="1">AVERAGE(OFFSET($CX$3,0,0,'Données projet'!$E$13+1,1))-AVERAGE(OFFSET($H$3,0,0,'Données projet'!$E$13+1,1))</f>
        <v>201.71903756761543</v>
      </c>
      <c r="CZ179" s="59">
        <f t="shared" si="150"/>
        <v>200.66422845182711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3.8801057804957639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3.8801057804957639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18.829999999999643</v>
      </c>
      <c r="DP179" s="17">
        <f>DO179*VLOOKUP('Données projet'!$B$14,Paramètres!$A$1:$I$89,3,0)*VLOOKUP('Données projet'!$B$14,Paramètres!$A$1:$I$89,5,0)</f>
        <v>17.918627999999661</v>
      </c>
      <c r="DQ179" s="13">
        <f t="shared" si="176"/>
        <v>5.9016322671185755</v>
      </c>
      <c r="DR179" s="20">
        <f t="shared" si="177"/>
        <v>41.486953298564259</v>
      </c>
      <c r="DS179" s="59">
        <f t="shared" si="125"/>
        <v>333.93557094140351</v>
      </c>
      <c r="DT179" s="59">
        <f ca="1">AVERAGE(OFFSET($DS$3,0,0,'Données projet'!$E$14+1,1))-AVERAGE(OFFSET($H$3,0,0,'Données projet'!$E$14+1,1))</f>
        <v>502.4879901989737</v>
      </c>
      <c r="DU179" s="59">
        <f t="shared" si="152"/>
        <v>226.06453328626355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175.1469006977201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175.1469006977201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-3.2543994166189806E-14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192.76157155207764</v>
      </c>
      <c r="EP179" s="59">
        <f t="shared" si="154"/>
        <v>413.66427458788348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4.1301594349623212</v>
      </c>
      <c r="EW179" s="21">
        <f>EXP(-LN(2)/25)*EW178+(1-EXP(-LN(2)/25))/(LN(2)/25)*Calculateur!ER179*Calculateur!ET179*VLOOKUP('Données projet'!$B$15,Paramètres!$A$1:$I$89,3,0)*0.475*44/12</f>
        <v>0.3260532626399324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4.456212697602254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69.758713902592518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1.05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3.85</v>
      </c>
      <c r="H180" s="66">
        <f t="shared" si="110"/>
        <v>241.26666666666665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18.829999999999643</v>
      </c>
      <c r="O180" s="13">
        <f>N180*VLOOKUP('Données projet'!$B$9,Paramètres!$A$1:$I$89,3,0)*VLOOKUP('Données projet'!$B$9,Paramètres!$A$1:$I$89,5,0)</f>
        <v>17.037383999999676</v>
      </c>
      <c r="P180" s="13">
        <f t="shared" si="141"/>
        <v>5.644424624466958</v>
      </c>
      <c r="Q180" s="20">
        <f t="shared" si="162"/>
        <v>39.504150020946049</v>
      </c>
      <c r="R180" s="59">
        <f t="shared" si="109"/>
        <v>331.9681155030874</v>
      </c>
      <c r="S180" s="59">
        <f ca="1">AVERAGE(OFFSET($R$3,0,0,'Données projet'!$E$9+1,1))-AVERAGE(OFFSET($H$3,0,0,'Données projet'!$E$9+1,1))</f>
        <v>480.34707165277229</v>
      </c>
      <c r="T180" s="59">
        <f t="shared" si="142"/>
        <v>217.17128038304531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163.26750581373312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163.26750581373312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20.08734000000041</v>
      </c>
      <c r="AK180" s="13">
        <f t="shared" si="164"/>
        <v>6.5285137703520215</v>
      </c>
      <c r="AL180" s="20">
        <f t="shared" si="165"/>
        <v>46.355945316697152</v>
      </c>
      <c r="AM180" s="59">
        <f t="shared" si="113"/>
        <v>338.81991079883852</v>
      </c>
      <c r="AN180" s="59">
        <f ca="1">AVERAGE(OFFSET($AM$3,0,0,'Données projet'!$E$10+1,1))-AVERAGE(OFFSET($H$3,0,0,'Données projet'!$E$10+1,1))</f>
        <v>596.64394969449609</v>
      </c>
      <c r="AO180" s="59">
        <f t="shared" si="144"/>
        <v>312.55704723516362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124.86927863925285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124.86927863925285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212.28480000000002</v>
      </c>
      <c r="BF180" s="13">
        <f t="shared" si="167"/>
        <v>52.434557099704193</v>
      </c>
      <c r="BG180" s="20">
        <f t="shared" si="168"/>
        <v>461.05288028198476</v>
      </c>
      <c r="BH180" s="59">
        <f t="shared" si="116"/>
        <v>753.51684576412617</v>
      </c>
      <c r="BI180" s="59">
        <f ca="1">AVERAGE(OFFSET($BH$3,0,0,'Données projet'!$E$11+1,1))-AVERAGE(OFFSET($H$3,0,0,'Données projet'!$E$11+1,1))</f>
        <v>360.53625471540249</v>
      </c>
      <c r="BJ180" s="59">
        <f t="shared" si="146"/>
        <v>326.66299410556076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12.217920689893285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12.217920689893285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253.79640000000001</v>
      </c>
      <c r="CA180" s="13">
        <f t="shared" si="170"/>
        <v>61.39816832228076</v>
      </c>
      <c r="CB180" s="20">
        <f t="shared" si="171"/>
        <v>548.96387316130563</v>
      </c>
      <c r="CC180" s="59">
        <f t="shared" si="119"/>
        <v>841.42783864344699</v>
      </c>
      <c r="CD180" s="59">
        <f ca="1">AVERAGE(OFFSET($CC$3,0,0,'Données projet'!$E$12+1,1))-AVERAGE(OFFSET($H$3,0,0,'Données projet'!$E$12+1,1))</f>
        <v>358.39045200457502</v>
      </c>
      <c r="CE180" s="59">
        <f t="shared" si="148"/>
        <v>349.48764057925109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7.7869813446657705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7.7869813446657705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210.25641025641013</v>
      </c>
      <c r="CU180" s="17">
        <f>CT180*VLOOKUP('Données projet'!$B$13,Paramètres!$A$1:$I$89,3,0)*VLOOKUP('Données projet'!$B$13,Paramètres!$A$1:$I$89,5,0)</f>
        <v>163.99999999999991</v>
      </c>
      <c r="CV180" s="13">
        <f t="shared" si="173"/>
        <v>41.743425908362248</v>
      </c>
      <c r="CW180" s="20">
        <f t="shared" si="174"/>
        <v>358.33646679039742</v>
      </c>
      <c r="CX180" s="59">
        <f t="shared" si="122"/>
        <v>650.80043227253873</v>
      </c>
      <c r="CY180" s="59">
        <f ca="1">AVERAGE(OFFSET($CX$3,0,0,'Données projet'!$E$13+1,1))-AVERAGE(OFFSET($H$3,0,0,'Données projet'!$E$13+1,1))</f>
        <v>201.71903756761543</v>
      </c>
      <c r="CZ180" s="59">
        <f t="shared" si="150"/>
        <v>200.66422845182711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3.8040192727710829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3.8040192727710829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18.829999999999643</v>
      </c>
      <c r="DP180" s="17">
        <f>DO180*VLOOKUP('Données projet'!$B$14,Paramètres!$A$1:$I$89,3,0)*VLOOKUP('Données projet'!$B$14,Paramètres!$A$1:$I$89,5,0)</f>
        <v>17.918627999999661</v>
      </c>
      <c r="DQ180" s="13">
        <f t="shared" si="176"/>
        <v>5.9016322671185755</v>
      </c>
      <c r="DR180" s="20">
        <f t="shared" si="177"/>
        <v>41.486953298564259</v>
      </c>
      <c r="DS180" s="59">
        <f t="shared" si="125"/>
        <v>333.95091878070559</v>
      </c>
      <c r="DT180" s="59">
        <f ca="1">AVERAGE(OFFSET($DS$3,0,0,'Données projet'!$E$14+1,1))-AVERAGE(OFFSET($H$3,0,0,'Données projet'!$E$14+1,1))</f>
        <v>502.4879901989737</v>
      </c>
      <c r="DU180" s="59">
        <f t="shared" si="152"/>
        <v>226.06453328626355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171.71237680409874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171.71237680409874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-3.2543994166189806E-14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192.76157155207764</v>
      </c>
      <c r="EP180" s="59">
        <f t="shared" si="154"/>
        <v>413.66427458788348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4.0491695275912205</v>
      </c>
      <c r="EW180" s="21">
        <f>EXP(-LN(2)/25)*EW179+(1-EXP(-LN(2)/25))/(LN(2)/25)*Calculateur!ER180*Calculateur!ET180*VLOOKUP('Données projet'!$B$15,Paramètres!$A$1:$I$89,3,0)*0.475*44/12</f>
        <v>0.31713731902664755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4.3663068466178681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69.76289967694764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1.05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3.85</v>
      </c>
      <c r="H181" s="66">
        <f t="shared" si="110"/>
        <v>241.26666666666665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18.829999999999643</v>
      </c>
      <c r="O181" s="13">
        <f>N181*VLOOKUP('Données projet'!$B$9,Paramètres!$A$1:$I$89,3,0)*VLOOKUP('Données projet'!$B$9,Paramètres!$A$1:$I$89,5,0)</f>
        <v>17.037383999999676</v>
      </c>
      <c r="P181" s="13">
        <f t="shared" si="141"/>
        <v>5.644424624466958</v>
      </c>
      <c r="Q181" s="20">
        <f t="shared" si="162"/>
        <v>39.504150020946049</v>
      </c>
      <c r="R181" s="59">
        <f t="shared" si="109"/>
        <v>331.98319709169027</v>
      </c>
      <c r="S181" s="59">
        <f ca="1">AVERAGE(OFFSET($R$3,0,0,'Données projet'!$E$9+1,1))-AVERAGE(OFFSET($H$3,0,0,'Données projet'!$E$9+1,1))</f>
        <v>480.34707165277229</v>
      </c>
      <c r="T181" s="59">
        <f t="shared" si="142"/>
        <v>217.17128038304531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160.06592960807131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160.06592960807131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20.08734000000041</v>
      </c>
      <c r="AK181" s="13">
        <f t="shared" si="164"/>
        <v>6.5285137703520215</v>
      </c>
      <c r="AL181" s="20">
        <f t="shared" si="165"/>
        <v>46.355945316697152</v>
      </c>
      <c r="AM181" s="59">
        <f t="shared" si="113"/>
        <v>338.83499238744139</v>
      </c>
      <c r="AN181" s="59">
        <f ca="1">AVERAGE(OFFSET($AM$3,0,0,'Données projet'!$E$10+1,1))-AVERAGE(OFFSET($H$3,0,0,'Données projet'!$E$10+1,1))</f>
        <v>596.64394969449609</v>
      </c>
      <c r="AO181" s="59">
        <f t="shared" si="144"/>
        <v>312.55704723516362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122.42066824787663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122.42066824787663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212.28480000000002</v>
      </c>
      <c r="BF181" s="13">
        <f t="shared" si="167"/>
        <v>52.434557099704193</v>
      </c>
      <c r="BG181" s="20">
        <f t="shared" si="168"/>
        <v>461.05288028198476</v>
      </c>
      <c r="BH181" s="59">
        <f t="shared" si="116"/>
        <v>753.53192735272899</v>
      </c>
      <c r="BI181" s="59">
        <f ca="1">AVERAGE(OFFSET($BH$3,0,0,'Données projet'!$E$11+1,1))-AVERAGE(OFFSET($H$3,0,0,'Données projet'!$E$11+1,1))</f>
        <v>360.53625471540249</v>
      </c>
      <c r="BJ181" s="59">
        <f t="shared" si="146"/>
        <v>326.66299410556076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11.978334717360255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11.978334717360255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253.79640000000001</v>
      </c>
      <c r="CA181" s="13">
        <f t="shared" si="170"/>
        <v>61.39816832228076</v>
      </c>
      <c r="CB181" s="20">
        <f t="shared" si="171"/>
        <v>548.96387316130563</v>
      </c>
      <c r="CC181" s="59">
        <f t="shared" si="119"/>
        <v>841.4429202320498</v>
      </c>
      <c r="CD181" s="59">
        <f ca="1">AVERAGE(OFFSET($CC$3,0,0,'Données projet'!$E$12+1,1))-AVERAGE(OFFSET($H$3,0,0,'Données projet'!$E$12+1,1))</f>
        <v>358.39045200457502</v>
      </c>
      <c r="CE181" s="59">
        <f t="shared" si="148"/>
        <v>349.48764057925109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7.6342833900865124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7.6342833900865124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210.25641025641013</v>
      </c>
      <c r="CU181" s="17">
        <f>CT181*VLOOKUP('Données projet'!$B$13,Paramètres!$A$1:$I$89,3,0)*VLOOKUP('Données projet'!$B$13,Paramètres!$A$1:$I$89,5,0)</f>
        <v>163.99999999999991</v>
      </c>
      <c r="CV181" s="13">
        <f t="shared" si="173"/>
        <v>41.743425908362248</v>
      </c>
      <c r="CW181" s="20">
        <f t="shared" si="174"/>
        <v>358.33646679039742</v>
      </c>
      <c r="CX181" s="59">
        <f t="shared" si="122"/>
        <v>650.81551386114165</v>
      </c>
      <c r="CY181" s="59">
        <f ca="1">AVERAGE(OFFSET($CX$3,0,0,'Données projet'!$E$13+1,1))-AVERAGE(OFFSET($H$3,0,0,'Données projet'!$E$13+1,1))</f>
        <v>201.71903756761543</v>
      </c>
      <c r="CZ181" s="59">
        <f t="shared" si="150"/>
        <v>200.66422845182711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3.7294247750546954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3.7294247750546954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18.829999999999643</v>
      </c>
      <c r="DP181" s="17">
        <f>DO181*VLOOKUP('Données projet'!$B$14,Paramètres!$A$1:$I$89,3,0)*VLOOKUP('Données projet'!$B$14,Paramètres!$A$1:$I$89,5,0)</f>
        <v>17.918627999999661</v>
      </c>
      <c r="DQ181" s="13">
        <f t="shared" si="176"/>
        <v>5.9016322671185755</v>
      </c>
      <c r="DR181" s="20">
        <f t="shared" si="177"/>
        <v>41.486953298564259</v>
      </c>
      <c r="DS181" s="59">
        <f t="shared" si="125"/>
        <v>333.96600036930852</v>
      </c>
      <c r="DT181" s="59">
        <f ca="1">AVERAGE(OFFSET($DS$3,0,0,'Données projet'!$E$14+1,1))-AVERAGE(OFFSET($H$3,0,0,'Données projet'!$E$14+1,1))</f>
        <v>502.4879901989737</v>
      </c>
      <c r="DU181" s="59">
        <f t="shared" si="152"/>
        <v>226.06453328626355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168.34520182917856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168.34520182917856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-3.2543994166189806E-14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192.76157155207764</v>
      </c>
      <c r="EP181" s="59">
        <f t="shared" si="154"/>
        <v>413.66427458788348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3.9697677829047011</v>
      </c>
      <c r="EW181" s="21">
        <f>EXP(-LN(2)/25)*EW180+(1-EXP(-LN(2)/25))/(LN(2)/25)*Calculateur!ER181*Calculateur!ET181*VLOOKUP('Données projet'!$B$15,Paramètres!$A$1:$I$89,3,0)*0.475*44/12</f>
        <v>0.3084651823603371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4.2782329652650386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69.76701283747569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1.05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3.85</v>
      </c>
      <c r="H182" s="66">
        <f t="shared" si="110"/>
        <v>241.26666666666665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18.829999999999643</v>
      </c>
      <c r="O182" s="13">
        <f>N182*VLOOKUP('Données projet'!$B$9,Paramètres!$A$1:$I$89,3,0)*VLOOKUP('Données projet'!$B$9,Paramètres!$A$1:$I$89,5,0)</f>
        <v>17.037383999999676</v>
      </c>
      <c r="P182" s="13">
        <f t="shared" si="141"/>
        <v>5.644424624466958</v>
      </c>
      <c r="Q182" s="20">
        <f t="shared" si="162"/>
        <v>39.504150020946049</v>
      </c>
      <c r="R182" s="59">
        <f t="shared" si="109"/>
        <v>331.99801704844816</v>
      </c>
      <c r="S182" s="59">
        <f ca="1">AVERAGE(OFFSET($R$3,0,0,'Données projet'!$E$9+1,1))-AVERAGE(OFFSET($H$3,0,0,'Données projet'!$E$9+1,1))</f>
        <v>480.34707165277229</v>
      </c>
      <c r="T182" s="59">
        <f t="shared" si="142"/>
        <v>217.17128038304531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156.92713435903389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156.92713435903389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20.08734000000041</v>
      </c>
      <c r="AK182" s="13">
        <f t="shared" si="164"/>
        <v>6.5285137703520215</v>
      </c>
      <c r="AL182" s="20">
        <f t="shared" si="165"/>
        <v>46.355945316697152</v>
      </c>
      <c r="AM182" s="59">
        <f t="shared" si="113"/>
        <v>338.84981234419928</v>
      </c>
      <c r="AN182" s="59">
        <f ca="1">AVERAGE(OFFSET($AM$3,0,0,'Données projet'!$E$10+1,1))-AVERAGE(OFFSET($H$3,0,0,'Données projet'!$E$10+1,1))</f>
        <v>596.64394969449609</v>
      </c>
      <c r="AO182" s="59">
        <f t="shared" si="144"/>
        <v>312.55704723516362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120.02007361277043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120.02007361277043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212.28480000000002</v>
      </c>
      <c r="BF182" s="13">
        <f t="shared" si="167"/>
        <v>52.434557099704193</v>
      </c>
      <c r="BG182" s="20">
        <f t="shared" si="168"/>
        <v>461.05288028198476</v>
      </c>
      <c r="BH182" s="59">
        <f t="shared" si="116"/>
        <v>753.54674730948682</v>
      </c>
      <c r="BI182" s="59">
        <f ca="1">AVERAGE(OFFSET($BH$3,0,0,'Données projet'!$E$11+1,1))-AVERAGE(OFFSET($H$3,0,0,'Données projet'!$E$11+1,1))</f>
        <v>360.53625471540249</v>
      </c>
      <c r="BJ182" s="59">
        <f t="shared" si="146"/>
        <v>326.66299410556076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11.743446879615584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11.743446879615584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253.79640000000001</v>
      </c>
      <c r="CA182" s="13">
        <f t="shared" si="170"/>
        <v>61.39816832228076</v>
      </c>
      <c r="CB182" s="20">
        <f t="shared" si="171"/>
        <v>548.96387316130563</v>
      </c>
      <c r="CC182" s="59">
        <f t="shared" si="119"/>
        <v>841.45774018880775</v>
      </c>
      <c r="CD182" s="59">
        <f ca="1">AVERAGE(OFFSET($CC$3,0,0,'Données projet'!$E$12+1,1))-AVERAGE(OFFSET($H$3,0,0,'Données projet'!$E$12+1,1))</f>
        <v>358.39045200457502</v>
      </c>
      <c r="CE182" s="59">
        <f t="shared" si="148"/>
        <v>349.48764057925109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7.4845797492599973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7.4845797492599973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210.25641025641013</v>
      </c>
      <c r="CU182" s="17">
        <f>CT182*VLOOKUP('Données projet'!$B$13,Paramètres!$A$1:$I$89,3,0)*VLOOKUP('Données projet'!$B$13,Paramètres!$A$1:$I$89,5,0)</f>
        <v>163.99999999999991</v>
      </c>
      <c r="CV182" s="13">
        <f t="shared" si="173"/>
        <v>41.743425908362248</v>
      </c>
      <c r="CW182" s="20">
        <f t="shared" si="174"/>
        <v>358.33646679039742</v>
      </c>
      <c r="CX182" s="59">
        <f t="shared" si="122"/>
        <v>650.8303338178996</v>
      </c>
      <c r="CY182" s="59">
        <f ca="1">AVERAGE(OFFSET($CX$3,0,0,'Données projet'!$E$13+1,1))-AVERAGE(OFFSET($H$3,0,0,'Données projet'!$E$13+1,1))</f>
        <v>201.71903756761543</v>
      </c>
      <c r="CZ182" s="59">
        <f t="shared" si="150"/>
        <v>200.66422845182711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3.6562930299403753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3.6562930299403753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18.829999999999643</v>
      </c>
      <c r="DP182" s="17">
        <f>DO182*VLOOKUP('Données projet'!$B$14,Paramètres!$A$1:$I$89,3,0)*VLOOKUP('Données projet'!$B$14,Paramètres!$A$1:$I$89,5,0)</f>
        <v>17.918627999999661</v>
      </c>
      <c r="DQ182" s="13">
        <f t="shared" si="176"/>
        <v>5.9016322671185755</v>
      </c>
      <c r="DR182" s="20">
        <f t="shared" si="177"/>
        <v>41.486953298564259</v>
      </c>
      <c r="DS182" s="59">
        <f t="shared" si="125"/>
        <v>333.98082032606635</v>
      </c>
      <c r="DT182" s="59">
        <f ca="1">AVERAGE(OFFSET($DS$3,0,0,'Données projet'!$E$14+1,1))-AVERAGE(OFFSET($H$3,0,0,'Données projet'!$E$14+1,1))</f>
        <v>502.4879901989737</v>
      </c>
      <c r="DU182" s="59">
        <f t="shared" si="152"/>
        <v>226.06453328626355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165.04405510174263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165.04405510174263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-3.2543994166189806E-14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192.76157155207764</v>
      </c>
      <c r="EP182" s="59">
        <f t="shared" si="154"/>
        <v>413.66427458788348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3.8919230580012019</v>
      </c>
      <c r="EW182" s="21">
        <f>EXP(-LN(2)/25)*EW181+(1-EXP(-LN(2)/25))/(LN(2)/25)*Calculateur!ER182*Calculateur!ET182*VLOOKUP('Données projet'!$B$15,Paramètres!$A$1:$I$89,3,0)*0.475*44/12</f>
        <v>0.30003018572721474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4.1919532437284168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69.771054643864218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1.05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3.85</v>
      </c>
      <c r="H183" s="66">
        <f t="shared" si="110"/>
        <v>241.26666666666665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18.829999999999643</v>
      </c>
      <c r="O183" s="13">
        <f>N183*VLOOKUP('Données projet'!$B$9,Paramètres!$A$1:$I$89,3,0)*VLOOKUP('Données projet'!$B$9,Paramètres!$A$1:$I$89,5,0)</f>
        <v>17.037383999999676</v>
      </c>
      <c r="P183" s="13">
        <f t="shared" si="141"/>
        <v>5.644424624466958</v>
      </c>
      <c r="Q183" s="20">
        <f t="shared" si="162"/>
        <v>39.504150020946049</v>
      </c>
      <c r="R183" s="59">
        <f t="shared" si="109"/>
        <v>332.01257991208888</v>
      </c>
      <c r="S183" s="59">
        <f ca="1">AVERAGE(OFFSET($R$3,0,0,'Données projet'!$E$9+1,1))-AVERAGE(OFFSET($H$3,0,0,'Données projet'!$E$9+1,1))</f>
        <v>480.34707165277229</v>
      </c>
      <c r="T183" s="59">
        <f t="shared" si="142"/>
        <v>217.17128038304531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153.84988897035402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153.84988897035402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20.08734000000041</v>
      </c>
      <c r="AK183" s="13">
        <f t="shared" si="164"/>
        <v>6.5285137703520215</v>
      </c>
      <c r="AL183" s="20">
        <f t="shared" si="165"/>
        <v>46.355945316697152</v>
      </c>
      <c r="AM183" s="59">
        <f t="shared" si="113"/>
        <v>338.86437520784</v>
      </c>
      <c r="AN183" s="59">
        <f ca="1">AVERAGE(OFFSET($AM$3,0,0,'Données projet'!$E$10+1,1))-AVERAGE(OFFSET($H$3,0,0,'Données projet'!$E$10+1,1))</f>
        <v>596.64394969449609</v>
      </c>
      <c r="AO183" s="59">
        <f t="shared" si="144"/>
        <v>312.55704723516362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117.66655317424052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117.66655317424052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212.28480000000002</v>
      </c>
      <c r="BF183" s="13">
        <f t="shared" si="167"/>
        <v>52.434557099704193</v>
      </c>
      <c r="BG183" s="20">
        <f t="shared" si="168"/>
        <v>461.05288028198476</v>
      </c>
      <c r="BH183" s="59">
        <f t="shared" si="116"/>
        <v>753.56131017312759</v>
      </c>
      <c r="BI183" s="59">
        <f ca="1">AVERAGE(OFFSET($BH$3,0,0,'Données projet'!$E$11+1,1))-AVERAGE(OFFSET($H$3,0,0,'Données projet'!$E$11+1,1))</f>
        <v>360.53625471540249</v>
      </c>
      <c r="BJ183" s="59">
        <f t="shared" si="146"/>
        <v>326.66299410556076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11.513165049101652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11.513165049101652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253.79640000000001</v>
      </c>
      <c r="CA183" s="13">
        <f t="shared" si="170"/>
        <v>61.39816832228076</v>
      </c>
      <c r="CB183" s="20">
        <f t="shared" si="171"/>
        <v>548.96387316130563</v>
      </c>
      <c r="CC183" s="59">
        <f t="shared" si="119"/>
        <v>841.47230305244852</v>
      </c>
      <c r="CD183" s="59">
        <f ca="1">AVERAGE(OFFSET($CC$3,0,0,'Données projet'!$E$12+1,1))-AVERAGE(OFFSET($H$3,0,0,'Données projet'!$E$12+1,1))</f>
        <v>358.39045200457502</v>
      </c>
      <c r="CE183" s="59">
        <f t="shared" si="148"/>
        <v>349.48764057925109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7.3378117055198855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7.3378117055198855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210.25641025641013</v>
      </c>
      <c r="CU183" s="17">
        <f>CT183*VLOOKUP('Données projet'!$B$13,Paramètres!$A$1:$I$89,3,0)*VLOOKUP('Données projet'!$B$13,Paramètres!$A$1:$I$89,5,0)</f>
        <v>163.99999999999991</v>
      </c>
      <c r="CV183" s="13">
        <f t="shared" si="173"/>
        <v>41.743425908362248</v>
      </c>
      <c r="CW183" s="20">
        <f t="shared" si="174"/>
        <v>358.33646679039742</v>
      </c>
      <c r="CX183" s="59">
        <f t="shared" si="122"/>
        <v>650.84489668154026</v>
      </c>
      <c r="CY183" s="59">
        <f ca="1">AVERAGE(OFFSET($CX$3,0,0,'Données projet'!$E$13+1,1))-AVERAGE(OFFSET($H$3,0,0,'Données projet'!$E$13+1,1))</f>
        <v>201.71903756761543</v>
      </c>
      <c r="CZ183" s="59">
        <f t="shared" si="150"/>
        <v>200.66422845182711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3.5845953537417867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3.5845953537417867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18.829999999999643</v>
      </c>
      <c r="DP183" s="17">
        <f>DO183*VLOOKUP('Données projet'!$B$14,Paramètres!$A$1:$I$89,3,0)*VLOOKUP('Données projet'!$B$14,Paramètres!$A$1:$I$89,5,0)</f>
        <v>17.918627999999661</v>
      </c>
      <c r="DQ183" s="13">
        <f t="shared" si="176"/>
        <v>5.9016322671185755</v>
      </c>
      <c r="DR183" s="20">
        <f t="shared" si="177"/>
        <v>41.486953298564259</v>
      </c>
      <c r="DS183" s="59">
        <f t="shared" si="125"/>
        <v>333.99538318970713</v>
      </c>
      <c r="DT183" s="59">
        <f ca="1">AVERAGE(OFFSET($DS$3,0,0,'Données projet'!$E$14+1,1))-AVERAGE(OFFSET($H$3,0,0,'Données projet'!$E$14+1,1))</f>
        <v>502.4879901989737</v>
      </c>
      <c r="DU183" s="59">
        <f t="shared" si="152"/>
        <v>226.06453328626355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161.80764184813103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161.80764184813103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-3.2543994166189806E-14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192.76157155207764</v>
      </c>
      <c r="EP183" s="59">
        <f t="shared" si="154"/>
        <v>413.66427458788348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3.8156048206724664</v>
      </c>
      <c r="EW183" s="21">
        <f>EXP(-LN(2)/25)*EW182+(1-EXP(-LN(2)/25))/(LN(2)/25)*Calculateur!ER183*Calculateur!ET183*VLOOKUP('Données projet'!$B$15,Paramètres!$A$1:$I$89,3,0)*0.475*44/12</f>
        <v>0.29182584452060228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4.1074306651930685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69.775026333948048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1.05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3.85</v>
      </c>
      <c r="H184" s="66">
        <f t="shared" si="110"/>
        <v>241.26666666666665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18.829999999999643</v>
      </c>
      <c r="O184" s="13">
        <f>N184*VLOOKUP('Données projet'!$B$9,Paramètres!$A$1:$I$89,3,0)*VLOOKUP('Données projet'!$B$9,Paramètres!$A$1:$I$89,5,0)</f>
        <v>17.037383999999676</v>
      </c>
      <c r="P184" s="13">
        <f t="shared" si="141"/>
        <v>5.644424624466958</v>
      </c>
      <c r="Q184" s="20">
        <f t="shared" si="162"/>
        <v>39.504150020946049</v>
      </c>
      <c r="R184" s="59">
        <f t="shared" si="109"/>
        <v>332.02689014260307</v>
      </c>
      <c r="S184" s="59">
        <f ca="1">AVERAGE(OFFSET($R$3,0,0,'Données projet'!$E$9+1,1))-AVERAGE(OFFSET($H$3,0,0,'Données projet'!$E$9+1,1))</f>
        <v>480.34707165277229</v>
      </c>
      <c r="T184" s="59">
        <f t="shared" si="142"/>
        <v>217.17128038304531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150.83298648681179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150.83298648681179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20.08734000000041</v>
      </c>
      <c r="AK184" s="13">
        <f t="shared" si="164"/>
        <v>6.5285137703520215</v>
      </c>
      <c r="AL184" s="20">
        <f t="shared" si="165"/>
        <v>46.355945316697152</v>
      </c>
      <c r="AM184" s="59">
        <f t="shared" si="113"/>
        <v>338.87868543835418</v>
      </c>
      <c r="AN184" s="59">
        <f ca="1">AVERAGE(OFFSET($AM$3,0,0,'Données projet'!$E$10+1,1))-AVERAGE(OFFSET($H$3,0,0,'Données projet'!$E$10+1,1))</f>
        <v>596.64394969449609</v>
      </c>
      <c r="AO184" s="59">
        <f t="shared" si="144"/>
        <v>312.55704723516362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115.35918383600445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115.35918383600445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212.28480000000002</v>
      </c>
      <c r="BF184" s="13">
        <f t="shared" si="167"/>
        <v>52.434557099704193</v>
      </c>
      <c r="BG184" s="20">
        <f t="shared" si="168"/>
        <v>461.05288028198476</v>
      </c>
      <c r="BH184" s="59">
        <f t="shared" si="116"/>
        <v>753.57562040364178</v>
      </c>
      <c r="BI184" s="59">
        <f ca="1">AVERAGE(OFFSET($BH$3,0,0,'Données projet'!$E$11+1,1))-AVERAGE(OFFSET($H$3,0,0,'Données projet'!$E$11+1,1))</f>
        <v>360.53625471540249</v>
      </c>
      <c r="BJ184" s="59">
        <f t="shared" si="146"/>
        <v>326.66299410556076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11.28739890482605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11.28739890482605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253.79640000000001</v>
      </c>
      <c r="CA184" s="13">
        <f t="shared" si="170"/>
        <v>61.39816832228076</v>
      </c>
      <c r="CB184" s="20">
        <f t="shared" si="171"/>
        <v>548.96387316130563</v>
      </c>
      <c r="CC184" s="59">
        <f t="shared" si="119"/>
        <v>841.48661328296271</v>
      </c>
      <c r="CD184" s="59">
        <f ca="1">AVERAGE(OFFSET($CC$3,0,0,'Données projet'!$E$12+1,1))-AVERAGE(OFFSET($H$3,0,0,'Données projet'!$E$12+1,1))</f>
        <v>358.39045200457502</v>
      </c>
      <c r="CE184" s="59">
        <f t="shared" si="148"/>
        <v>349.48764057925109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7.1939216935978498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7.1939216935978498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210.25641025641013</v>
      </c>
      <c r="CU184" s="17">
        <f>CT184*VLOOKUP('Données projet'!$B$13,Paramètres!$A$1:$I$89,3,0)*VLOOKUP('Données projet'!$B$13,Paramètres!$A$1:$I$89,5,0)</f>
        <v>163.99999999999991</v>
      </c>
      <c r="CV184" s="13">
        <f t="shared" si="173"/>
        <v>41.743425908362248</v>
      </c>
      <c r="CW184" s="20">
        <f t="shared" si="174"/>
        <v>358.33646679039742</v>
      </c>
      <c r="CX184" s="59">
        <f t="shared" si="122"/>
        <v>650.85920691205445</v>
      </c>
      <c r="CY184" s="59">
        <f ca="1">AVERAGE(OFFSET($CX$3,0,0,'Données projet'!$E$13+1,1))-AVERAGE(OFFSET($H$3,0,0,'Données projet'!$E$13+1,1))</f>
        <v>201.71903756761543</v>
      </c>
      <c r="CZ184" s="59">
        <f t="shared" si="150"/>
        <v>200.66422845182711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3.5143036252421882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3.5143036252421882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18.829999999999643</v>
      </c>
      <c r="DP184" s="17">
        <f>DO184*VLOOKUP('Données projet'!$B$14,Paramètres!$A$1:$I$89,3,0)*VLOOKUP('Données projet'!$B$14,Paramètres!$A$1:$I$89,5,0)</f>
        <v>17.918627999999661</v>
      </c>
      <c r="DQ184" s="13">
        <f t="shared" si="176"/>
        <v>5.9016322671185755</v>
      </c>
      <c r="DR184" s="20">
        <f t="shared" si="177"/>
        <v>41.486953298564259</v>
      </c>
      <c r="DS184" s="59">
        <f t="shared" si="125"/>
        <v>334.00969342022131</v>
      </c>
      <c r="DT184" s="59">
        <f ca="1">AVERAGE(OFFSET($DS$3,0,0,'Données projet'!$E$14+1,1))-AVERAGE(OFFSET($H$3,0,0,'Données projet'!$E$14+1,1))</f>
        <v>502.4879901989737</v>
      </c>
      <c r="DU184" s="59">
        <f t="shared" si="152"/>
        <v>226.06453328626355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158.63469268440559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158.63469268440559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-3.2543994166189806E-14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192.76157155207764</v>
      </c>
      <c r="EP184" s="59">
        <f t="shared" si="154"/>
        <v>413.66427458788348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3.7407831374282194</v>
      </c>
      <c r="EW184" s="21">
        <f>EXP(-LN(2)/25)*EW183+(1-EXP(-LN(2)/25))/(LN(2)/25)*Calculateur!ER184*Calculateur!ET184*VLOOKUP('Données projet'!$B$15,Paramètres!$A$1:$I$89,3,0)*0.475*44/12</f>
        <v>0.28384585145573221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4.0246289888839515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69.778929124088279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1.05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3.85</v>
      </c>
      <c r="H185" s="66">
        <f t="shared" si="110"/>
        <v>241.26666666666665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18.829999999999643</v>
      </c>
      <c r="O185" s="13">
        <f>N185*VLOOKUP('Données projet'!$B$9,Paramètres!$A$1:$I$89,3,0)*VLOOKUP('Données projet'!$B$9,Paramètres!$A$1:$I$89,5,0)</f>
        <v>17.037383999999676</v>
      </c>
      <c r="P185" s="13">
        <f t="shared" si="141"/>
        <v>5.644424624466958</v>
      </c>
      <c r="Q185" s="20">
        <f t="shared" si="162"/>
        <v>39.504150020946049</v>
      </c>
      <c r="R185" s="59">
        <f t="shared" si="109"/>
        <v>332.04095212261069</v>
      </c>
      <c r="S185" s="59">
        <f ca="1">AVERAGE(OFFSET($R$3,0,0,'Données projet'!$E$9+1,1))-AVERAGE(OFFSET($H$3,0,0,'Données projet'!$E$9+1,1))</f>
        <v>480.34707165277229</v>
      </c>
      <c r="T185" s="59">
        <f t="shared" si="142"/>
        <v>217.17128038304531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147.87524362084301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147.87524362084301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20.08734000000041</v>
      </c>
      <c r="AK185" s="13">
        <f t="shared" si="164"/>
        <v>6.5285137703520215</v>
      </c>
      <c r="AL185" s="20">
        <f t="shared" si="165"/>
        <v>46.355945316697152</v>
      </c>
      <c r="AM185" s="59">
        <f t="shared" si="113"/>
        <v>338.89274741836181</v>
      </c>
      <c r="AN185" s="59">
        <f ca="1">AVERAGE(OFFSET($AM$3,0,0,'Données projet'!$E$10+1,1))-AVERAGE(OFFSET($H$3,0,0,'Données projet'!$E$10+1,1))</f>
        <v>596.64394969449609</v>
      </c>
      <c r="AO185" s="59">
        <f t="shared" si="144"/>
        <v>312.55704723516362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113.09706060313485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113.09706060313485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212.28480000000002</v>
      </c>
      <c r="BF185" s="13">
        <f t="shared" si="167"/>
        <v>52.434557099704193</v>
      </c>
      <c r="BG185" s="20">
        <f t="shared" si="168"/>
        <v>461.05288028198476</v>
      </c>
      <c r="BH185" s="59">
        <f t="shared" si="116"/>
        <v>753.58968238364946</v>
      </c>
      <c r="BI185" s="59">
        <f ca="1">AVERAGE(OFFSET($BH$3,0,0,'Données projet'!$E$11+1,1))-AVERAGE(OFFSET($H$3,0,0,'Données projet'!$E$11+1,1))</f>
        <v>360.53625471540249</v>
      </c>
      <c r="BJ185" s="59">
        <f t="shared" si="146"/>
        <v>326.66299410556076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11.066059896935942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11.066059896935942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253.79640000000001</v>
      </c>
      <c r="CA185" s="13">
        <f t="shared" si="170"/>
        <v>61.39816832228076</v>
      </c>
      <c r="CB185" s="20">
        <f t="shared" si="171"/>
        <v>548.96387316130563</v>
      </c>
      <c r="CC185" s="59">
        <f t="shared" si="119"/>
        <v>841.50067526297028</v>
      </c>
      <c r="CD185" s="59">
        <f ca="1">AVERAGE(OFFSET($CC$3,0,0,'Données projet'!$E$12+1,1))-AVERAGE(OFFSET($H$3,0,0,'Données projet'!$E$12+1,1))</f>
        <v>358.39045200457502</v>
      </c>
      <c r="CE185" s="59">
        <f t="shared" si="148"/>
        <v>349.48764057925109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7.0528532770453642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7.0528532770453642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210.25641025641013</v>
      </c>
      <c r="CU185" s="17">
        <f>CT185*VLOOKUP('Données projet'!$B$13,Paramètres!$A$1:$I$89,3,0)*VLOOKUP('Données projet'!$B$13,Paramètres!$A$1:$I$89,5,0)</f>
        <v>163.99999999999991</v>
      </c>
      <c r="CV185" s="13">
        <f t="shared" si="173"/>
        <v>41.743425908362248</v>
      </c>
      <c r="CW185" s="20">
        <f t="shared" si="174"/>
        <v>358.33646679039742</v>
      </c>
      <c r="CX185" s="59">
        <f t="shared" si="122"/>
        <v>650.87326889206201</v>
      </c>
      <c r="CY185" s="59">
        <f ca="1">AVERAGE(OFFSET($CX$3,0,0,'Données projet'!$E$13+1,1))-AVERAGE(OFFSET($H$3,0,0,'Données projet'!$E$13+1,1))</f>
        <v>201.71903756761543</v>
      </c>
      <c r="CZ185" s="59">
        <f t="shared" si="150"/>
        <v>200.66422845182711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3.4453902746647458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3.4453902746647458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18.829999999999643</v>
      </c>
      <c r="DP185" s="17">
        <f>DO185*VLOOKUP('Données projet'!$B$14,Paramètres!$A$1:$I$89,3,0)*VLOOKUP('Données projet'!$B$14,Paramètres!$A$1:$I$89,5,0)</f>
        <v>17.918627999999661</v>
      </c>
      <c r="DQ185" s="13">
        <f t="shared" si="176"/>
        <v>5.9016322671185755</v>
      </c>
      <c r="DR185" s="20">
        <f t="shared" si="177"/>
        <v>41.486953298564259</v>
      </c>
      <c r="DS185" s="59">
        <f t="shared" si="125"/>
        <v>334.02375540022888</v>
      </c>
      <c r="DT185" s="59">
        <f ca="1">AVERAGE(OFFSET($DS$3,0,0,'Données projet'!$E$14+1,1))-AVERAGE(OFFSET($H$3,0,0,'Données projet'!$E$14+1,1))</f>
        <v>502.4879901989737</v>
      </c>
      <c r="DU185" s="59">
        <f t="shared" si="152"/>
        <v>226.06453328626355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155.52396311847292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155.52396311847292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-3.2543994166189806E-14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192.76157155207764</v>
      </c>
      <c r="EP185" s="59">
        <f t="shared" si="154"/>
        <v>413.66427458788348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3.6674286617556713</v>
      </c>
      <c r="EW185" s="21">
        <f>EXP(-LN(2)/25)*EW184+(1-EXP(-LN(2)/25))/(LN(2)/25)*Calculateur!ER185*Calculateur!ET185*VLOOKUP('Données projet'!$B$15,Paramètres!$A$1:$I$89,3,0)*0.475*44/12</f>
        <v>0.27608407172087063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3.9435127334765419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69.782764209544908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1.05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3.85</v>
      </c>
      <c r="H186" s="66">
        <f t="shared" si="110"/>
        <v>241.26666666666665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18.829999999999643</v>
      </c>
      <c r="O186" s="13">
        <f>N186*VLOOKUP('Données projet'!$B$9,Paramètres!$A$1:$I$89,3,0)*VLOOKUP('Données projet'!$B$9,Paramètres!$A$1:$I$89,5,0)</f>
        <v>17.037383999999676</v>
      </c>
      <c r="P186" s="13">
        <f t="shared" si="141"/>
        <v>5.644424624466958</v>
      </c>
      <c r="Q186" s="20">
        <f t="shared" si="162"/>
        <v>39.504150020946049</v>
      </c>
      <c r="R186" s="59">
        <f t="shared" si="109"/>
        <v>332.05477015870309</v>
      </c>
      <c r="S186" s="59">
        <f ca="1">AVERAGE(OFFSET($R$3,0,0,'Données projet'!$E$9+1,1))-AVERAGE(OFFSET($H$3,0,0,'Données projet'!$E$9+1,1))</f>
        <v>480.34707165277229</v>
      </c>
      <c r="T186" s="59">
        <f t="shared" si="142"/>
        <v>217.17128038304531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144.97550028843088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144.97550028843088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20.08734000000041</v>
      </c>
      <c r="AK186" s="13">
        <f t="shared" si="164"/>
        <v>6.5285137703520215</v>
      </c>
      <c r="AL186" s="20">
        <f t="shared" si="165"/>
        <v>46.355945316697152</v>
      </c>
      <c r="AM186" s="59">
        <f t="shared" si="113"/>
        <v>338.90656545445421</v>
      </c>
      <c r="AN186" s="59">
        <f ca="1">AVERAGE(OFFSET($AM$3,0,0,'Données projet'!$E$10+1,1))-AVERAGE(OFFSET($H$3,0,0,'Données projet'!$E$10+1,1))</f>
        <v>596.64394969449609</v>
      </c>
      <c r="AO186" s="59">
        <f t="shared" si="144"/>
        <v>312.55704723516362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110.8792962271029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110.8792962271029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212.28480000000002</v>
      </c>
      <c r="BF186" s="13">
        <f t="shared" si="167"/>
        <v>52.434557099704193</v>
      </c>
      <c r="BG186" s="20">
        <f t="shared" si="168"/>
        <v>461.05288028198476</v>
      </c>
      <c r="BH186" s="59">
        <f t="shared" si="116"/>
        <v>753.60350041974175</v>
      </c>
      <c r="BI186" s="59">
        <f ca="1">AVERAGE(OFFSET($BH$3,0,0,'Données projet'!$E$11+1,1))-AVERAGE(OFFSET($H$3,0,0,'Données projet'!$E$11+1,1))</f>
        <v>360.53625471540249</v>
      </c>
      <c r="BJ186" s="59">
        <f t="shared" si="146"/>
        <v>326.66299410556076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10.849061211987094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10.849061211987094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253.79640000000001</v>
      </c>
      <c r="CA186" s="13">
        <f t="shared" si="170"/>
        <v>61.39816832228076</v>
      </c>
      <c r="CB186" s="20">
        <f t="shared" si="171"/>
        <v>548.96387316130563</v>
      </c>
      <c r="CC186" s="59">
        <f t="shared" si="119"/>
        <v>841.51449329906268</v>
      </c>
      <c r="CD186" s="59">
        <f ca="1">AVERAGE(OFFSET($CC$3,0,0,'Données projet'!$E$12+1,1))-AVERAGE(OFFSET($H$3,0,0,'Données projet'!$E$12+1,1))</f>
        <v>358.39045200457502</v>
      </c>
      <c r="CE186" s="59">
        <f t="shared" si="148"/>
        <v>349.48764057925109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6.9145511260982344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6.9145511260982344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210.25641025641013</v>
      </c>
      <c r="CU186" s="17">
        <f>CT186*VLOOKUP('Données projet'!$B$13,Paramètres!$A$1:$I$89,3,0)*VLOOKUP('Données projet'!$B$13,Paramètres!$A$1:$I$89,5,0)</f>
        <v>163.99999999999991</v>
      </c>
      <c r="CV186" s="13">
        <f t="shared" si="173"/>
        <v>41.743425908362248</v>
      </c>
      <c r="CW186" s="20">
        <f t="shared" si="174"/>
        <v>358.33646679039742</v>
      </c>
      <c r="CX186" s="59">
        <f t="shared" si="122"/>
        <v>650.88708692815453</v>
      </c>
      <c r="CY186" s="59">
        <f ca="1">AVERAGE(OFFSET($CX$3,0,0,'Données projet'!$E$13+1,1))-AVERAGE(OFFSET($H$3,0,0,'Données projet'!$E$13+1,1))</f>
        <v>201.71903756761543</v>
      </c>
      <c r="CZ186" s="59">
        <f t="shared" si="150"/>
        <v>200.66422845182711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3.3778282728591336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3.3778282728591336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18.829999999999643</v>
      </c>
      <c r="DP186" s="17">
        <f>DO186*VLOOKUP('Données projet'!$B$14,Paramètres!$A$1:$I$89,3,0)*VLOOKUP('Données projet'!$B$14,Paramètres!$A$1:$I$89,5,0)</f>
        <v>17.918627999999661</v>
      </c>
      <c r="DQ186" s="13">
        <f t="shared" si="176"/>
        <v>5.9016322671185755</v>
      </c>
      <c r="DR186" s="20">
        <f t="shared" si="177"/>
        <v>41.486953298564259</v>
      </c>
      <c r="DS186" s="59">
        <f t="shared" si="125"/>
        <v>334.03757343632128</v>
      </c>
      <c r="DT186" s="59">
        <f ca="1">AVERAGE(OFFSET($DS$3,0,0,'Données projet'!$E$14+1,1))-AVERAGE(OFFSET($H$3,0,0,'Données projet'!$E$14+1,1))</f>
        <v>502.4879901989737</v>
      </c>
      <c r="DU186" s="59">
        <f t="shared" si="152"/>
        <v>226.06453328626355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152.47423306197049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152.47423306197049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-3.2543994166189806E-14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192.76157155207764</v>
      </c>
      <c r="EP186" s="59">
        <f t="shared" si="154"/>
        <v>413.66427458788348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3.5955126226092498</v>
      </c>
      <c r="EW186" s="21">
        <f>EXP(-LN(2)/25)*EW185+(1-EXP(-LN(2)/25))/(LN(2)/25)*Calculateur!ER186*Calculateur!ET186*VLOOKUP('Données projet'!$B$15,Paramètres!$A$1:$I$89,3,0)*0.475*44/12</f>
        <v>0.26853453826103307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3.8640471608702827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69.786532764842832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1.05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3.85</v>
      </c>
      <c r="H187" s="66">
        <f t="shared" si="110"/>
        <v>241.26666666666665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18.829999999999643</v>
      </c>
      <c r="O187" s="13">
        <f>N187*VLOOKUP('Données projet'!$B$9,Paramètres!$A$1:$I$89,3,0)*VLOOKUP('Données projet'!$B$9,Paramètres!$A$1:$I$89,5,0)</f>
        <v>17.037383999999676</v>
      </c>
      <c r="P187" s="13">
        <f t="shared" si="141"/>
        <v>5.644424624466958</v>
      </c>
      <c r="Q187" s="20">
        <f t="shared" si="162"/>
        <v>39.504150020946049</v>
      </c>
      <c r="R187" s="59">
        <f t="shared" si="109"/>
        <v>332.06834848276179</v>
      </c>
      <c r="S187" s="59">
        <f ca="1">AVERAGE(OFFSET($R$3,0,0,'Données projet'!$E$9+1,1))-AVERAGE(OFFSET($H$3,0,0,'Données projet'!$E$9+1,1))</f>
        <v>480.34707165277229</v>
      </c>
      <c r="T187" s="59">
        <f t="shared" si="142"/>
        <v>217.17128038304531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142.13261915409856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142.13261915409856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20.08734000000041</v>
      </c>
      <c r="AK187" s="13">
        <f t="shared" si="164"/>
        <v>6.5285137703520215</v>
      </c>
      <c r="AL187" s="20">
        <f t="shared" si="165"/>
        <v>46.355945316697152</v>
      </c>
      <c r="AM187" s="59">
        <f t="shared" si="113"/>
        <v>338.92014377851291</v>
      </c>
      <c r="AN187" s="59">
        <f ca="1">AVERAGE(OFFSET($AM$3,0,0,'Données projet'!$E$10+1,1))-AVERAGE(OFFSET($H$3,0,0,'Données projet'!$E$10+1,1))</f>
        <v>596.64394969449609</v>
      </c>
      <c r="AO187" s="59">
        <f t="shared" si="144"/>
        <v>312.55704723516362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108.70502085778223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108.70502085778223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212.28480000000002</v>
      </c>
      <c r="BF187" s="13">
        <f t="shared" si="167"/>
        <v>52.434557099704193</v>
      </c>
      <c r="BG187" s="20">
        <f t="shared" si="168"/>
        <v>461.05288028198476</v>
      </c>
      <c r="BH187" s="59">
        <f t="shared" si="116"/>
        <v>753.61707874380045</v>
      </c>
      <c r="BI187" s="59">
        <f ca="1">AVERAGE(OFFSET($BH$3,0,0,'Données projet'!$E$11+1,1))-AVERAGE(OFFSET($H$3,0,0,'Données projet'!$E$11+1,1))</f>
        <v>360.53625471540249</v>
      </c>
      <c r="BJ187" s="59">
        <f t="shared" si="146"/>
        <v>326.66299410556076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10.636317738893965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10.636317738893965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253.79640000000001</v>
      </c>
      <c r="CA187" s="13">
        <f t="shared" si="170"/>
        <v>61.39816832228076</v>
      </c>
      <c r="CB187" s="20">
        <f t="shared" si="171"/>
        <v>548.96387316130563</v>
      </c>
      <c r="CC187" s="59">
        <f t="shared" si="119"/>
        <v>841.52807162312138</v>
      </c>
      <c r="CD187" s="59">
        <f ca="1">AVERAGE(OFFSET($CC$3,0,0,'Données projet'!$E$12+1,1))-AVERAGE(OFFSET($H$3,0,0,'Données projet'!$E$12+1,1))</f>
        <v>358.39045200457502</v>
      </c>
      <c r="CE187" s="59">
        <f t="shared" si="148"/>
        <v>349.48764057925109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6.7789609959751953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6.7789609959751953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210.25641025641013</v>
      </c>
      <c r="CU187" s="17">
        <f>CT187*VLOOKUP('Données projet'!$B$13,Paramètres!$A$1:$I$89,3,0)*VLOOKUP('Données projet'!$B$13,Paramètres!$A$1:$I$89,5,0)</f>
        <v>163.99999999999991</v>
      </c>
      <c r="CV187" s="13">
        <f t="shared" si="173"/>
        <v>41.743425908362248</v>
      </c>
      <c r="CW187" s="20">
        <f t="shared" si="174"/>
        <v>358.33646679039742</v>
      </c>
      <c r="CX187" s="59">
        <f t="shared" si="122"/>
        <v>650.90066525221323</v>
      </c>
      <c r="CY187" s="59">
        <f ca="1">AVERAGE(OFFSET($CX$3,0,0,'Données projet'!$E$13+1,1))-AVERAGE(OFFSET($H$3,0,0,'Données projet'!$E$13+1,1))</f>
        <v>201.71903756761543</v>
      </c>
      <c r="CZ187" s="59">
        <f t="shared" si="150"/>
        <v>200.66422845182711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3.3115911207001774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3.3115911207001774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18.829999999999643</v>
      </c>
      <c r="DP187" s="17">
        <f>DO187*VLOOKUP('Données projet'!$B$14,Paramètres!$A$1:$I$89,3,0)*VLOOKUP('Données projet'!$B$14,Paramètres!$A$1:$I$89,5,0)</f>
        <v>17.918627999999661</v>
      </c>
      <c r="DQ187" s="13">
        <f t="shared" si="176"/>
        <v>5.9016322671185755</v>
      </c>
      <c r="DR187" s="20">
        <f t="shared" si="177"/>
        <v>41.486953298564259</v>
      </c>
      <c r="DS187" s="59">
        <f t="shared" si="125"/>
        <v>334.05115176037998</v>
      </c>
      <c r="DT187" s="59">
        <f ca="1">AVERAGE(OFFSET($DS$3,0,0,'Données projet'!$E$14+1,1))-AVERAGE(OFFSET($H$3,0,0,'Données projet'!$E$14+1,1))</f>
        <v>502.4879901989737</v>
      </c>
      <c r="DU187" s="59">
        <f t="shared" si="152"/>
        <v>226.06453328626355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149.48430635172443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149.48430635172443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-3.2543994166189806E-14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192.76157155207764</v>
      </c>
      <c r="EP187" s="59">
        <f t="shared" si="154"/>
        <v>413.66427458788348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3.525006813126037</v>
      </c>
      <c r="EW187" s="21">
        <f>EXP(-LN(2)/25)*EW186+(1-EXP(-LN(2)/25))/(LN(2)/25)*Calculateur!ER187*Calculateur!ET187*VLOOKUP('Données projet'!$B$15,Paramètres!$A$1:$I$89,3,0)*0.475*44/12</f>
        <v>0.2611914471906675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3.7861982603167044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69.790235944131567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1.05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3.85</v>
      </c>
      <c r="H188" s="66">
        <f t="shared" si="110"/>
        <v>241.26666666666665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18.829999999999643</v>
      </c>
      <c r="O188" s="13">
        <f>N188*VLOOKUP('Données projet'!$B$9,Paramètres!$A$1:$I$89,3,0)*VLOOKUP('Données projet'!$B$9,Paramètres!$A$1:$I$89,5,0)</f>
        <v>17.037383999999676</v>
      </c>
      <c r="P188" s="13">
        <f t="shared" si="141"/>
        <v>5.644424624466958</v>
      </c>
      <c r="Q188" s="20">
        <f t="shared" si="162"/>
        <v>39.504150020946049</v>
      </c>
      <c r="R188" s="59">
        <f t="shared" si="109"/>
        <v>332.08169125325469</v>
      </c>
      <c r="S188" s="59">
        <f ca="1">AVERAGE(OFFSET($R$3,0,0,'Données projet'!$E$9+1,1))-AVERAGE(OFFSET($H$3,0,0,'Données projet'!$E$9+1,1))</f>
        <v>480.34707165277229</v>
      </c>
      <c r="T188" s="59">
        <f t="shared" si="142"/>
        <v>217.17128038304531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139.34548518482421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139.34548518482421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20.08734000000041</v>
      </c>
      <c r="AK188" s="13">
        <f t="shared" si="164"/>
        <v>6.5285137703520215</v>
      </c>
      <c r="AL188" s="20">
        <f t="shared" si="165"/>
        <v>46.355945316697152</v>
      </c>
      <c r="AM188" s="59">
        <f t="shared" si="113"/>
        <v>338.93348654900581</v>
      </c>
      <c r="AN188" s="59">
        <f ca="1">AVERAGE(OFFSET($AM$3,0,0,'Données projet'!$E$10+1,1))-AVERAGE(OFFSET($H$3,0,0,'Données projet'!$E$10+1,1))</f>
        <v>596.64394969449609</v>
      </c>
      <c r="AO188" s="59">
        <f t="shared" si="144"/>
        <v>312.55704723516362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106.57338170227692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106.57338170227692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212.28480000000002</v>
      </c>
      <c r="BF188" s="13">
        <f t="shared" si="167"/>
        <v>52.434557099704193</v>
      </c>
      <c r="BG188" s="20">
        <f t="shared" si="168"/>
        <v>461.05288028198476</v>
      </c>
      <c r="BH188" s="59">
        <f t="shared" si="116"/>
        <v>753.6304215142934</v>
      </c>
      <c r="BI188" s="59">
        <f ca="1">AVERAGE(OFFSET($BH$3,0,0,'Données projet'!$E$11+1,1))-AVERAGE(OFFSET($H$3,0,0,'Données projet'!$E$11+1,1))</f>
        <v>360.53625471540249</v>
      </c>
      <c r="BJ188" s="59">
        <f t="shared" si="146"/>
        <v>326.66299410556076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10.427746035547486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10.427746035547486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253.79640000000001</v>
      </c>
      <c r="CA188" s="13">
        <f t="shared" si="170"/>
        <v>61.39816832228076</v>
      </c>
      <c r="CB188" s="20">
        <f t="shared" si="171"/>
        <v>548.96387316130563</v>
      </c>
      <c r="CC188" s="59">
        <f t="shared" si="119"/>
        <v>841.54141439361433</v>
      </c>
      <c r="CD188" s="59">
        <f ca="1">AVERAGE(OFFSET($CC$3,0,0,'Données projet'!$E$12+1,1))-AVERAGE(OFFSET($H$3,0,0,'Données projet'!$E$12+1,1))</f>
        <v>358.39045200457502</v>
      </c>
      <c r="CE188" s="59">
        <f t="shared" si="148"/>
        <v>349.48764057925109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6.6460297056020554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6.6460297056020554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210.25641025641013</v>
      </c>
      <c r="CU188" s="17">
        <f>CT188*VLOOKUP('Données projet'!$B$13,Paramètres!$A$1:$I$89,3,0)*VLOOKUP('Données projet'!$B$13,Paramètres!$A$1:$I$89,5,0)</f>
        <v>163.99999999999991</v>
      </c>
      <c r="CV188" s="13">
        <f t="shared" si="173"/>
        <v>41.743425908362248</v>
      </c>
      <c r="CW188" s="20">
        <f t="shared" si="174"/>
        <v>358.33646679039742</v>
      </c>
      <c r="CX188" s="59">
        <f t="shared" si="122"/>
        <v>650.91400802270607</v>
      </c>
      <c r="CY188" s="59">
        <f ca="1">AVERAGE(OFFSET($CX$3,0,0,'Données projet'!$E$13+1,1))-AVERAGE(OFFSET($H$3,0,0,'Données projet'!$E$13+1,1))</f>
        <v>201.71903756761543</v>
      </c>
      <c r="CZ188" s="59">
        <f t="shared" si="150"/>
        <v>200.66422845182711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3.2466528386943847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3.2466528386943847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18.829999999999643</v>
      </c>
      <c r="DP188" s="17">
        <f>DO188*VLOOKUP('Données projet'!$B$14,Paramètres!$A$1:$I$89,3,0)*VLOOKUP('Données projet'!$B$14,Paramètres!$A$1:$I$89,5,0)</f>
        <v>17.918627999999661</v>
      </c>
      <c r="DQ188" s="13">
        <f t="shared" si="176"/>
        <v>5.9016322671185755</v>
      </c>
      <c r="DR188" s="20">
        <f t="shared" si="177"/>
        <v>41.486953298564259</v>
      </c>
      <c r="DS188" s="59">
        <f t="shared" si="125"/>
        <v>334.06449453087293</v>
      </c>
      <c r="DT188" s="59">
        <f ca="1">AVERAGE(OFFSET($DS$3,0,0,'Données projet'!$E$14+1,1))-AVERAGE(OFFSET($H$3,0,0,'Données projet'!$E$14+1,1))</f>
        <v>502.4879901989737</v>
      </c>
      <c r="DU188" s="59">
        <f t="shared" si="152"/>
        <v>226.06453328626355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146.55301028059105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146.55301028059105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-3.2543994166189806E-14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192.76157155207764</v>
      </c>
      <c r="EP188" s="59">
        <f t="shared" si="154"/>
        <v>413.66427458788348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3.4558835795624923</v>
      </c>
      <c r="EW188" s="21">
        <f>EXP(-LN(2)/25)*EW187+(1-EXP(-LN(2)/25))/(LN(2)/25)*Calculateur!ER188*Calculateur!ET188*VLOOKUP('Données projet'!$B$15,Paramètres!$A$1:$I$89,3,0)*0.475*44/12</f>
        <v>0.25404915333177747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3.7099327328942699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69.793874881538713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1.05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3.85</v>
      </c>
      <c r="H189" s="66">
        <f t="shared" si="110"/>
        <v>241.26666666666665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18.829999999999643</v>
      </c>
      <c r="O189" s="13">
        <f>N189*VLOOKUP('Données projet'!$B$9,Paramètres!$A$1:$I$89,3,0)*VLOOKUP('Données projet'!$B$9,Paramètres!$A$1:$I$89,5,0)</f>
        <v>17.037383999999676</v>
      </c>
      <c r="P189" s="13">
        <f t="shared" si="141"/>
        <v>5.644424624466958</v>
      </c>
      <c r="Q189" s="20">
        <f t="shared" si="162"/>
        <v>39.504150020946049</v>
      </c>
      <c r="R189" s="59">
        <f t="shared" si="109"/>
        <v>332.09480255650948</v>
      </c>
      <c r="S189" s="59">
        <f ca="1">AVERAGE(OFFSET($R$3,0,0,'Données projet'!$E$9+1,1))-AVERAGE(OFFSET($H$3,0,0,'Données projet'!$E$9+1,1))</f>
        <v>480.34707165277229</v>
      </c>
      <c r="T189" s="59">
        <f t="shared" si="142"/>
        <v>217.17128038304531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136.61300521270348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136.61300521270348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20.08734000000041</v>
      </c>
      <c r="AK189" s="13">
        <f t="shared" si="164"/>
        <v>6.5285137703520215</v>
      </c>
      <c r="AL189" s="20">
        <f t="shared" si="165"/>
        <v>46.355945316697152</v>
      </c>
      <c r="AM189" s="59">
        <f t="shared" si="113"/>
        <v>338.9465978522606</v>
      </c>
      <c r="AN189" s="59">
        <f ca="1">AVERAGE(OFFSET($AM$3,0,0,'Données projet'!$E$10+1,1))-AVERAGE(OFFSET($H$3,0,0,'Données projet'!$E$10+1,1))</f>
        <v>596.64394969449609</v>
      </c>
      <c r="AO189" s="59">
        <f t="shared" si="144"/>
        <v>312.55704723516362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104.48354269043956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104.48354269043956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212.28480000000002</v>
      </c>
      <c r="BF189" s="13">
        <f t="shared" si="167"/>
        <v>52.434557099704193</v>
      </c>
      <c r="BG189" s="20">
        <f t="shared" si="168"/>
        <v>461.05288028198476</v>
      </c>
      <c r="BH189" s="59">
        <f t="shared" si="116"/>
        <v>753.64353281754825</v>
      </c>
      <c r="BI189" s="59">
        <f ca="1">AVERAGE(OFFSET($BH$3,0,0,'Données projet'!$E$11+1,1))-AVERAGE(OFFSET($H$3,0,0,'Données projet'!$E$11+1,1))</f>
        <v>360.53625471540249</v>
      </c>
      <c r="BJ189" s="59">
        <f t="shared" si="146"/>
        <v>326.66299410556076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10.223264296087454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10.223264296087454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253.79640000000001</v>
      </c>
      <c r="CA189" s="13">
        <f t="shared" si="170"/>
        <v>61.39816832228076</v>
      </c>
      <c r="CB189" s="20">
        <f t="shared" si="171"/>
        <v>548.96387316130563</v>
      </c>
      <c r="CC189" s="59">
        <f t="shared" si="119"/>
        <v>841.55452569686906</v>
      </c>
      <c r="CD189" s="59">
        <f ca="1">AVERAGE(OFFSET($CC$3,0,0,'Données projet'!$E$12+1,1))-AVERAGE(OFFSET($H$3,0,0,'Données projet'!$E$12+1,1))</f>
        <v>358.39045200457502</v>
      </c>
      <c r="CE189" s="59">
        <f t="shared" si="148"/>
        <v>349.48764057925109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6.5157051167530522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6.5157051167530522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210.25641025641013</v>
      </c>
      <c r="CU189" s="17">
        <f>CT189*VLOOKUP('Données projet'!$B$13,Paramètres!$A$1:$I$89,3,0)*VLOOKUP('Données projet'!$B$13,Paramètres!$A$1:$I$89,5,0)</f>
        <v>163.99999999999991</v>
      </c>
      <c r="CV189" s="13">
        <f t="shared" si="173"/>
        <v>41.743425908362248</v>
      </c>
      <c r="CW189" s="20">
        <f t="shared" si="174"/>
        <v>358.33646679039742</v>
      </c>
      <c r="CX189" s="59">
        <f t="shared" si="122"/>
        <v>650.9271193259608</v>
      </c>
      <c r="CY189" s="59">
        <f ca="1">AVERAGE(OFFSET($CX$3,0,0,'Données projet'!$E$13+1,1))-AVERAGE(OFFSET($H$3,0,0,'Données projet'!$E$13+1,1))</f>
        <v>201.71903756761543</v>
      </c>
      <c r="CZ189" s="59">
        <f t="shared" si="150"/>
        <v>200.66422845182711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3.1829879567902846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3.1829879567902846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18.829999999999643</v>
      </c>
      <c r="DP189" s="17">
        <f>DO189*VLOOKUP('Données projet'!$B$14,Paramètres!$A$1:$I$89,3,0)*VLOOKUP('Données projet'!$B$14,Paramètres!$A$1:$I$89,5,0)</f>
        <v>17.918627999999661</v>
      </c>
      <c r="DQ189" s="13">
        <f t="shared" si="176"/>
        <v>5.9016322671185755</v>
      </c>
      <c r="DR189" s="20">
        <f t="shared" si="177"/>
        <v>41.486953298564259</v>
      </c>
      <c r="DS189" s="59">
        <f t="shared" si="125"/>
        <v>334.07760583412767</v>
      </c>
      <c r="DT189" s="59">
        <f ca="1">AVERAGE(OFFSET($DS$3,0,0,'Données projet'!$E$14+1,1))-AVERAGE(OFFSET($H$3,0,0,'Données projet'!$E$14+1,1))</f>
        <v>502.4879901989737</v>
      </c>
      <c r="DU189" s="59">
        <f t="shared" si="152"/>
        <v>226.06453328626355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143.67919513749854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143.67919513749854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-3.2543994166189806E-14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192.76157155207764</v>
      </c>
      <c r="EP189" s="59">
        <f t="shared" si="154"/>
        <v>413.66427458788348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3.3881158104481193</v>
      </c>
      <c r="EW189" s="21">
        <f>EXP(-LN(2)/25)*EW188+(1-EXP(-LN(2)/25))/(LN(2)/25)*Calculateur!ER189*Calculateur!ET189*VLOOKUP('Données projet'!$B$15,Paramètres!$A$1:$I$89,3,0)*0.475*44/12</f>
        <v>0.24710216587405567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3.635217976322175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69.797450691517298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1.05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3.85</v>
      </c>
      <c r="H190" s="66">
        <f t="shared" si="110"/>
        <v>241.26666666666665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18.829999999999643</v>
      </c>
      <c r="O190" s="13">
        <f>N190*VLOOKUP('Données projet'!$B$9,Paramètres!$A$1:$I$89,3,0)*VLOOKUP('Données projet'!$B$9,Paramètres!$A$1:$I$89,5,0)</f>
        <v>17.037383999999676</v>
      </c>
      <c r="P190" s="13">
        <f t="shared" si="141"/>
        <v>5.644424624466958</v>
      </c>
      <c r="Q190" s="20">
        <f t="shared" si="162"/>
        <v>39.504150020946049</v>
      </c>
      <c r="R190" s="59">
        <f t="shared" si="109"/>
        <v>332.10768640796522</v>
      </c>
      <c r="S190" s="59">
        <f ca="1">AVERAGE(OFFSET($R$3,0,0,'Données projet'!$E$9+1,1))-AVERAGE(OFFSET($H$3,0,0,'Données projet'!$E$9+1,1))</f>
        <v>480.34707165277229</v>
      </c>
      <c r="T190" s="59">
        <f t="shared" si="142"/>
        <v>217.17128038304531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133.93410750618781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133.93410750618781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20.08734000000041</v>
      </c>
      <c r="AK190" s="13">
        <f t="shared" si="164"/>
        <v>6.5285137703520215</v>
      </c>
      <c r="AL190" s="20">
        <f t="shared" si="165"/>
        <v>46.355945316697152</v>
      </c>
      <c r="AM190" s="59">
        <f t="shared" si="113"/>
        <v>338.95948170371634</v>
      </c>
      <c r="AN190" s="59">
        <f ca="1">AVERAGE(OFFSET($AM$3,0,0,'Données projet'!$E$10+1,1))-AVERAGE(OFFSET($H$3,0,0,'Données projet'!$E$10+1,1))</f>
        <v>596.64394969449609</v>
      </c>
      <c r="AO190" s="59">
        <f t="shared" si="144"/>
        <v>312.55704723516362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102.4346841469484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102.4346841469484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212.28480000000002</v>
      </c>
      <c r="BF190" s="13">
        <f t="shared" si="167"/>
        <v>52.434557099704193</v>
      </c>
      <c r="BG190" s="20">
        <f t="shared" si="168"/>
        <v>461.05288028198476</v>
      </c>
      <c r="BH190" s="59">
        <f t="shared" si="116"/>
        <v>753.65641666900387</v>
      </c>
      <c r="BI190" s="59">
        <f ca="1">AVERAGE(OFFSET($BH$3,0,0,'Données projet'!$E$11+1,1))-AVERAGE(OFFSET($H$3,0,0,'Données projet'!$E$11+1,1))</f>
        <v>360.53625471540249</v>
      </c>
      <c r="BJ190" s="59">
        <f t="shared" si="146"/>
        <v>326.66299410556076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10.022792318816688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10.022792318816688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253.79640000000001</v>
      </c>
      <c r="CA190" s="13">
        <f t="shared" si="170"/>
        <v>61.39816832228076</v>
      </c>
      <c r="CB190" s="20">
        <f t="shared" si="171"/>
        <v>548.96387316130563</v>
      </c>
      <c r="CC190" s="59">
        <f t="shared" si="119"/>
        <v>841.5674095483248</v>
      </c>
      <c r="CD190" s="59">
        <f ca="1">AVERAGE(OFFSET($CC$3,0,0,'Données projet'!$E$12+1,1))-AVERAGE(OFFSET($H$3,0,0,'Données projet'!$E$12+1,1))</f>
        <v>358.39045200457502</v>
      </c>
      <c r="CE190" s="59">
        <f t="shared" si="148"/>
        <v>349.48764057925109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6.3879361136012278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6.3879361136012278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210.25641025641013</v>
      </c>
      <c r="CU190" s="17">
        <f>CT190*VLOOKUP('Données projet'!$B$13,Paramètres!$A$1:$I$89,3,0)*VLOOKUP('Données projet'!$B$13,Paramètres!$A$1:$I$89,5,0)</f>
        <v>163.99999999999991</v>
      </c>
      <c r="CV190" s="13">
        <f t="shared" si="173"/>
        <v>41.743425908362248</v>
      </c>
      <c r="CW190" s="20">
        <f t="shared" si="174"/>
        <v>358.33646679039742</v>
      </c>
      <c r="CX190" s="59">
        <f t="shared" si="122"/>
        <v>650.94000317741666</v>
      </c>
      <c r="CY190" s="59">
        <f ca="1">AVERAGE(OFFSET($CX$3,0,0,'Données projet'!$E$13+1,1))-AVERAGE(OFFSET($H$3,0,0,'Données projet'!$E$13+1,1))</f>
        <v>201.71903756761543</v>
      </c>
      <c r="CZ190" s="59">
        <f t="shared" si="150"/>
        <v>200.66422845182711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3.1205715043885802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3.1205715043885802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18.829999999999643</v>
      </c>
      <c r="DP190" s="17">
        <f>DO190*VLOOKUP('Données projet'!$B$14,Paramètres!$A$1:$I$89,3,0)*VLOOKUP('Données projet'!$B$14,Paramètres!$A$1:$I$89,5,0)</f>
        <v>17.918627999999661</v>
      </c>
      <c r="DQ190" s="13">
        <f t="shared" si="176"/>
        <v>5.9016322671185755</v>
      </c>
      <c r="DR190" s="20">
        <f t="shared" si="177"/>
        <v>41.486953298564259</v>
      </c>
      <c r="DS190" s="59">
        <f t="shared" si="125"/>
        <v>334.09048968558341</v>
      </c>
      <c r="DT190" s="59">
        <f ca="1">AVERAGE(OFFSET($DS$3,0,0,'Données projet'!$E$14+1,1))-AVERAGE(OFFSET($H$3,0,0,'Données projet'!$E$14+1,1))</f>
        <v>502.4879901989737</v>
      </c>
      <c r="DU190" s="59">
        <f t="shared" si="152"/>
        <v>226.06453328626355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140.86173375650793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140.86173375650793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-3.2543994166189806E-14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192.76157155207764</v>
      </c>
      <c r="EP190" s="59">
        <f t="shared" si="154"/>
        <v>413.66427458788348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3.3216769259518215</v>
      </c>
      <c r="EW190" s="21">
        <f>EXP(-LN(2)/25)*EW189+(1-EXP(-LN(2)/25))/(LN(2)/25)*Calculateur!ER190*Calculateur!ET190*VLOOKUP('Données projet'!$B$15,Paramètres!$A$1:$I$89,3,0)*0.475*44/12</f>
        <v>0.24034514415369149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3.5620220701055132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69.800964469187051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1.05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3.85</v>
      </c>
      <c r="H191" s="66">
        <f t="shared" si="110"/>
        <v>241.26666666666665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18.829999999999643</v>
      </c>
      <c r="O191" s="13">
        <f>N191*VLOOKUP('Données projet'!$B$9,Paramètres!$A$1:$I$89,3,0)*VLOOKUP('Données projet'!$B$9,Paramètres!$A$1:$I$89,5,0)</f>
        <v>17.037383999999676</v>
      </c>
      <c r="P191" s="13">
        <f t="shared" si="141"/>
        <v>5.644424624466958</v>
      </c>
      <c r="Q191" s="20">
        <f t="shared" si="162"/>
        <v>39.504150020946049</v>
      </c>
      <c r="R191" s="59">
        <f t="shared" si="109"/>
        <v>332.12034675340226</v>
      </c>
      <c r="S191" s="59">
        <f ca="1">AVERAGE(OFFSET($R$3,0,0,'Données projet'!$E$9+1,1))-AVERAGE(OFFSET($H$3,0,0,'Données projet'!$E$9+1,1))</f>
        <v>480.34707165277229</v>
      </c>
      <c r="T191" s="59">
        <f t="shared" si="142"/>
        <v>217.17128038304531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131.30774134973066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131.30774134973066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20.08734000000041</v>
      </c>
      <c r="AK191" s="13">
        <f t="shared" si="164"/>
        <v>6.5285137703520215</v>
      </c>
      <c r="AL191" s="20">
        <f t="shared" si="165"/>
        <v>46.355945316697152</v>
      </c>
      <c r="AM191" s="59">
        <f t="shared" si="113"/>
        <v>338.97214204915338</v>
      </c>
      <c r="AN191" s="59">
        <f ca="1">AVERAGE(OFFSET($AM$3,0,0,'Données projet'!$E$10+1,1))-AVERAGE(OFFSET($H$3,0,0,'Données projet'!$E$10+1,1))</f>
        <v>596.64394969449609</v>
      </c>
      <c r="AO191" s="59">
        <f t="shared" si="144"/>
        <v>312.55704723516362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100.42600246981478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100.42600246981478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212.28480000000002</v>
      </c>
      <c r="BF191" s="13">
        <f t="shared" si="167"/>
        <v>52.434557099704193</v>
      </c>
      <c r="BG191" s="20">
        <f t="shared" si="168"/>
        <v>461.05288028198476</v>
      </c>
      <c r="BH191" s="59">
        <f t="shared" si="116"/>
        <v>753.66907701444097</v>
      </c>
      <c r="BI191" s="59">
        <f ca="1">AVERAGE(OFFSET($BH$3,0,0,'Données projet'!$E$11+1,1))-AVERAGE(OFFSET($H$3,0,0,'Données projet'!$E$11+1,1))</f>
        <v>360.53625471540249</v>
      </c>
      <c r="BJ191" s="59">
        <f t="shared" si="146"/>
        <v>326.66299410556076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9.8262514747443692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9.8262514747443692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253.79640000000001</v>
      </c>
      <c r="CA191" s="13">
        <f t="shared" si="170"/>
        <v>61.39816832228076</v>
      </c>
      <c r="CB191" s="20">
        <f t="shared" si="171"/>
        <v>548.96387316130563</v>
      </c>
      <c r="CC191" s="59">
        <f t="shared" si="119"/>
        <v>841.5800698937619</v>
      </c>
      <c r="CD191" s="59">
        <f ca="1">AVERAGE(OFFSET($CC$3,0,0,'Données projet'!$E$12+1,1))-AVERAGE(OFFSET($H$3,0,0,'Données projet'!$E$12+1,1))</f>
        <v>358.39045200457502</v>
      </c>
      <c r="CE191" s="59">
        <f t="shared" si="148"/>
        <v>349.48764057925109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6.262672582669814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6.262672582669814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210.25641025641013</v>
      </c>
      <c r="CU191" s="17">
        <f>CT191*VLOOKUP('Données projet'!$B$13,Paramètres!$A$1:$I$89,3,0)*VLOOKUP('Données projet'!$B$13,Paramètres!$A$1:$I$89,5,0)</f>
        <v>163.99999999999991</v>
      </c>
      <c r="CV191" s="13">
        <f t="shared" si="173"/>
        <v>41.743425908362248</v>
      </c>
      <c r="CW191" s="20">
        <f t="shared" si="174"/>
        <v>358.33646679039742</v>
      </c>
      <c r="CX191" s="59">
        <f t="shared" si="122"/>
        <v>650.95266352285364</v>
      </c>
      <c r="CY191" s="59">
        <f ca="1">AVERAGE(OFFSET($CX$3,0,0,'Données projet'!$E$13+1,1))-AVERAGE(OFFSET($H$3,0,0,'Données projet'!$E$13+1,1))</f>
        <v>201.71903756761543</v>
      </c>
      <c r="CZ191" s="59">
        <f t="shared" si="150"/>
        <v>200.66422845182711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3.0593790005481964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3.0593790005481964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18.829999999999643</v>
      </c>
      <c r="DP191" s="17">
        <f>DO191*VLOOKUP('Données projet'!$B$14,Paramètres!$A$1:$I$89,3,0)*VLOOKUP('Données projet'!$B$14,Paramètres!$A$1:$I$89,5,0)</f>
        <v>17.918627999999661</v>
      </c>
      <c r="DQ191" s="13">
        <f t="shared" si="176"/>
        <v>5.9016322671185755</v>
      </c>
      <c r="DR191" s="20">
        <f t="shared" si="177"/>
        <v>41.486953298564259</v>
      </c>
      <c r="DS191" s="59">
        <f t="shared" si="125"/>
        <v>334.1031500310205</v>
      </c>
      <c r="DT191" s="59">
        <f ca="1">AVERAGE(OFFSET($DS$3,0,0,'Données projet'!$E$14+1,1))-AVERAGE(OFFSET($H$3,0,0,'Données projet'!$E$14+1,1))</f>
        <v>502.4879901989737</v>
      </c>
      <c r="DU191" s="59">
        <f t="shared" si="152"/>
        <v>226.06453328626355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138.09952107471679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138.09952107471679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-3.2543994166189806E-14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192.76157155207764</v>
      </c>
      <c r="EP191" s="59">
        <f t="shared" si="154"/>
        <v>413.66427458788348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3.2565408674567782</v>
      </c>
      <c r="EW191" s="21">
        <f>EXP(-LN(2)/25)*EW190+(1-EXP(-LN(2)/25))/(LN(2)/25)*Calculateur!ER191*Calculateur!ET191*VLOOKUP('Données projet'!$B$15,Paramètres!$A$1:$I$89,3,0)*0.475*44/12</f>
        <v>0.23377289354760697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3.4903137610043853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69.804417290669875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1.05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3.85</v>
      </c>
      <c r="H192" s="66">
        <f t="shared" si="110"/>
        <v>241.26666666666665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18.829999999999643</v>
      </c>
      <c r="O192" s="13">
        <f>N192*VLOOKUP('Données projet'!$B$9,Paramètres!$A$1:$I$89,3,0)*VLOOKUP('Données projet'!$B$9,Paramètres!$A$1:$I$89,5,0)</f>
        <v>17.037383999999676</v>
      </c>
      <c r="P192" s="13">
        <f t="shared" si="141"/>
        <v>5.644424624466958</v>
      </c>
      <c r="Q192" s="20">
        <f t="shared" si="162"/>
        <v>39.504150020946049</v>
      </c>
      <c r="R192" s="59">
        <f t="shared" si="109"/>
        <v>332.13278747015022</v>
      </c>
      <c r="S192" s="59">
        <f ca="1">AVERAGE(OFFSET($R$3,0,0,'Données projet'!$E$9+1,1))-AVERAGE(OFFSET($H$3,0,0,'Données projet'!$E$9+1,1))</f>
        <v>480.34707165277229</v>
      </c>
      <c r="T192" s="59">
        <f t="shared" si="142"/>
        <v>217.17128038304531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128.73287663167645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128.73287663167645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20.08734000000041</v>
      </c>
      <c r="AK192" s="13">
        <f t="shared" si="164"/>
        <v>6.5285137703520215</v>
      </c>
      <c r="AL192" s="20">
        <f t="shared" si="165"/>
        <v>46.355945316697152</v>
      </c>
      <c r="AM192" s="59">
        <f t="shared" si="113"/>
        <v>338.98458276590134</v>
      </c>
      <c r="AN192" s="59">
        <f ca="1">AVERAGE(OFFSET($AM$3,0,0,'Données projet'!$E$10+1,1))-AVERAGE(OFFSET($H$3,0,0,'Données projet'!$E$10+1,1))</f>
        <v>596.64394969449609</v>
      </c>
      <c r="AO192" s="59">
        <f t="shared" si="144"/>
        <v>312.55704723516362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98.456709815194898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98.456709815194898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212.28480000000002</v>
      </c>
      <c r="BF192" s="13">
        <f t="shared" si="167"/>
        <v>52.434557099704193</v>
      </c>
      <c r="BG192" s="20">
        <f t="shared" si="168"/>
        <v>461.05288028198476</v>
      </c>
      <c r="BH192" s="59">
        <f t="shared" si="116"/>
        <v>753.68151773118893</v>
      </c>
      <c r="BI192" s="59">
        <f ca="1">AVERAGE(OFFSET($BH$3,0,0,'Données projet'!$E$11+1,1))-AVERAGE(OFFSET($H$3,0,0,'Données projet'!$E$11+1,1))</f>
        <v>360.53625471540249</v>
      </c>
      <c r="BJ192" s="59">
        <f t="shared" si="146"/>
        <v>326.66299410556076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9.6335646767462304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9.6335646767462304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253.79640000000001</v>
      </c>
      <c r="CA192" s="13">
        <f t="shared" si="170"/>
        <v>61.39816832228076</v>
      </c>
      <c r="CB192" s="20">
        <f t="shared" si="171"/>
        <v>548.96387316130563</v>
      </c>
      <c r="CC192" s="59">
        <f t="shared" si="119"/>
        <v>841.59251061050986</v>
      </c>
      <c r="CD192" s="59">
        <f ca="1">AVERAGE(OFFSET($CC$3,0,0,'Données projet'!$E$12+1,1))-AVERAGE(OFFSET($H$3,0,0,'Données projet'!$E$12+1,1))</f>
        <v>358.39045200457502</v>
      </c>
      <c r="CE192" s="59">
        <f t="shared" si="148"/>
        <v>349.48764057925109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6.1398653931767555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6.1398653931767555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210.25641025641013</v>
      </c>
      <c r="CU192" s="17">
        <f>CT192*VLOOKUP('Données projet'!$B$13,Paramètres!$A$1:$I$89,3,0)*VLOOKUP('Données projet'!$B$13,Paramètres!$A$1:$I$89,5,0)</f>
        <v>163.99999999999991</v>
      </c>
      <c r="CV192" s="13">
        <f t="shared" si="173"/>
        <v>41.743425908362248</v>
      </c>
      <c r="CW192" s="20">
        <f t="shared" si="174"/>
        <v>358.33646679039742</v>
      </c>
      <c r="CX192" s="59">
        <f t="shared" si="122"/>
        <v>650.9651042396016</v>
      </c>
      <c r="CY192" s="59">
        <f ca="1">AVERAGE(OFFSET($CX$3,0,0,'Données projet'!$E$13+1,1))-AVERAGE(OFFSET($H$3,0,0,'Données projet'!$E$13+1,1))</f>
        <v>201.71903756761543</v>
      </c>
      <c r="CZ192" s="59">
        <f t="shared" si="150"/>
        <v>200.66422845182711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2.9993864443843807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2.9993864443843807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18.829999999999643</v>
      </c>
      <c r="DP192" s="17">
        <f>DO192*VLOOKUP('Données projet'!$B$14,Paramètres!$A$1:$I$89,3,0)*VLOOKUP('Données projet'!$B$14,Paramètres!$A$1:$I$89,5,0)</f>
        <v>17.918627999999661</v>
      </c>
      <c r="DQ192" s="13">
        <f t="shared" si="176"/>
        <v>5.9016322671185755</v>
      </c>
      <c r="DR192" s="20">
        <f t="shared" si="177"/>
        <v>41.486953298564259</v>
      </c>
      <c r="DS192" s="59">
        <f t="shared" si="125"/>
        <v>334.11559074776847</v>
      </c>
      <c r="DT192" s="59">
        <f ca="1">AVERAGE(OFFSET($DS$3,0,0,'Données projet'!$E$14+1,1))-AVERAGE(OFFSET($H$3,0,0,'Données projet'!$E$14+1,1))</f>
        <v>502.4879901989737</v>
      </c>
      <c r="DU192" s="59">
        <f t="shared" si="152"/>
        <v>226.06453328626355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135.39147369883219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135.39147369883219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-3.2543994166189806E-14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192.76157155207764</v>
      </c>
      <c r="EP192" s="59">
        <f t="shared" si="154"/>
        <v>413.66427458788348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3.1926820873397497</v>
      </c>
      <c r="EW192" s="21">
        <f>EXP(-LN(2)/25)*EW191+(1-EXP(-LN(2)/25))/(LN(2)/25)*Calculateur!ER192*Calculateur!ET192*VLOOKUP('Données projet'!$B$15,Paramètres!$A$1:$I$89,3,0)*0.475*44/12</f>
        <v>0.22738036147996549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3.4200624488197153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69.807810213419316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1.05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3.85</v>
      </c>
      <c r="H193" s="66">
        <f t="shared" si="110"/>
        <v>241.26666666666665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18.829999999999643</v>
      </c>
      <c r="O193" s="13">
        <f>N193*VLOOKUP('Données projet'!$B$9,Paramètres!$A$1:$I$89,3,0)*VLOOKUP('Données projet'!$B$9,Paramètres!$A$1:$I$89,5,0)</f>
        <v>17.037383999999676</v>
      </c>
      <c r="P193" s="13">
        <f t="shared" si="141"/>
        <v>5.644424624466958</v>
      </c>
      <c r="Q193" s="20">
        <f t="shared" si="162"/>
        <v>39.504150020946049</v>
      </c>
      <c r="R193" s="59">
        <f t="shared" si="109"/>
        <v>332.14501236827584</v>
      </c>
      <c r="S193" s="59">
        <f ca="1">AVERAGE(OFFSET($R$3,0,0,'Données projet'!$E$9+1,1))-AVERAGE(OFFSET($H$3,0,0,'Données projet'!$E$9+1,1))</f>
        <v>480.34707165277229</v>
      </c>
      <c r="T193" s="59">
        <f t="shared" si="142"/>
        <v>217.17128038304531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126.20850344023088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126.20850344023088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20.08734000000041</v>
      </c>
      <c r="AK193" s="13">
        <f t="shared" si="164"/>
        <v>6.5285137703520215</v>
      </c>
      <c r="AL193" s="20">
        <f t="shared" si="165"/>
        <v>46.355945316697152</v>
      </c>
      <c r="AM193" s="59">
        <f t="shared" si="113"/>
        <v>338.99680766402696</v>
      </c>
      <c r="AN193" s="59">
        <f ca="1">AVERAGE(OFFSET($AM$3,0,0,'Données projet'!$E$10+1,1))-AVERAGE(OFFSET($H$3,0,0,'Données projet'!$E$10+1,1))</f>
        <v>596.64394969449609</v>
      </c>
      <c r="AO193" s="59">
        <f t="shared" si="144"/>
        <v>312.55704723516362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96.526033788382207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96.526033788382207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212.28480000000002</v>
      </c>
      <c r="BF193" s="13">
        <f t="shared" si="167"/>
        <v>52.434557099704193</v>
      </c>
      <c r="BG193" s="20">
        <f t="shared" si="168"/>
        <v>461.05288028198476</v>
      </c>
      <c r="BH193" s="59">
        <f t="shared" si="116"/>
        <v>753.69374262931456</v>
      </c>
      <c r="BI193" s="59">
        <f ca="1">AVERAGE(OFFSET($BH$3,0,0,'Données projet'!$E$11+1,1))-AVERAGE(OFFSET($H$3,0,0,'Données projet'!$E$11+1,1))</f>
        <v>360.53625471540249</v>
      </c>
      <c r="BJ193" s="59">
        <f t="shared" si="146"/>
        <v>326.66299410556076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9.4446563493294935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9.4446563493294935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253.79640000000001</v>
      </c>
      <c r="CA193" s="13">
        <f t="shared" si="170"/>
        <v>61.39816832228076</v>
      </c>
      <c r="CB193" s="20">
        <f t="shared" si="171"/>
        <v>548.96387316130563</v>
      </c>
      <c r="CC193" s="59">
        <f t="shared" si="119"/>
        <v>841.60473550863549</v>
      </c>
      <c r="CD193" s="59">
        <f ca="1">AVERAGE(OFFSET($CC$3,0,0,'Données projet'!$E$12+1,1))-AVERAGE(OFFSET($H$3,0,0,'Données projet'!$E$12+1,1))</f>
        <v>358.39045200457502</v>
      </c>
      <c r="CE193" s="59">
        <f t="shared" si="148"/>
        <v>349.48764057925109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6.0194663777646662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6.0194663777646662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210.25641025641013</v>
      </c>
      <c r="CU193" s="17">
        <f>CT193*VLOOKUP('Données projet'!$B$13,Paramètres!$A$1:$I$89,3,0)*VLOOKUP('Données projet'!$B$13,Paramètres!$A$1:$I$89,5,0)</f>
        <v>163.99999999999991</v>
      </c>
      <c r="CV193" s="13">
        <f t="shared" si="173"/>
        <v>41.743425908362248</v>
      </c>
      <c r="CW193" s="20">
        <f t="shared" si="174"/>
        <v>358.33646679039742</v>
      </c>
      <c r="CX193" s="59">
        <f t="shared" si="122"/>
        <v>650.97732913772722</v>
      </c>
      <c r="CY193" s="59">
        <f ca="1">AVERAGE(OFFSET($CX$3,0,0,'Données projet'!$E$13+1,1))-AVERAGE(OFFSET($H$3,0,0,'Données projet'!$E$13+1,1))</f>
        <v>201.71903756761543</v>
      </c>
      <c r="CZ193" s="59">
        <f t="shared" si="150"/>
        <v>200.66422845182711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2.9405703056550916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2.9405703056550916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18.829999999999643</v>
      </c>
      <c r="DP193" s="17">
        <f>DO193*VLOOKUP('Données projet'!$B$14,Paramètres!$A$1:$I$89,3,0)*VLOOKUP('Données projet'!$B$14,Paramètres!$A$1:$I$89,5,0)</f>
        <v>17.918627999999661</v>
      </c>
      <c r="DQ193" s="13">
        <f t="shared" si="176"/>
        <v>5.9016322671185755</v>
      </c>
      <c r="DR193" s="20">
        <f t="shared" si="177"/>
        <v>41.486953298564259</v>
      </c>
      <c r="DS193" s="59">
        <f t="shared" si="125"/>
        <v>334.12781564589409</v>
      </c>
      <c r="DT193" s="59">
        <f ca="1">AVERAGE(OFFSET($DS$3,0,0,'Données projet'!$E$14+1,1))-AVERAGE(OFFSET($H$3,0,0,'Données projet'!$E$14+1,1))</f>
        <v>502.4879901989737</v>
      </c>
      <c r="DU193" s="59">
        <f t="shared" si="152"/>
        <v>226.06453328626355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132.73652948024289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132.73652948024289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-3.2543994166189806E-14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192.76157155207764</v>
      </c>
      <c r="EP193" s="59">
        <f t="shared" si="154"/>
        <v>413.66427458788348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3.1300755389508064</v>
      </c>
      <c r="EW193" s="21">
        <f>EXP(-LN(2)/25)*EW192+(1-EXP(-LN(2)/25))/(LN(2)/25)*Calculateur!ER193*Calculateur!ET193*VLOOKUP('Données projet'!$B$15,Paramètres!$A$1:$I$89,3,0)*0.475*44/12</f>
        <v>0.22116263353788229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3.3512381724886886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69.811144276544496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1.05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3.85</v>
      </c>
      <c r="H194" s="66">
        <f t="shared" si="110"/>
        <v>241.26666666666665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18.829999999999643</v>
      </c>
      <c r="O194" s="13">
        <f>N194*VLOOKUP('Données projet'!$B$9,Paramètres!$A$1:$I$89,3,0)*VLOOKUP('Données projet'!$B$9,Paramètres!$A$1:$I$89,5,0)</f>
        <v>17.037383999999676</v>
      </c>
      <c r="P194" s="13">
        <f t="shared" si="141"/>
        <v>5.644424624466958</v>
      </c>
      <c r="Q194" s="20">
        <f t="shared" si="162"/>
        <v>39.504150020946049</v>
      </c>
      <c r="R194" s="59">
        <f t="shared" si="109"/>
        <v>332.15702519174988</v>
      </c>
      <c r="S194" s="59">
        <f ca="1">AVERAGE(OFFSET($R$3,0,0,'Données projet'!$E$9+1,1))-AVERAGE(OFFSET($H$3,0,0,'Données projet'!$E$9+1,1))</f>
        <v>480.34707165277229</v>
      </c>
      <c r="T194" s="59">
        <f t="shared" si="142"/>
        <v>217.17128038304531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123.73363166735395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123.73363166735395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20.08734000000041</v>
      </c>
      <c r="AK194" s="13">
        <f t="shared" si="164"/>
        <v>6.5285137703520215</v>
      </c>
      <c r="AL194" s="20">
        <f t="shared" si="165"/>
        <v>46.355945316697152</v>
      </c>
      <c r="AM194" s="59">
        <f t="shared" si="113"/>
        <v>339.008820487501</v>
      </c>
      <c r="AN194" s="59">
        <f ca="1">AVERAGE(OFFSET($AM$3,0,0,'Données projet'!$E$10+1,1))-AVERAGE(OFFSET($H$3,0,0,'Données projet'!$E$10+1,1))</f>
        <v>596.64394969449609</v>
      </c>
      <c r="AO194" s="59">
        <f t="shared" si="144"/>
        <v>312.55704723516362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94.633217140859216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94.633217140859216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212.28480000000002</v>
      </c>
      <c r="BF194" s="13">
        <f t="shared" si="167"/>
        <v>52.434557099704193</v>
      </c>
      <c r="BG194" s="20">
        <f t="shared" si="168"/>
        <v>461.05288028198476</v>
      </c>
      <c r="BH194" s="59">
        <f t="shared" si="116"/>
        <v>753.70575545278859</v>
      </c>
      <c r="BI194" s="59">
        <f ca="1">AVERAGE(OFFSET($BH$3,0,0,'Données projet'!$E$11+1,1))-AVERAGE(OFFSET($H$3,0,0,'Données projet'!$E$11+1,1))</f>
        <v>360.53625471540249</v>
      </c>
      <c r="BJ194" s="59">
        <f t="shared" si="146"/>
        <v>326.66299410556076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9.2594523989906961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9.2594523989906961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253.79640000000001</v>
      </c>
      <c r="CA194" s="13">
        <f t="shared" si="170"/>
        <v>61.39816832228076</v>
      </c>
      <c r="CB194" s="20">
        <f t="shared" si="171"/>
        <v>548.96387316130563</v>
      </c>
      <c r="CC194" s="59">
        <f t="shared" si="119"/>
        <v>841.61674833210941</v>
      </c>
      <c r="CD194" s="59">
        <f ca="1">AVERAGE(OFFSET($CC$3,0,0,'Données projet'!$E$12+1,1))-AVERAGE(OFFSET($H$3,0,0,'Données projet'!$E$12+1,1))</f>
        <v>358.39045200457502</v>
      </c>
      <c r="CE194" s="59">
        <f t="shared" si="148"/>
        <v>349.48764057925109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5.90142831360866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5.90142831360866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210.25641025641013</v>
      </c>
      <c r="CU194" s="17">
        <f>CT194*VLOOKUP('Données projet'!$B$13,Paramètres!$A$1:$I$89,3,0)*VLOOKUP('Données projet'!$B$13,Paramètres!$A$1:$I$89,5,0)</f>
        <v>163.99999999999991</v>
      </c>
      <c r="CV194" s="13">
        <f t="shared" si="173"/>
        <v>41.743425908362248</v>
      </c>
      <c r="CW194" s="20">
        <f t="shared" si="174"/>
        <v>358.33646679039742</v>
      </c>
      <c r="CX194" s="59">
        <f t="shared" si="122"/>
        <v>650.98934196120126</v>
      </c>
      <c r="CY194" s="59">
        <f ca="1">AVERAGE(OFFSET($CX$3,0,0,'Données projet'!$E$13+1,1))-AVERAGE(OFFSET($H$3,0,0,'Données projet'!$E$13+1,1))</f>
        <v>201.71903756761543</v>
      </c>
      <c r="CZ194" s="59">
        <f t="shared" si="150"/>
        <v>200.66422845182711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2.8829075155319814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2.8829075155319814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18.829999999999643</v>
      </c>
      <c r="DP194" s="17">
        <f>DO194*VLOOKUP('Données projet'!$B$14,Paramètres!$A$1:$I$89,3,0)*VLOOKUP('Données projet'!$B$14,Paramètres!$A$1:$I$89,5,0)</f>
        <v>17.918627999999661</v>
      </c>
      <c r="DQ194" s="13">
        <f t="shared" si="176"/>
        <v>5.9016322671185755</v>
      </c>
      <c r="DR194" s="20">
        <f t="shared" si="177"/>
        <v>41.486953298564259</v>
      </c>
      <c r="DS194" s="59">
        <f t="shared" si="125"/>
        <v>334.13982846936813</v>
      </c>
      <c r="DT194" s="59">
        <f ca="1">AVERAGE(OFFSET($DS$3,0,0,'Données projet'!$E$14+1,1))-AVERAGE(OFFSET($H$3,0,0,'Données projet'!$E$14+1,1))</f>
        <v>502.4879901989737</v>
      </c>
      <c r="DU194" s="59">
        <f t="shared" si="152"/>
        <v>226.06453328626355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130.13364709842406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130.13364709842406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-3.2543994166189806E-14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192.76157155207764</v>
      </c>
      <c r="EP194" s="59">
        <f t="shared" si="154"/>
        <v>413.66427458788348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3.0686966667895463</v>
      </c>
      <c r="EW194" s="21">
        <f>EXP(-LN(2)/25)*EW193+(1-EXP(-LN(2)/25))/(LN(2)/25)*Calculateur!ER194*Calculateur!ET194*VLOOKUP('Données projet'!$B$15,Paramètres!$A$1:$I$89,3,0)*0.475*44/12</f>
        <v>0.21511492969335147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3.2838115964828978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69.814420501128311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1.05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3.85</v>
      </c>
      <c r="H195" s="66">
        <f t="shared" si="110"/>
        <v>241.26666666666665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18.829999999999643</v>
      </c>
      <c r="O195" s="13">
        <f>N195*VLOOKUP('Données projet'!$B$9,Paramètres!$A$1:$I$89,3,0)*VLOOKUP('Données projet'!$B$9,Paramètres!$A$1:$I$89,5,0)</f>
        <v>17.037383999999676</v>
      </c>
      <c r="P195" s="13">
        <f t="shared" si="141"/>
        <v>5.644424624466958</v>
      </c>
      <c r="Q195" s="20">
        <f t="shared" si="162"/>
        <v>39.504150020946049</v>
      </c>
      <c r="R195" s="59">
        <f t="shared" ref="R195:R203" si="191">Q195+(I195+J195)*44/12</f>
        <v>332.16882961959323</v>
      </c>
      <c r="S195" s="59">
        <f ca="1">AVERAGE(OFFSET($R$3,0,0,'Données projet'!$E$9+1,1))-AVERAGE(OFFSET($H$3,0,0,'Données projet'!$E$9+1,1))</f>
        <v>480.34707165277229</v>
      </c>
      <c r="T195" s="59">
        <f t="shared" si="142"/>
        <v>217.17128038304531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121.3072906204204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121.3072906204204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20.08734000000041</v>
      </c>
      <c r="AK195" s="13">
        <f t="shared" si="164"/>
        <v>6.5285137703520215</v>
      </c>
      <c r="AL195" s="20">
        <f t="shared" si="165"/>
        <v>46.355945316697152</v>
      </c>
      <c r="AM195" s="59">
        <f t="shared" si="113"/>
        <v>339.02062491534434</v>
      </c>
      <c r="AN195" s="59">
        <f ca="1">AVERAGE(OFFSET($AM$3,0,0,'Données projet'!$E$10+1,1))-AVERAGE(OFFSET($H$3,0,0,'Données projet'!$E$10+1,1))</f>
        <v>596.64394969449609</v>
      </c>
      <c r="AO195" s="59">
        <f t="shared" si="144"/>
        <v>312.55704723516362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92.77751747328999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92.77751747328999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212.28480000000002</v>
      </c>
      <c r="BF195" s="13">
        <f t="shared" si="167"/>
        <v>52.434557099704193</v>
      </c>
      <c r="BG195" s="20">
        <f t="shared" si="168"/>
        <v>461.05288028198476</v>
      </c>
      <c r="BH195" s="59">
        <f t="shared" si="116"/>
        <v>753.71755988063194</v>
      </c>
      <c r="BI195" s="59">
        <f ca="1">AVERAGE(OFFSET($BH$3,0,0,'Données projet'!$E$11+1,1))-AVERAGE(OFFSET($H$3,0,0,'Données projet'!$E$11+1,1))</f>
        <v>360.53625471540249</v>
      </c>
      <c r="BJ195" s="59">
        <f t="shared" si="146"/>
        <v>326.66299410556076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9.0778801851547879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9.0778801851547879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253.79640000000001</v>
      </c>
      <c r="CA195" s="13">
        <f t="shared" si="170"/>
        <v>61.39816832228076</v>
      </c>
      <c r="CB195" s="20">
        <f t="shared" si="171"/>
        <v>548.96387316130563</v>
      </c>
      <c r="CC195" s="59">
        <f t="shared" si="119"/>
        <v>841.62855275995275</v>
      </c>
      <c r="CD195" s="59">
        <f ca="1">AVERAGE(OFFSET($CC$3,0,0,'Données projet'!$E$12+1,1))-AVERAGE(OFFSET($H$3,0,0,'Données projet'!$E$12+1,1))</f>
        <v>358.39045200457502</v>
      </c>
      <c r="CE195" s="59">
        <f t="shared" si="148"/>
        <v>349.48764057925109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5.7857049038946426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5.7857049038946426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210.25641025641013</v>
      </c>
      <c r="CU195" s="17">
        <f>CT195*VLOOKUP('Données projet'!$B$13,Paramètres!$A$1:$I$89,3,0)*VLOOKUP('Données projet'!$B$13,Paramètres!$A$1:$I$89,5,0)</f>
        <v>163.99999999999991</v>
      </c>
      <c r="CV195" s="13">
        <f t="shared" si="173"/>
        <v>41.743425908362248</v>
      </c>
      <c r="CW195" s="20">
        <f t="shared" si="174"/>
        <v>358.33646679039742</v>
      </c>
      <c r="CX195" s="59">
        <f t="shared" si="122"/>
        <v>651.00114638904461</v>
      </c>
      <c r="CY195" s="59">
        <f ca="1">AVERAGE(OFFSET($CX$3,0,0,'Données projet'!$E$13+1,1))-AVERAGE(OFFSET($H$3,0,0,'Données projet'!$E$13+1,1))</f>
        <v>201.71903756761543</v>
      </c>
      <c r="CZ195" s="59">
        <f t="shared" si="150"/>
        <v>200.66422845182711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2.8263754575523561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2.8263754575523561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18.829999999999643</v>
      </c>
      <c r="DP195" s="17">
        <f>DO195*VLOOKUP('Données projet'!$B$14,Paramètres!$A$1:$I$89,3,0)*VLOOKUP('Données projet'!$B$14,Paramètres!$A$1:$I$89,5,0)</f>
        <v>17.918627999999661</v>
      </c>
      <c r="DQ195" s="13">
        <f t="shared" si="176"/>
        <v>5.9016322671185755</v>
      </c>
      <c r="DR195" s="20">
        <f t="shared" si="177"/>
        <v>41.486953298564259</v>
      </c>
      <c r="DS195" s="59">
        <f t="shared" si="125"/>
        <v>334.15163289721147</v>
      </c>
      <c r="DT195" s="59">
        <f ca="1">AVERAGE(OFFSET($DS$3,0,0,'Données projet'!$E$14+1,1))-AVERAGE(OFFSET($H$3,0,0,'Données projet'!$E$14+1,1))</f>
        <v>502.4879901989737</v>
      </c>
      <c r="DU195" s="59">
        <f t="shared" si="152"/>
        <v>226.06453328626355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127.58180565251119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127.58180565251119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-3.2543994166189806E-14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192.76157155207764</v>
      </c>
      <c r="EP195" s="59">
        <f t="shared" si="154"/>
        <v>413.66427458788348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3.0085213968739533</v>
      </c>
      <c r="EW195" s="21">
        <f>EXP(-LN(2)/25)*EW194+(1-EXP(-LN(2)/25))/(LN(2)/25)*Calculateur!ER195*Calculateur!ET195*VLOOKUP('Données projet'!$B$15,Paramètres!$A$1:$I$89,3,0)*0.475*44/12</f>
        <v>0.20923260062848428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3.2177539975024376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69.817639890540136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1.05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3.85</v>
      </c>
      <c r="H196" s="66">
        <f t="shared" ref="H196:H203" si="192">(B196+E196+F196)*44/12+(C196+D196)*0.475*44/12</f>
        <v>241.26666666666665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18.829999999999643</v>
      </c>
      <c r="O196" s="13">
        <f>N196*VLOOKUP('Données projet'!$B$9,Paramètres!$A$1:$I$89,3,0)*VLOOKUP('Données projet'!$B$9,Paramètres!$A$1:$I$89,5,0)</f>
        <v>17.037383999999676</v>
      </c>
      <c r="P196" s="13">
        <f t="shared" si="141"/>
        <v>5.644424624466958</v>
      </c>
      <c r="Q196" s="20">
        <f t="shared" si="162"/>
        <v>39.504150020946049</v>
      </c>
      <c r="R196" s="59">
        <f t="shared" si="191"/>
        <v>332.18042926700417</v>
      </c>
      <c r="S196" s="59">
        <f ca="1">AVERAGE(OFFSET($R$3,0,0,'Données projet'!$E$9+1,1))-AVERAGE(OFFSET($H$3,0,0,'Données projet'!$E$9+1,1))</f>
        <v>480.34707165277229</v>
      </c>
      <c r="T196" s="59">
        <f t="shared" si="142"/>
        <v>217.17128038304531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118.92852864149532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118.92852864149532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20.08734000000041</v>
      </c>
      <c r="AK196" s="13">
        <f t="shared" si="164"/>
        <v>6.5285137703520215</v>
      </c>
      <c r="AL196" s="20">
        <f t="shared" si="165"/>
        <v>46.355945316697152</v>
      </c>
      <c r="AM196" s="59">
        <f t="shared" ref="AM196:AM203" si="193">AL196+(AD196+AE196)*44/12</f>
        <v>339.03222456275529</v>
      </c>
      <c r="AN196" s="59">
        <f ca="1">AVERAGE(OFFSET($AM$3,0,0,'Données projet'!$E$10+1,1))-AVERAGE(OFFSET($H$3,0,0,'Données projet'!$E$10+1,1))</f>
        <v>596.64394969449609</v>
      </c>
      <c r="AO196" s="59">
        <f t="shared" si="144"/>
        <v>312.55704723516362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90.958206944336766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90.958206944336766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212.28480000000002</v>
      </c>
      <c r="BF196" s="13">
        <f t="shared" si="167"/>
        <v>52.434557099704193</v>
      </c>
      <c r="BG196" s="20">
        <f t="shared" si="168"/>
        <v>461.05288028198476</v>
      </c>
      <c r="BH196" s="59">
        <f t="shared" ref="BH196:BH203" si="194">BG196+(AY196+AZ196)*44/12</f>
        <v>753.72915952804283</v>
      </c>
      <c r="BI196" s="59">
        <f ca="1">AVERAGE(OFFSET($BH$3,0,0,'Données projet'!$E$11+1,1))-AVERAGE(OFFSET($H$3,0,0,'Données projet'!$E$11+1,1))</f>
        <v>360.53625471540249</v>
      </c>
      <c r="BJ196" s="59">
        <f t="shared" si="146"/>
        <v>326.66299410556076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8.8998684916840869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8.8998684916840869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253.79640000000001</v>
      </c>
      <c r="CA196" s="13">
        <f t="shared" si="170"/>
        <v>61.39816832228076</v>
      </c>
      <c r="CB196" s="20">
        <f t="shared" si="171"/>
        <v>548.96387316130563</v>
      </c>
      <c r="CC196" s="59">
        <f t="shared" ref="CC196:CC203" si="195">CB196+(BT196+BU196)*44/12</f>
        <v>841.64015240736376</v>
      </c>
      <c r="CD196" s="59">
        <f ca="1">AVERAGE(OFFSET($CC$3,0,0,'Données projet'!$E$12+1,1))-AVERAGE(OFFSET($H$3,0,0,'Données projet'!$E$12+1,1))</f>
        <v>358.39045200457502</v>
      </c>
      <c r="CE196" s="59">
        <f t="shared" si="148"/>
        <v>349.48764057925109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5.6722507596608072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5.6722507596608072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210.25641025641013</v>
      </c>
      <c r="CU196" s="17">
        <f>CT196*VLOOKUP('Données projet'!$B$13,Paramètres!$A$1:$I$89,3,0)*VLOOKUP('Données projet'!$B$13,Paramètres!$A$1:$I$89,5,0)</f>
        <v>163.99999999999991</v>
      </c>
      <c r="CV196" s="13">
        <f t="shared" si="173"/>
        <v>41.743425908362248</v>
      </c>
      <c r="CW196" s="20">
        <f t="shared" si="174"/>
        <v>358.33646679039742</v>
      </c>
      <c r="CX196" s="59">
        <f t="shared" ref="CX196:CX203" si="196">CW196+(CO196+CP196)*44/12</f>
        <v>651.01274603645561</v>
      </c>
      <c r="CY196" s="59">
        <f ca="1">AVERAGE(OFFSET($CX$3,0,0,'Données projet'!$E$13+1,1))-AVERAGE(OFFSET($H$3,0,0,'Données projet'!$E$13+1,1))</f>
        <v>201.71903756761543</v>
      </c>
      <c r="CZ196" s="59">
        <f t="shared" si="150"/>
        <v>200.66422845182711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2.7709519587485607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2.7709519587485607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18.829999999999643</v>
      </c>
      <c r="DP196" s="17">
        <f>DO196*VLOOKUP('Données projet'!$B$14,Paramètres!$A$1:$I$89,3,0)*VLOOKUP('Données projet'!$B$14,Paramètres!$A$1:$I$89,5,0)</f>
        <v>17.918627999999661</v>
      </c>
      <c r="DQ196" s="13">
        <f t="shared" si="176"/>
        <v>5.9016322671185755</v>
      </c>
      <c r="DR196" s="20">
        <f t="shared" si="177"/>
        <v>41.486953298564259</v>
      </c>
      <c r="DS196" s="59">
        <f t="shared" ref="DS196:DS203" si="197">DR196+(DJ196+DK196)*44/12</f>
        <v>334.16323254462236</v>
      </c>
      <c r="DT196" s="59">
        <f ca="1">AVERAGE(OFFSET($DS$3,0,0,'Données projet'!$E$14+1,1))-AVERAGE(OFFSET($H$3,0,0,'Données projet'!$E$14+1,1))</f>
        <v>502.4879901989737</v>
      </c>
      <c r="DU196" s="59">
        <f t="shared" si="152"/>
        <v>226.06453328626355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125.08000426088309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125.08000426088309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-3.2543994166189806E-14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192.76157155207764</v>
      </c>
      <c r="EP196" s="59">
        <f t="shared" si="154"/>
        <v>413.66427458788348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2.9495261272981144</v>
      </c>
      <c r="EW196" s="21">
        <f>EXP(-LN(2)/25)*EW195+(1-EXP(-LN(2)/25))/(LN(2)/25)*Calculateur!ER196*Calculateur!ET196*VLOOKUP('Données projet'!$B$15,Paramètres!$A$1:$I$89,3,0)*0.475*44/12</f>
        <v>0.20351112416123412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3.1530372514593483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69.820803430743126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1.05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3.85</v>
      </c>
      <c r="H197" s="66">
        <f t="shared" si="192"/>
        <v>241.26666666666665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18.829999999999643</v>
      </c>
      <c r="O197" s="13">
        <f>N197*VLOOKUP('Données projet'!$B$9,Paramètres!$A$1:$I$89,3,0)*VLOOKUP('Données projet'!$B$9,Paramètres!$A$1:$I$89,5,0)</f>
        <v>17.037383999999676</v>
      </c>
      <c r="P197" s="13">
        <f t="shared" ref="P197:P203" si="203">EXP(-1.0587+0.8836*LN(O197)+0.284)</f>
        <v>5.644424624466958</v>
      </c>
      <c r="Q197" s="20">
        <f t="shared" si="162"/>
        <v>39.504150020946049</v>
      </c>
      <c r="R197" s="59">
        <f t="shared" si="191"/>
        <v>332.19182768646556</v>
      </c>
      <c r="S197" s="59">
        <f ca="1">AVERAGE(OFFSET($R$3,0,0,'Données projet'!$E$9+1,1))-AVERAGE(OFFSET($H$3,0,0,'Données projet'!$E$9+1,1))</f>
        <v>480.34707165277229</v>
      </c>
      <c r="T197" s="59">
        <f t="shared" ref="T197:T203" si="204">$T$3</f>
        <v>217.17128038304531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116.59641273407541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116.59641273407541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20.08734000000041</v>
      </c>
      <c r="AK197" s="13">
        <f t="shared" si="164"/>
        <v>6.5285137703520215</v>
      </c>
      <c r="AL197" s="20">
        <f t="shared" si="165"/>
        <v>46.355945316697152</v>
      </c>
      <c r="AM197" s="59">
        <f t="shared" si="193"/>
        <v>339.04362298221668</v>
      </c>
      <c r="AN197" s="59">
        <f ca="1">AVERAGE(OFFSET($AM$3,0,0,'Données projet'!$E$10+1,1))-AVERAGE(OFFSET($H$3,0,0,'Données projet'!$E$10+1,1))</f>
        <v>596.64394969449609</v>
      </c>
      <c r="AO197" s="59">
        <f t="shared" ref="AO197:AO203" si="205">$AO$3</f>
        <v>312.55704723516362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89.174571985186461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89.174571985186461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212.28480000000002</v>
      </c>
      <c r="BF197" s="13">
        <f t="shared" si="167"/>
        <v>52.434557099704193</v>
      </c>
      <c r="BG197" s="20">
        <f t="shared" si="168"/>
        <v>461.05288028198476</v>
      </c>
      <c r="BH197" s="59">
        <f t="shared" si="194"/>
        <v>753.74055794750427</v>
      </c>
      <c r="BI197" s="59">
        <f ca="1">AVERAGE(OFFSET($BH$3,0,0,'Données projet'!$E$11+1,1))-AVERAGE(OFFSET($H$3,0,0,'Données projet'!$E$11+1,1))</f>
        <v>360.53625471540249</v>
      </c>
      <c r="BJ197" s="59">
        <f t="shared" ref="BJ197:BJ203" si="206">$BJ$3</f>
        <v>326.66299410556076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8.7253474989459328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8.7253474989459328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253.79640000000001</v>
      </c>
      <c r="CA197" s="13">
        <f t="shared" si="170"/>
        <v>61.39816832228076</v>
      </c>
      <c r="CB197" s="20">
        <f t="shared" si="171"/>
        <v>548.96387316130563</v>
      </c>
      <c r="CC197" s="59">
        <f t="shared" si="195"/>
        <v>841.65155082682509</v>
      </c>
      <c r="CD197" s="59">
        <f ca="1">AVERAGE(OFFSET($CC$3,0,0,'Données projet'!$E$12+1,1))-AVERAGE(OFFSET($H$3,0,0,'Données projet'!$E$12+1,1))</f>
        <v>358.39045200457502</v>
      </c>
      <c r="CE197" s="59">
        <f t="shared" ref="CE197:CE203" si="207">$CE$3</f>
        <v>349.48764057925109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5.5610213819952019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5.5610213819952019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210.25641025641013</v>
      </c>
      <c r="CU197" s="17">
        <f>CT197*VLOOKUP('Données projet'!$B$13,Paramètres!$A$1:$I$89,3,0)*VLOOKUP('Données projet'!$B$13,Paramètres!$A$1:$I$89,5,0)</f>
        <v>163.99999999999991</v>
      </c>
      <c r="CV197" s="13">
        <f t="shared" si="173"/>
        <v>41.743425908362248</v>
      </c>
      <c r="CW197" s="20">
        <f t="shared" si="174"/>
        <v>358.33646679039742</v>
      </c>
      <c r="CX197" s="59">
        <f t="shared" si="196"/>
        <v>651.02414445591694</v>
      </c>
      <c r="CY197" s="59">
        <f ca="1">AVERAGE(OFFSET($CX$3,0,0,'Données projet'!$E$13+1,1))-AVERAGE(OFFSET($H$3,0,0,'Données projet'!$E$13+1,1))</f>
        <v>201.71903756761543</v>
      </c>
      <c r="CZ197" s="59">
        <f t="shared" ref="CZ197:CZ203" si="208">$CZ$3</f>
        <v>200.66422845182711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2.7166152809513116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2.7166152809513116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18.829999999999643</v>
      </c>
      <c r="DP197" s="17">
        <f>DO197*VLOOKUP('Données projet'!$B$14,Paramètres!$A$1:$I$89,3,0)*VLOOKUP('Données projet'!$B$14,Paramètres!$A$1:$I$89,5,0)</f>
        <v>17.918627999999661</v>
      </c>
      <c r="DQ197" s="13">
        <f t="shared" si="176"/>
        <v>5.9016322671185755</v>
      </c>
      <c r="DR197" s="20">
        <f t="shared" si="177"/>
        <v>41.486953298564259</v>
      </c>
      <c r="DS197" s="59">
        <f t="shared" si="197"/>
        <v>334.1746309640838</v>
      </c>
      <c r="DT197" s="59">
        <f ca="1">AVERAGE(OFFSET($DS$3,0,0,'Données projet'!$E$14+1,1))-AVERAGE(OFFSET($H$3,0,0,'Données projet'!$E$14+1,1))</f>
        <v>502.4879901989737</v>
      </c>
      <c r="DU197" s="59">
        <f t="shared" ref="DU197:DU203" si="209">$DU$3</f>
        <v>226.06453328626355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122.62726166859663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122.62726166859663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-3.2543994166189806E-14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192.76157155207764</v>
      </c>
      <c r="EP197" s="59">
        <f t="shared" ref="EP197:EP203" si="210">$EP$3</f>
        <v>413.66427458788348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2.891687718975096</v>
      </c>
      <c r="EW197" s="21">
        <f>EXP(-LN(2)/25)*EW196+(1-EXP(-LN(2)/25))/(LN(2)/25)*Calculateur!ER197*Calculateur!ET197*VLOOKUP('Données projet'!$B$15,Paramètres!$A$1:$I$89,3,0)*0.475*44/12</f>
        <v>0.19794610176886029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3.0896338207439564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69.823912090596224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1.05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3.85</v>
      </c>
      <c r="H198" s="66">
        <f t="shared" si="192"/>
        <v>241.26666666666665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18.829999999999643</v>
      </c>
      <c r="O198" s="13">
        <f>N198*VLOOKUP('Données projet'!$B$9,Paramètres!$A$1:$I$89,3,0)*VLOOKUP('Données projet'!$B$9,Paramètres!$A$1:$I$89,5,0)</f>
        <v>17.037383999999676</v>
      </c>
      <c r="P198" s="13">
        <f t="shared" si="203"/>
        <v>5.644424624466958</v>
      </c>
      <c r="Q198" s="20">
        <f t="shared" si="162"/>
        <v>39.504150020946049</v>
      </c>
      <c r="R198" s="59">
        <f t="shared" si="191"/>
        <v>332.20302836883229</v>
      </c>
      <c r="S198" s="59">
        <f ca="1">AVERAGE(OFFSET($R$3,0,0,'Données projet'!$E$9+1,1))-AVERAGE(OFFSET($H$3,0,0,'Données projet'!$E$9+1,1))</f>
        <v>480.34707165277229</v>
      </c>
      <c r="T198" s="59">
        <f t="shared" si="204"/>
        <v>217.17128038304531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114.31002819714976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114.31002819714976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20.08734000000041</v>
      </c>
      <c r="AK198" s="13">
        <f t="shared" si="164"/>
        <v>6.5285137703520215</v>
      </c>
      <c r="AL198" s="20">
        <f t="shared" si="165"/>
        <v>46.355945316697152</v>
      </c>
      <c r="AM198" s="59">
        <f t="shared" si="193"/>
        <v>339.05482366458341</v>
      </c>
      <c r="AN198" s="59">
        <f ca="1">AVERAGE(OFFSET($AM$3,0,0,'Données projet'!$E$10+1,1))-AVERAGE(OFFSET($H$3,0,0,'Données projet'!$E$10+1,1))</f>
        <v>596.64394969449609</v>
      </c>
      <c r="AO198" s="59">
        <f t="shared" si="205"/>
        <v>312.55704723516362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87.425913019675193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87.425913019675193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212.28480000000002</v>
      </c>
      <c r="BF198" s="13">
        <f t="shared" si="167"/>
        <v>52.434557099704193</v>
      </c>
      <c r="BG198" s="20">
        <f t="shared" si="168"/>
        <v>461.05288028198476</v>
      </c>
      <c r="BH198" s="59">
        <f t="shared" si="194"/>
        <v>753.75175862987101</v>
      </c>
      <c r="BI198" s="59">
        <f ca="1">AVERAGE(OFFSET($BH$3,0,0,'Données projet'!$E$11+1,1))-AVERAGE(OFFSET($H$3,0,0,'Données projet'!$E$11+1,1))</f>
        <v>360.53625471540249</v>
      </c>
      <c r="BJ198" s="59">
        <f t="shared" si="206"/>
        <v>326.66299410556076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8.5542487564280805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8.5542487564280805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253.79640000000001</v>
      </c>
      <c r="CA198" s="13">
        <f t="shared" si="170"/>
        <v>61.39816832228076</v>
      </c>
      <c r="CB198" s="20">
        <f t="shared" si="171"/>
        <v>548.96387316130563</v>
      </c>
      <c r="CC198" s="59">
        <f t="shared" si="195"/>
        <v>841.66275150919182</v>
      </c>
      <c r="CD198" s="59">
        <f ca="1">AVERAGE(OFFSET($CC$3,0,0,'Données projet'!$E$12+1,1))-AVERAGE(OFFSET($H$3,0,0,'Données projet'!$E$12+1,1))</f>
        <v>358.39045200457502</v>
      </c>
      <c r="CE198" s="59">
        <f t="shared" si="207"/>
        <v>349.48764057925109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5.4519731445823982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5.4519731445823982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210.25641025641013</v>
      </c>
      <c r="CU198" s="17">
        <f>CT198*VLOOKUP('Données projet'!$B$13,Paramètres!$A$1:$I$89,3,0)*VLOOKUP('Données projet'!$B$13,Paramètres!$A$1:$I$89,5,0)</f>
        <v>163.99999999999991</v>
      </c>
      <c r="CV198" s="13">
        <f t="shared" si="173"/>
        <v>41.743425908362248</v>
      </c>
      <c r="CW198" s="20">
        <f t="shared" si="174"/>
        <v>358.33646679039742</v>
      </c>
      <c r="CX198" s="59">
        <f t="shared" si="196"/>
        <v>651.03534513828367</v>
      </c>
      <c r="CY198" s="59">
        <f ca="1">AVERAGE(OFFSET($CX$3,0,0,'Données projet'!$E$13+1,1))-AVERAGE(OFFSET($H$3,0,0,'Données projet'!$E$13+1,1))</f>
        <v>201.71903756761543</v>
      </c>
      <c r="CZ198" s="59">
        <f t="shared" si="208"/>
        <v>200.66422845182711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2.6633441122635655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2.6633441122635655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18.829999999999643</v>
      </c>
      <c r="DP198" s="17">
        <f>DO198*VLOOKUP('Données projet'!$B$14,Paramètres!$A$1:$I$89,3,0)*VLOOKUP('Données projet'!$B$14,Paramètres!$A$1:$I$89,5,0)</f>
        <v>17.918627999999661</v>
      </c>
      <c r="DQ198" s="13">
        <f t="shared" si="176"/>
        <v>5.9016322671185755</v>
      </c>
      <c r="DR198" s="20">
        <f t="shared" si="177"/>
        <v>41.486953298564259</v>
      </c>
      <c r="DS198" s="59">
        <f t="shared" si="197"/>
        <v>334.18583164645054</v>
      </c>
      <c r="DT198" s="59">
        <f ca="1">AVERAGE(OFFSET($DS$3,0,0,'Données projet'!$E$14+1,1))-AVERAGE(OFFSET($H$3,0,0,'Données projet'!$E$14+1,1))</f>
        <v>502.4879901989737</v>
      </c>
      <c r="DU198" s="59">
        <f t="shared" si="209"/>
        <v>226.06453328626355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120.22261586251965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120.22261586251965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-3.2543994166189806E-14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192.76157155207764</v>
      </c>
      <c r="EP198" s="59">
        <f t="shared" si="210"/>
        <v>413.66427458788348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2.8349834865613466</v>
      </c>
      <c r="EW198" s="21">
        <f>EXP(-LN(2)/25)*EW197+(1-EXP(-LN(2)/25))/(LN(2)/25)*Calculateur!ER198*Calculateur!ET198*VLOOKUP('Données projet'!$B$15,Paramètres!$A$1:$I$89,3,0)*0.475*44/12</f>
        <v>0.19253325520645773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3.0275167417678044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69.826966822150794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1.05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3.85</v>
      </c>
      <c r="H199" s="66">
        <f t="shared" si="192"/>
        <v>241.26666666666665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18.829999999999643</v>
      </c>
      <c r="O199" s="13">
        <f>N199*VLOOKUP('Données projet'!$B$9,Paramètres!$A$1:$I$89,3,0)*VLOOKUP('Données projet'!$B$9,Paramètres!$A$1:$I$89,5,0)</f>
        <v>17.037383999999676</v>
      </c>
      <c r="P199" s="13">
        <f t="shared" si="203"/>
        <v>5.644424624466958</v>
      </c>
      <c r="Q199" s="20">
        <f t="shared" si="162"/>
        <v>39.504150020946049</v>
      </c>
      <c r="R199" s="59">
        <f t="shared" si="191"/>
        <v>332.21403474440092</v>
      </c>
      <c r="S199" s="59">
        <f ca="1">AVERAGE(OFFSET($R$3,0,0,'Données projet'!$E$9+1,1))-AVERAGE(OFFSET($H$3,0,0,'Données projet'!$E$9+1,1))</f>
        <v>480.34707165277229</v>
      </c>
      <c r="T199" s="59">
        <f t="shared" si="204"/>
        <v>217.17128038304531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112.06847826643636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112.06847826643636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20.08734000000041</v>
      </c>
      <c r="AK199" s="13">
        <f t="shared" si="164"/>
        <v>6.5285137703520215</v>
      </c>
      <c r="AL199" s="20">
        <f t="shared" si="165"/>
        <v>46.355945316697152</v>
      </c>
      <c r="AM199" s="59">
        <f t="shared" si="193"/>
        <v>339.06583004015204</v>
      </c>
      <c r="AN199" s="59">
        <f ca="1">AVERAGE(OFFSET($AM$3,0,0,'Données projet'!$E$10+1,1))-AVERAGE(OFFSET($H$3,0,0,'Données projet'!$E$10+1,1))</f>
        <v>596.64394969449609</v>
      </c>
      <c r="AO199" s="59">
        <f t="shared" si="205"/>
        <v>312.55704723516362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85.711544189900948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85.711544189900948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212.28480000000002</v>
      </c>
      <c r="BF199" s="13">
        <f t="shared" si="167"/>
        <v>52.434557099704193</v>
      </c>
      <c r="BG199" s="20">
        <f t="shared" si="168"/>
        <v>461.05288028198476</v>
      </c>
      <c r="BH199" s="59">
        <f t="shared" si="194"/>
        <v>753.76276500543963</v>
      </c>
      <c r="BI199" s="59">
        <f ca="1">AVERAGE(OFFSET($BH$3,0,0,'Données projet'!$E$11+1,1))-AVERAGE(OFFSET($H$3,0,0,'Données projet'!$E$11+1,1))</f>
        <v>360.53625471540249</v>
      </c>
      <c r="BJ199" s="59">
        <f t="shared" si="206"/>
        <v>326.66299410556076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8.3865051558910739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8.3865051558910739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253.79640000000001</v>
      </c>
      <c r="CA199" s="13">
        <f t="shared" si="170"/>
        <v>61.39816832228076</v>
      </c>
      <c r="CB199" s="20">
        <f t="shared" si="171"/>
        <v>548.96387316130563</v>
      </c>
      <c r="CC199" s="59">
        <f t="shared" si="195"/>
        <v>841.67375788476056</v>
      </c>
      <c r="CD199" s="59">
        <f ca="1">AVERAGE(OFFSET($CC$3,0,0,'Données projet'!$E$12+1,1))-AVERAGE(OFFSET($H$3,0,0,'Données projet'!$E$12+1,1))</f>
        <v>358.39045200457502</v>
      </c>
      <c r="CE199" s="59">
        <f t="shared" si="207"/>
        <v>349.48764057925109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5.345063276592402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5.345063276592402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210.25641025641013</v>
      </c>
      <c r="CU199" s="17">
        <f>CT199*VLOOKUP('Données projet'!$B$13,Paramètres!$A$1:$I$89,3,0)*VLOOKUP('Données projet'!$B$13,Paramètres!$A$1:$I$89,5,0)</f>
        <v>163.99999999999991</v>
      </c>
      <c r="CV199" s="13">
        <f t="shared" si="173"/>
        <v>41.743425908362248</v>
      </c>
      <c r="CW199" s="20">
        <f t="shared" si="174"/>
        <v>358.33646679039742</v>
      </c>
      <c r="CX199" s="59">
        <f t="shared" si="196"/>
        <v>651.0463515138523</v>
      </c>
      <c r="CY199" s="59">
        <f ca="1">AVERAGE(OFFSET($CX$3,0,0,'Données projet'!$E$13+1,1))-AVERAGE(OFFSET($H$3,0,0,'Données projet'!$E$13+1,1))</f>
        <v>201.71903756761543</v>
      </c>
      <c r="CZ199" s="59">
        <f t="shared" si="208"/>
        <v>200.66422845182711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2.6111175587015816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2.6111175587015816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18.829999999999643</v>
      </c>
      <c r="DP199" s="17">
        <f>DO199*VLOOKUP('Données projet'!$B$14,Paramètres!$A$1:$I$89,3,0)*VLOOKUP('Données projet'!$B$14,Paramètres!$A$1:$I$89,5,0)</f>
        <v>17.918627999999661</v>
      </c>
      <c r="DQ199" s="13">
        <f t="shared" si="176"/>
        <v>5.9016322671185755</v>
      </c>
      <c r="DR199" s="20">
        <f t="shared" si="177"/>
        <v>41.486953298564259</v>
      </c>
      <c r="DS199" s="59">
        <f t="shared" si="197"/>
        <v>334.19683802201916</v>
      </c>
      <c r="DT199" s="59">
        <f ca="1">AVERAGE(OFFSET($DS$3,0,0,'Données projet'!$E$14+1,1))-AVERAGE(OFFSET($H$3,0,0,'Données projet'!$E$14+1,1))</f>
        <v>502.4879901989737</v>
      </c>
      <c r="DU199" s="59">
        <f t="shared" si="209"/>
        <v>226.06453328626355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117.86512369401072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117.86512369401072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-3.2543994166189806E-14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192.76157155207764</v>
      </c>
      <c r="EP199" s="59">
        <f t="shared" si="210"/>
        <v>413.66427458788348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2.7793911895590639</v>
      </c>
      <c r="EW199" s="21">
        <f>EXP(-LN(2)/25)*EW198+(1-EXP(-LN(2)/25))/(LN(2)/25)*Calculateur!ER199*Calculateur!ET199*VLOOKUP('Données projet'!$B$15,Paramètres!$A$1:$I$89,3,0)*0.475*44/12</f>
        <v>0.18726842321795328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2.9666596127770171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69.829968560942248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1.05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3.85</v>
      </c>
      <c r="H200" s="66">
        <f t="shared" si="192"/>
        <v>241.26666666666665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18.829999999999643</v>
      </c>
      <c r="O200" s="13">
        <f>N200*VLOOKUP('Données projet'!$B$9,Paramètres!$A$1:$I$89,3,0)*VLOOKUP('Données projet'!$B$9,Paramètres!$A$1:$I$89,5,0)</f>
        <v>17.037383999999676</v>
      </c>
      <c r="P200" s="13">
        <f t="shared" si="203"/>
        <v>5.644424624466958</v>
      </c>
      <c r="Q200" s="20">
        <f t="shared" si="162"/>
        <v>39.504150020946049</v>
      </c>
      <c r="R200" s="59">
        <f t="shared" si="191"/>
        <v>332.22485018396003</v>
      </c>
      <c r="S200" s="59">
        <f ca="1">AVERAGE(OFFSET($R$3,0,0,'Données projet'!$E$9+1,1))-AVERAGE(OFFSET($H$3,0,0,'Données projet'!$E$9+1,1))</f>
        <v>480.34707165277229</v>
      </c>
      <c r="T200" s="59">
        <f t="shared" si="204"/>
        <v>217.17128038304531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109.87088376265379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109.87088376265379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20.08734000000041</v>
      </c>
      <c r="AK200" s="13">
        <f t="shared" si="164"/>
        <v>6.5285137703520215</v>
      </c>
      <c r="AL200" s="20">
        <f t="shared" si="165"/>
        <v>46.355945316697152</v>
      </c>
      <c r="AM200" s="59">
        <f t="shared" si="193"/>
        <v>339.07664547971115</v>
      </c>
      <c r="AN200" s="59">
        <f ca="1">AVERAGE(OFFSET($AM$3,0,0,'Données projet'!$E$10+1,1))-AVERAGE(OFFSET($H$3,0,0,'Données projet'!$E$10+1,1))</f>
        <v>596.64394969449609</v>
      </c>
      <c r="AO200" s="59">
        <f t="shared" si="205"/>
        <v>312.55704723516362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84.030793087216836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84.030793087216836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212.28480000000002</v>
      </c>
      <c r="BF200" s="13">
        <f t="shared" si="167"/>
        <v>52.434557099704193</v>
      </c>
      <c r="BG200" s="20">
        <f t="shared" si="168"/>
        <v>461.05288028198476</v>
      </c>
      <c r="BH200" s="59">
        <f t="shared" si="194"/>
        <v>753.77358044499874</v>
      </c>
      <c r="BI200" s="59">
        <f ca="1">AVERAGE(OFFSET($BH$3,0,0,'Données projet'!$E$11+1,1))-AVERAGE(OFFSET($H$3,0,0,'Données projet'!$E$11+1,1))</f>
        <v>360.53625471540249</v>
      </c>
      <c r="BJ200" s="59">
        <f t="shared" si="206"/>
        <v>326.66299410556076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8.2220509050471051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8.2220509050471051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253.79640000000001</v>
      </c>
      <c r="CA200" s="13">
        <f t="shared" si="170"/>
        <v>61.39816832228076</v>
      </c>
      <c r="CB200" s="20">
        <f t="shared" si="171"/>
        <v>548.96387316130563</v>
      </c>
      <c r="CC200" s="59">
        <f t="shared" si="195"/>
        <v>841.68457332431967</v>
      </c>
      <c r="CD200" s="59">
        <f ca="1">AVERAGE(OFFSET($CC$3,0,0,'Données projet'!$E$12+1,1))-AVERAGE(OFFSET($H$3,0,0,'Données projet'!$E$12+1,1))</f>
        <v>358.39045200457502</v>
      </c>
      <c r="CE200" s="59">
        <f t="shared" si="207"/>
        <v>349.48764057925109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5.240249845905109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5.240249845905109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210.25641025641013</v>
      </c>
      <c r="CU200" s="17">
        <f>CT200*VLOOKUP('Données projet'!$B$13,Paramètres!$A$1:$I$89,3,0)*VLOOKUP('Données projet'!$B$13,Paramètres!$A$1:$I$89,5,0)</f>
        <v>163.99999999999991</v>
      </c>
      <c r="CV200" s="13">
        <f t="shared" si="173"/>
        <v>41.743425908362248</v>
      </c>
      <c r="CW200" s="20">
        <f t="shared" si="174"/>
        <v>358.33646679039742</v>
      </c>
      <c r="CX200" s="59">
        <f t="shared" si="196"/>
        <v>651.05716695341141</v>
      </c>
      <c r="CY200" s="59">
        <f ca="1">AVERAGE(OFFSET($CX$3,0,0,'Données projet'!$E$13+1,1))-AVERAGE(OFFSET($H$3,0,0,'Données projet'!$E$13+1,1))</f>
        <v>201.71903756761543</v>
      </c>
      <c r="CZ200" s="59">
        <f t="shared" si="208"/>
        <v>200.66422845182711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2.559915135999896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2.559915135999896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18.829999999999643</v>
      </c>
      <c r="DP200" s="17">
        <f>DO200*VLOOKUP('Données projet'!$B$14,Paramètres!$A$1:$I$89,3,0)*VLOOKUP('Données projet'!$B$14,Paramètres!$A$1:$I$89,5,0)</f>
        <v>17.918627999999661</v>
      </c>
      <c r="DQ200" s="13">
        <f t="shared" si="176"/>
        <v>5.9016322671185755</v>
      </c>
      <c r="DR200" s="20">
        <f t="shared" si="177"/>
        <v>41.486953298564259</v>
      </c>
      <c r="DS200" s="59">
        <f t="shared" si="197"/>
        <v>334.20765346157827</v>
      </c>
      <c r="DT200" s="59">
        <f ca="1">AVERAGE(OFFSET($DS$3,0,0,'Données projet'!$E$14+1,1))-AVERAGE(OFFSET($H$3,0,0,'Données projet'!$E$14+1,1))</f>
        <v>502.4879901989737</v>
      </c>
      <c r="DU200" s="59">
        <f t="shared" si="209"/>
        <v>226.06453328626355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115.55386050899801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115.55386050899801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-3.2543994166189806E-14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192.76157155207764</v>
      </c>
      <c r="EP200" s="59">
        <f t="shared" si="210"/>
        <v>413.66427458788348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2.7248890235930432</v>
      </c>
      <c r="EW200" s="21">
        <f>EXP(-LN(2)/25)*EW199+(1-EXP(-LN(2)/25))/(LN(2)/25)*Calculateur!ER200*Calculateur!ET200*VLOOKUP('Données projet'!$B$15,Paramètres!$A$1:$I$89,3,0)*0.475*44/12</f>
        <v>0.18214755833703999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2.9070365819300834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69.832918226276547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1.05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3.85</v>
      </c>
      <c r="H201" s="66">
        <f t="shared" si="192"/>
        <v>241.26666666666665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18.829999999999643</v>
      </c>
      <c r="O201" s="13">
        <f>N201*VLOOKUP('Données projet'!$B$9,Paramètres!$A$1:$I$89,3,0)*VLOOKUP('Données projet'!$B$9,Paramètres!$A$1:$I$89,5,0)</f>
        <v>17.037383999999676</v>
      </c>
      <c r="P201" s="13">
        <f t="shared" si="203"/>
        <v>5.644424624466958</v>
      </c>
      <c r="Q201" s="20">
        <f t="shared" si="162"/>
        <v>39.504150020946049</v>
      </c>
      <c r="R201" s="59">
        <f t="shared" si="191"/>
        <v>332.23547799982248</v>
      </c>
      <c r="S201" s="59">
        <f ca="1">AVERAGE(OFFSET($R$3,0,0,'Données projet'!$E$9+1,1))-AVERAGE(OFFSET($H$3,0,0,'Données projet'!$E$9+1,1))</f>
        <v>480.34707165277229</v>
      </c>
      <c r="T201" s="59">
        <f t="shared" si="204"/>
        <v>217.17128038304531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107.7163827466901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107.7163827466901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20.08734000000041</v>
      </c>
      <c r="AK201" s="13">
        <f t="shared" si="164"/>
        <v>6.5285137703520215</v>
      </c>
      <c r="AL201" s="20">
        <f t="shared" si="165"/>
        <v>46.355945316697152</v>
      </c>
      <c r="AM201" s="59">
        <f t="shared" si="193"/>
        <v>339.0872732955736</v>
      </c>
      <c r="AN201" s="59">
        <f ca="1">AVERAGE(OFFSET($AM$3,0,0,'Données projet'!$E$10+1,1))-AVERAGE(OFFSET($H$3,0,0,'Données projet'!$E$10+1,1))</f>
        <v>596.64394969449609</v>
      </c>
      <c r="AO201" s="59">
        <f t="shared" si="205"/>
        <v>312.55704723516362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82.383000488499405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82.383000488499405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212.28480000000002</v>
      </c>
      <c r="BF201" s="13">
        <f t="shared" si="167"/>
        <v>52.434557099704193</v>
      </c>
      <c r="BG201" s="20">
        <f t="shared" si="168"/>
        <v>461.05288028198476</v>
      </c>
      <c r="BH201" s="59">
        <f t="shared" si="194"/>
        <v>753.78420826086119</v>
      </c>
      <c r="BI201" s="59">
        <f ca="1">AVERAGE(OFFSET($BH$3,0,0,'Données projet'!$E$11+1,1))-AVERAGE(OFFSET($H$3,0,0,'Données projet'!$E$11+1,1))</f>
        <v>360.53625471540249</v>
      </c>
      <c r="BJ201" s="59">
        <f t="shared" si="206"/>
        <v>326.66299410556076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8.0608215017549973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8.0608215017549973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253.79640000000001</v>
      </c>
      <c r="CA201" s="13">
        <f t="shared" si="170"/>
        <v>61.39816832228076</v>
      </c>
      <c r="CB201" s="20">
        <f t="shared" si="171"/>
        <v>548.96387316130563</v>
      </c>
      <c r="CC201" s="59">
        <f t="shared" si="195"/>
        <v>841.69520114018201</v>
      </c>
      <c r="CD201" s="59">
        <f ca="1">AVERAGE(OFFSET($CC$3,0,0,'Données projet'!$E$12+1,1))-AVERAGE(OFFSET($H$3,0,0,'Données projet'!$E$12+1,1))</f>
        <v>358.39045200457502</v>
      </c>
      <c r="CE201" s="59">
        <f t="shared" si="207"/>
        <v>349.48764057925109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5.1374917426637134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5.1374917426637134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210.25641025641013</v>
      </c>
      <c r="CU201" s="17">
        <f>CT201*VLOOKUP('Données projet'!$B$13,Paramètres!$A$1:$I$89,3,0)*VLOOKUP('Données projet'!$B$13,Paramètres!$A$1:$I$89,5,0)</f>
        <v>163.99999999999991</v>
      </c>
      <c r="CV201" s="13">
        <f t="shared" si="173"/>
        <v>41.743425908362248</v>
      </c>
      <c r="CW201" s="20">
        <f t="shared" si="174"/>
        <v>358.33646679039742</v>
      </c>
      <c r="CX201" s="59">
        <f t="shared" si="196"/>
        <v>651.06779476927386</v>
      </c>
      <c r="CY201" s="59">
        <f ca="1">AVERAGE(OFFSET($CX$3,0,0,'Données projet'!$E$13+1,1))-AVERAGE(OFFSET($H$3,0,0,'Données projet'!$E$13+1,1))</f>
        <v>201.71903756761543</v>
      </c>
      <c r="CZ201" s="59">
        <f t="shared" si="208"/>
        <v>200.66422845182711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2.5097167615769962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2.5097167615769962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18.829999999999643</v>
      </c>
      <c r="DP201" s="17">
        <f>DO201*VLOOKUP('Données projet'!$B$14,Paramètres!$A$1:$I$89,3,0)*VLOOKUP('Données projet'!$B$14,Paramètres!$A$1:$I$89,5,0)</f>
        <v>17.918627999999661</v>
      </c>
      <c r="DQ201" s="13">
        <f t="shared" si="176"/>
        <v>5.9016322671185755</v>
      </c>
      <c r="DR201" s="20">
        <f t="shared" si="177"/>
        <v>41.486953298564259</v>
      </c>
      <c r="DS201" s="59">
        <f t="shared" si="197"/>
        <v>334.21828127744072</v>
      </c>
      <c r="DT201" s="59">
        <f ca="1">AVERAGE(OFFSET($DS$3,0,0,'Données projet'!$E$14+1,1))-AVERAGE(OFFSET($H$3,0,0,'Données projet'!$E$14+1,1))</f>
        <v>502.4879901989737</v>
      </c>
      <c r="DU201" s="59">
        <f t="shared" si="209"/>
        <v>226.06453328626355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113.28791978531206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113.28791978531206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-3.2543994166189806E-14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192.76157155207764</v>
      </c>
      <c r="EP201" s="59">
        <f t="shared" si="210"/>
        <v>413.66427458788348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2.6714556118585775</v>
      </c>
      <c r="EW201" s="21">
        <f>EXP(-LN(2)/25)*EW200+(1-EXP(-LN(2)/25))/(LN(2)/25)*Calculateur!ER201*Calculateur!ET201*VLOOKUP('Données projet'!$B$15,Paramètres!$A$1:$I$89,3,0)*0.475*44/12</f>
        <v>0.17716672377558984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2.8486223356341673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69.835816721511762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1.05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3.85</v>
      </c>
      <c r="H202" s="66">
        <f t="shared" si="192"/>
        <v>241.26666666666665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18.829999999999643</v>
      </c>
      <c r="O202" s="13">
        <f>N202*VLOOKUP('Données projet'!$B$9,Paramètres!$A$1:$I$89,3,0)*VLOOKUP('Données projet'!$B$9,Paramètres!$A$1:$I$89,5,0)</f>
        <v>17.037383999999676</v>
      </c>
      <c r="P202" s="13">
        <f t="shared" si="203"/>
        <v>5.644424624466958</v>
      </c>
      <c r="Q202" s="20">
        <f t="shared" si="162"/>
        <v>39.504150020946049</v>
      </c>
      <c r="R202" s="59">
        <f t="shared" si="191"/>
        <v>332.24592144683993</v>
      </c>
      <c r="S202" s="59">
        <f ca="1">AVERAGE(OFFSET($R$3,0,0,'Données projet'!$E$9+1,1))-AVERAGE(OFFSET($H$3,0,0,'Données projet'!$E$9+1,1))</f>
        <v>480.34707165277229</v>
      </c>
      <c r="T202" s="59">
        <f t="shared" si="204"/>
        <v>217.17128038304531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105.60413018153359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105.60413018153359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20.08734000000041</v>
      </c>
      <c r="AK202" s="13">
        <f t="shared" si="164"/>
        <v>6.5285137703520215</v>
      </c>
      <c r="AL202" s="20">
        <f t="shared" si="165"/>
        <v>46.355945316697152</v>
      </c>
      <c r="AM202" s="59">
        <f t="shared" si="193"/>
        <v>339.09771674259105</v>
      </c>
      <c r="AN202" s="59">
        <f ca="1">AVERAGE(OFFSET($AM$3,0,0,'Données projet'!$E$10+1,1))-AVERAGE(OFFSET($H$3,0,0,'Données projet'!$E$10+1,1))</f>
        <v>596.64394969449609</v>
      </c>
      <c r="AO202" s="59">
        <f t="shared" si="205"/>
        <v>312.55704723516362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80.767520097588587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80.767520097588587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212.28480000000002</v>
      </c>
      <c r="BF202" s="13">
        <f t="shared" si="167"/>
        <v>52.434557099704193</v>
      </c>
      <c r="BG202" s="20">
        <f t="shared" si="168"/>
        <v>461.05288028198476</v>
      </c>
      <c r="BH202" s="59">
        <f t="shared" si="194"/>
        <v>753.79465170787864</v>
      </c>
      <c r="BI202" s="59">
        <f ca="1">AVERAGE(OFFSET($BH$3,0,0,'Données projet'!$E$11+1,1))-AVERAGE(OFFSET($H$3,0,0,'Données projet'!$E$11+1,1))</f>
        <v>360.53625471540249</v>
      </c>
      <c r="BJ202" s="59">
        <f t="shared" si="206"/>
        <v>326.66299410556076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7.9027537087212227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7.9027537087212227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253.79640000000001</v>
      </c>
      <c r="CA202" s="13">
        <f t="shared" si="170"/>
        <v>61.39816832228076</v>
      </c>
      <c r="CB202" s="20">
        <f t="shared" si="171"/>
        <v>548.96387316130563</v>
      </c>
      <c r="CC202" s="59">
        <f t="shared" si="195"/>
        <v>841.70564458719946</v>
      </c>
      <c r="CD202" s="59">
        <f ca="1">AVERAGE(OFFSET($CC$3,0,0,'Données projet'!$E$12+1,1))-AVERAGE(OFFSET($H$3,0,0,'Données projet'!$E$12+1,1))</f>
        <v>358.39045200457502</v>
      </c>
      <c r="CE202" s="59">
        <f t="shared" si="207"/>
        <v>349.48764057925109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5.036748663150628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5.036748663150628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210.25641025641013</v>
      </c>
      <c r="CU202" s="17">
        <f>CT202*VLOOKUP('Données projet'!$B$13,Paramètres!$A$1:$I$89,3,0)*VLOOKUP('Données projet'!$B$13,Paramètres!$A$1:$I$89,5,0)</f>
        <v>163.99999999999991</v>
      </c>
      <c r="CV202" s="13">
        <f t="shared" si="173"/>
        <v>41.743425908362248</v>
      </c>
      <c r="CW202" s="20">
        <f t="shared" si="174"/>
        <v>358.33646679039742</v>
      </c>
      <c r="CX202" s="59">
        <f t="shared" si="196"/>
        <v>651.07823821629131</v>
      </c>
      <c r="CY202" s="59">
        <f ca="1">AVERAGE(OFFSET($CX$3,0,0,'Données projet'!$E$13+1,1))-AVERAGE(OFFSET($H$3,0,0,'Données projet'!$E$13+1,1))</f>
        <v>201.71903756761543</v>
      </c>
      <c r="CZ202" s="59">
        <f t="shared" si="208"/>
        <v>200.66422845182711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2.4605027466585443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2.4605027466585443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18.829999999999643</v>
      </c>
      <c r="DP202" s="17">
        <f>DO202*VLOOKUP('Données projet'!$B$14,Paramètres!$A$1:$I$89,3,0)*VLOOKUP('Données projet'!$B$14,Paramètres!$A$1:$I$89,5,0)</f>
        <v>17.918627999999661</v>
      </c>
      <c r="DQ202" s="13">
        <f t="shared" si="176"/>
        <v>5.9016322671185755</v>
      </c>
      <c r="DR202" s="20">
        <f t="shared" si="177"/>
        <v>41.486953298564259</v>
      </c>
      <c r="DS202" s="59">
        <f t="shared" si="197"/>
        <v>334.22872472445817</v>
      </c>
      <c r="DT202" s="59">
        <f ca="1">AVERAGE(OFFSET($DS$3,0,0,'Données projet'!$E$14+1,1))-AVERAGE(OFFSET($H$3,0,0,'Données projet'!$E$14+1,1))</f>
        <v>502.4879901989737</v>
      </c>
      <c r="DU202" s="59">
        <f t="shared" si="209"/>
        <v>226.06453328626355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111.06641277713021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111.06641277713021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-3.2543994166189806E-14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192.76157155207764</v>
      </c>
      <c r="EP202" s="59">
        <f t="shared" si="210"/>
        <v>413.66427458788348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2.6190699967370614</v>
      </c>
      <c r="EW202" s="21">
        <f>EXP(-LN(2)/25)*EW201+(1-EXP(-LN(2)/25))/(LN(2)/25)*Calculateur!ER202*Calculateur!ET202*VLOOKUP('Données projet'!$B$15,Paramètres!$A$1:$I$89,3,0)*0.475*44/12</f>
        <v>0.17232209039715327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2.7913920871342146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69.838664934334702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1.05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64.75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3.85</v>
      </c>
      <c r="H203" s="66">
        <f t="shared" si="192"/>
        <v>241.26666666666665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18.829999999999643</v>
      </c>
      <c r="O203" s="13">
        <f>N203*VLOOKUP('Données projet'!$B$9,Paramètres!$A$1:$I$89,3,0)*VLOOKUP('Données projet'!$B$9,Paramètres!$A$1:$I$89,5,0)</f>
        <v>17.037383999999676</v>
      </c>
      <c r="P203" s="13">
        <f t="shared" si="203"/>
        <v>5.644424624466958</v>
      </c>
      <c r="Q203" s="20">
        <f t="shared" si="162"/>
        <v>39.504150020946049</v>
      </c>
      <c r="R203" s="59">
        <f t="shared" si="191"/>
        <v>332.25618372339972</v>
      </c>
      <c r="S203" s="59">
        <f ca="1">AVERAGE(OFFSET($R$3,0,0,'Données projet'!$E$9+1,1))-AVERAGE(OFFSET($H$3,0,0,'Données projet'!$E$9+1,1))</f>
        <v>480.34707165277229</v>
      </c>
      <c r="T203" s="59">
        <f t="shared" si="204"/>
        <v>217.17128038304531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103.53329760083295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103.53329760083295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20.08734000000041</v>
      </c>
      <c r="AK203" s="13">
        <f t="shared" si="164"/>
        <v>6.5285137703520215</v>
      </c>
      <c r="AL203" s="20">
        <f t="shared" si="165"/>
        <v>46.355945316697152</v>
      </c>
      <c r="AM203" s="59">
        <f t="shared" si="193"/>
        <v>339.10797901915083</v>
      </c>
      <c r="AN203" s="59">
        <f ca="1">AVERAGE(OFFSET($AM$3,0,0,'Données projet'!$E$10+1,1))-AVERAGE(OFFSET($H$3,0,0,'Données projet'!$E$10+1,1))</f>
        <v>596.64394969449609</v>
      </c>
      <c r="AO203" s="59">
        <f t="shared" si="205"/>
        <v>312.55704723516362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79.183718291797788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79.183718291797788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212.28480000000002</v>
      </c>
      <c r="BF203" s="13">
        <f t="shared" si="167"/>
        <v>52.434557099704193</v>
      </c>
      <c r="BG203" s="20">
        <f t="shared" si="168"/>
        <v>461.05288028198476</v>
      </c>
      <c r="BH203" s="59">
        <f t="shared" si="194"/>
        <v>753.80491398443837</v>
      </c>
      <c r="BI203" s="59">
        <f ca="1">AVERAGE(OFFSET($BH$3,0,0,'Données projet'!$E$11+1,1))-AVERAGE(OFFSET($H$3,0,0,'Données projet'!$E$11+1,1))</f>
        <v>360.53625471540249</v>
      </c>
      <c r="BJ203" s="59">
        <f t="shared" si="206"/>
        <v>326.66299410556076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7.7477855286970065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7.7477855286970065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253.79640000000001</v>
      </c>
      <c r="CA203" s="13">
        <f t="shared" si="170"/>
        <v>61.39816832228076</v>
      </c>
      <c r="CB203" s="20">
        <f t="shared" si="171"/>
        <v>548.96387316130563</v>
      </c>
      <c r="CC203" s="59">
        <f t="shared" si="195"/>
        <v>841.7159068637593</v>
      </c>
      <c r="CD203" s="59">
        <f ca="1">AVERAGE(OFFSET($CC$3,0,0,'Données projet'!$E$12+1,1))-AVERAGE(OFFSET($H$3,0,0,'Données projet'!$E$12+1,1))</f>
        <v>358.39045200457502</v>
      </c>
      <c r="CE203" s="59">
        <f t="shared" si="207"/>
        <v>349.48764057925109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4.937981093979583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4.937981093979583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210.25641025641013</v>
      </c>
      <c r="CU203" s="17">
        <f>CT203*VLOOKUP('Données projet'!$B$13,Paramètres!$A$1:$I$89,3,0)*VLOOKUP('Données projet'!$B$13,Paramètres!$A$1:$I$89,5,0)</f>
        <v>163.99999999999991</v>
      </c>
      <c r="CV203" s="13">
        <f t="shared" si="173"/>
        <v>41.743425908362248</v>
      </c>
      <c r="CW203" s="20">
        <f t="shared" si="174"/>
        <v>358.33646679039742</v>
      </c>
      <c r="CX203" s="59">
        <f t="shared" si="196"/>
        <v>651.08850049285115</v>
      </c>
      <c r="CY203" s="59">
        <f ca="1">AVERAGE(OFFSET($CX$3,0,0,'Données projet'!$E$13+1,1))-AVERAGE(OFFSET($H$3,0,0,'Données projet'!$E$13+1,1))</f>
        <v>201.71903756761543</v>
      </c>
      <c r="CZ203" s="59">
        <f t="shared" si="208"/>
        <v>200.66422845182711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2.4122537885550579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2.4122537885550579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18.829999999999643</v>
      </c>
      <c r="DP203" s="17">
        <f>DO203*VLOOKUP('Données projet'!$B$14,Paramètres!$A$1:$I$89,3,0)*VLOOKUP('Données projet'!$B$14,Paramètres!$A$1:$I$89,5,0)</f>
        <v>17.918627999999661</v>
      </c>
      <c r="DQ203" s="13">
        <f t="shared" si="176"/>
        <v>5.9016322671185755</v>
      </c>
      <c r="DR203" s="20">
        <f t="shared" si="177"/>
        <v>41.486953298564259</v>
      </c>
      <c r="DS203" s="59">
        <f t="shared" si="197"/>
        <v>334.2389870010179</v>
      </c>
      <c r="DT203" s="59">
        <f ca="1">AVERAGE(OFFSET($DS$3,0,0,'Données projet'!$E$14+1,1))-AVERAGE(OFFSET($H$3,0,0,'Données projet'!$E$14+1,1))</f>
        <v>502.4879901989737</v>
      </c>
      <c r="DU203" s="59">
        <f t="shared" si="209"/>
        <v>226.06453328626355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108.88846816639334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108.88846816639334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-3.2543994166189806E-14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192.76157155207764</v>
      </c>
      <c r="EP203" s="59">
        <f t="shared" si="210"/>
        <v>413.66427458788348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2.567711631576008</v>
      </c>
      <c r="EW203" s="21">
        <f>EXP(-LN(2)/25)*EW202+(1-EXP(-LN(2)/25))/(LN(2)/25)*Calculateur!ER203*Calculateur!ET203*VLOOKUP('Données projet'!$B$15,Paramètres!$A$1:$I$89,3,0)*0.475*44/12</f>
        <v>0.16760993377321823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2.7353215653492264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69.841463737032825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1.1608269964394529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1.1736311550444201</v>
      </c>
      <c r="BA205" s="81">
        <f>EXP(LN('Données projet'!B88)/'Données projet'!A88)</f>
        <v>1.4003603312913959</v>
      </c>
      <c r="BV205" s="81">
        <f>EXP(LN('Données projet'!B114)/'Données projet'!A114)</f>
        <v>1.2709816152101407</v>
      </c>
      <c r="CQ205" s="81">
        <f>EXP(LN('Données projet'!B140)/'Données projet'!A140)</f>
        <v>1.2414494093563335</v>
      </c>
      <c r="DL205" s="81">
        <f>EXP(LN('Données projet'!B166)/'Données projet'!A166)</f>
        <v>1.1608269964394529</v>
      </c>
      <c r="EG205" s="81">
        <f>EXP(LN('Données projet'!B192)/'Données projet'!A192)</f>
        <v>1.6608470099654447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1.549879781420765</v>
      </c>
      <c r="C6" s="145">
        <f ca="1">IF(OR('Données projet'!B9="",'Données projet'!C9="",'Données projet'!C9=0%),0,Calculateur!S3)</f>
        <v>480.34707165277229</v>
      </c>
      <c r="D6" s="145">
        <f>IF(OR('Données projet'!B9="",'Données projet'!C9="",'Données projet'!C9=0%),0,Calculateur!T3)</f>
        <v>217.17128038304531</v>
      </c>
      <c r="E6" s="145">
        <f ca="1">MIN(C6,D6)</f>
        <v>217.17128038304531</v>
      </c>
      <c r="F6" s="145">
        <f ca="1">E6*B6</f>
        <v>336.58937657094197</v>
      </c>
      <c r="G6" s="145">
        <f ca="1">F6*(100%-'Données projet'!$C$24)*(100%-'Données projet'!$C$25)*(100%-'Données projet'!$C$26)*(100%-'Données projet'!$C$27)</f>
        <v>302.93043891384775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302.93043891384775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1.549879781420765</v>
      </c>
      <c r="C7" s="145">
        <f ca="1">IF(OR('Données projet'!B10="",'Données projet'!C10="",'Données projet'!C10=0%),0,Calculateur!AN3)</f>
        <v>596.64394969449609</v>
      </c>
      <c r="D7" s="145">
        <f>IF(OR('Données projet'!B10="",'Données projet'!C10="",'Données projet'!C10=0%),0,Calculateur!AO3)</f>
        <v>312.55704723516362</v>
      </c>
      <c r="E7" s="145">
        <f t="shared" ref="E7:E15" ca="1" si="0">MIN(C7,D7)</f>
        <v>312.55704723516362</v>
      </c>
      <c r="F7" s="145">
        <f t="shared" ref="F7:F15" ca="1" si="1">E7*B7</f>
        <v>484.42584805035511</v>
      </c>
      <c r="G7" s="145">
        <f ca="1">F7*(100%-'Données projet'!$C$24)*(100%-'Données projet'!$C$25)*(100%-'Données projet'!$C$26)*(100%-'Données projet'!$C$27)</f>
        <v>435.98326324531962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435.98326324531962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1.3741202185792349</v>
      </c>
      <c r="C8" s="145">
        <f ca="1">IF(OR('Données projet'!B11="",'Données projet'!C11="",'Données projet'!C11=0%),0,Calculateur!BI3)</f>
        <v>360.53625471540249</v>
      </c>
      <c r="D8" s="145">
        <f>IF(OR('Données projet'!B11="",'Données projet'!C11="",'Données projet'!C11=0%),0,Calculateur!BJ3)</f>
        <v>326.66299410556076</v>
      </c>
      <c r="E8" s="145">
        <f t="shared" ca="1" si="0"/>
        <v>326.66299410556076</v>
      </c>
      <c r="F8" s="145">
        <f t="shared" ca="1" si="1"/>
        <v>448.8742248620805</v>
      </c>
      <c r="G8" s="145">
        <f ca="1">F8*(100%-'Données projet'!$C$24)*(100%-'Données projet'!$C$25)*(100%-'Données projet'!$C$26)*(100%-'Données projet'!$C$27)</f>
        <v>403.98680237587246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36.757715846994536</v>
      </c>
      <c r="K8" s="149">
        <f>J8*(100%-'Données projet'!$C$24)*(100%-'Données projet'!$C$25)*(100%-'Données projet'!$C$26)*(100%-'Données projet'!$C$27)</f>
        <v>33.081944262295082</v>
      </c>
      <c r="L8" s="150">
        <f t="shared" ca="1" si="2"/>
        <v>437.06874663816757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1.3741202185792349</v>
      </c>
      <c r="C9" s="145">
        <f ca="1">IF(OR('Données projet'!B12="",'Données projet'!C12="",'Données projet'!C12=0%),0,Calculateur!CD3)</f>
        <v>358.39045200457502</v>
      </c>
      <c r="D9" s="145">
        <f>IF(OR('Données projet'!B12="",'Données projet'!C12="",'Données projet'!C12=0%),0,Calculateur!CE3)</f>
        <v>349.48764057925109</v>
      </c>
      <c r="E9" s="145">
        <f t="shared" ca="1" si="0"/>
        <v>349.48764057925109</v>
      </c>
      <c r="F9" s="145">
        <f t="shared" ca="1" si="1"/>
        <v>480.23803306350163</v>
      </c>
      <c r="G9" s="145">
        <f ca="1">F9*(100%-'Données projet'!$C$24)*(100%-'Données projet'!$C$25)*(100%-'Données projet'!$C$26)*(100%-'Données projet'!$C$27)</f>
        <v>432.21422975715149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47.063617486338799</v>
      </c>
      <c r="K9" s="149">
        <f>J9*(100%-'Données projet'!$C$24)*(100%-'Données projet'!$C$25)*(100%-'Données projet'!$C$26)*(100%-'Données projet'!$C$27)</f>
        <v>42.357255737704918</v>
      </c>
      <c r="L9" s="150">
        <f t="shared" ca="1" si="2"/>
        <v>474.5714854948564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Merisier</v>
      </c>
      <c r="B10" s="152">
        <f>'Données projet'!D13</f>
        <v>0.68706010928961747</v>
      </c>
      <c r="C10" s="145">
        <f ca="1">IF(OR('Données projet'!B13="",'Données projet'!C13="",'Données projet'!C13=0%),0,Calculateur!CY3)</f>
        <v>201.71903756761543</v>
      </c>
      <c r="D10" s="145">
        <f>IF(OR('Données projet'!B13="",'Données projet'!C13="",'Données projet'!C13=0%),0,Calculateur!CZ3)</f>
        <v>200.66422845182711</v>
      </c>
      <c r="E10" s="145">
        <f t="shared" ca="1" si="0"/>
        <v>200.66422845182711</v>
      </c>
      <c r="F10" s="145">
        <f t="shared" ca="1" si="1"/>
        <v>137.86838673062911</v>
      </c>
      <c r="G10" s="145">
        <f ca="1">F10*(100%-'Données projet'!$C$24)*(100%-'Données projet'!$C$25)*(100%-'Données projet'!$C$26)*(100%-'Données projet'!$C$27)</f>
        <v>124.08154805756621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6.055818270982205</v>
      </c>
      <c r="K10" s="149">
        <f>J10*(100%-'Données projet'!$C$24)*(100%-'Données projet'!$C$25)*(100%-'Données projet'!$C$26)*(100%-'Données projet'!$C$27)</f>
        <v>5.450236443883985</v>
      </c>
      <c r="L10" s="150">
        <f t="shared" ca="1" si="2"/>
        <v>129.5317845014502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Charme</v>
      </c>
      <c r="B11" s="152">
        <f>'Données projet'!D14</f>
        <v>0.7749398907103825</v>
      </c>
      <c r="C11" s="145">
        <f ca="1">IF(OR('Données projet'!B14="",'Données projet'!C14="",'Données projet'!C14=0%),0,Calculateur!DT3)</f>
        <v>502.4879901989737</v>
      </c>
      <c r="D11" s="145">
        <f>IF(OR('Données projet'!B14="",'Données projet'!C14="",'Données projet'!C14=0%),0,Calculateur!DU3)</f>
        <v>226.06453328626355</v>
      </c>
      <c r="E11" s="145">
        <f t="shared" ca="1" si="0"/>
        <v>226.06453328626355</v>
      </c>
      <c r="F11" s="145">
        <f t="shared" ca="1" si="1"/>
        <v>175.18642471835071</v>
      </c>
      <c r="G11" s="145">
        <f ca="1">F11*(100%-'Données projet'!$C$24)*(100%-'Données projet'!$C$25)*(100%-'Données projet'!$C$26)*(100%-'Données projet'!$C$27)</f>
        <v>157.66778224651563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157.66778224651563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Peuplier Robusta</v>
      </c>
      <c r="B12" s="152">
        <f>'Données projet'!D15</f>
        <v>2.12</v>
      </c>
      <c r="C12" s="145">
        <f ca="1">IF(OR('Données projet'!B15="",'Données projet'!C15="",'Données projet'!C15=0%),0,Calculateur!EO3)</f>
        <v>192.76157155207764</v>
      </c>
      <c r="D12" s="145">
        <f>IF(OR('Données projet'!B15="",'Données projet'!C15="",'Données projet'!C15=0%),0,Calculateur!EP3)</f>
        <v>413.66427458788348</v>
      </c>
      <c r="E12" s="145">
        <f t="shared" ca="1" si="0"/>
        <v>192.76157155207764</v>
      </c>
      <c r="F12" s="145">
        <f t="shared" ca="1" si="1"/>
        <v>408.65453169040461</v>
      </c>
      <c r="G12" s="145">
        <f ca="1">F12*(100%-'Données projet'!$C$24)*(100%-'Données projet'!$C$25)*(100%-'Données projet'!$C$26)*(100%-'Données projet'!$C$27)</f>
        <v>367.78907852136416</v>
      </c>
      <c r="H12" s="153">
        <f>IF(OR('Données projet'!B15="",'Données projet'!C15="",'Données projet'!C15=0%),0,AVERAGE(Calculateur!$EY$3:$EY$33)*B12)</f>
        <v>78.133001544695588</v>
      </c>
      <c r="I12" s="147">
        <f>H12*(100%-'Données projet'!$C$24)*(100%-'Données projet'!$C$25)*(100%-'Données projet'!$C$26)*(100%-'Données projet'!$C$27)</f>
        <v>70.31970139022603</v>
      </c>
      <c r="J12" s="148">
        <f>IF(OR('Données projet'!B15="",'Données projet'!C15="",'Données projet'!C15=0%),0,SUM(Calculateur!$ER$3:$ER$33)*VLOOKUP('Données projet'!$B$15,Paramètres!$A$1:$I$89,9,0)*B12)</f>
        <v>677.47589743589742</v>
      </c>
      <c r="K12" s="149">
        <f>J12*(100%-'Données projet'!$C$24)*(100%-'Données projet'!$C$25)*(100%-'Données projet'!$C$26)*(100%-'Données projet'!$C$27)</f>
        <v>609.72830769230768</v>
      </c>
      <c r="L12" s="150">
        <f t="shared" ca="1" si="2"/>
        <v>1047.837087603898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2471.8368256862632</v>
      </c>
      <c r="G16" s="164">
        <f t="shared" ca="1" si="3"/>
        <v>2224.6531431176372</v>
      </c>
      <c r="H16" s="165">
        <f t="shared" si="3"/>
        <v>78.133001544695588</v>
      </c>
      <c r="I16" s="165">
        <f t="shared" si="3"/>
        <v>70.31970139022603</v>
      </c>
      <c r="J16" s="166">
        <f t="shared" si="3"/>
        <v>767.35304904021291</v>
      </c>
      <c r="K16" s="166">
        <f t="shared" si="3"/>
        <v>690.61774413619162</v>
      </c>
      <c r="L16" s="167">
        <f t="shared" ca="1" si="3"/>
        <v>2985.5905886440551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Peuplier Robusta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2681.5956517502818</v>
      </c>
      <c r="U10" s="176">
        <f>'Données projet'!D9</f>
        <v>1.549879781420765</v>
      </c>
      <c r="V10" s="175">
        <f>U10*T10</f>
        <v>4156.1508825936007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4178.3939553138698</v>
      </c>
      <c r="U11" s="176">
        <f>'Données projet'!D10</f>
        <v>1.549879781420765</v>
      </c>
      <c r="V11" s="175">
        <f t="shared" ref="V11" si="0">U11*T11</f>
        <v>6476.0083101517066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-605.12550110725556</v>
      </c>
      <c r="U12" s="176">
        <f>'Données projet'!D11</f>
        <v>1.3741202185792349</v>
      </c>
      <c r="V12" s="175">
        <f t="shared" ref="V12:V19" si="1">U12*T12</f>
        <v>-831.51518584937105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-1025.2496035039665</v>
      </c>
      <c r="U13" s="176">
        <f>'Données projet'!D12</f>
        <v>1.3741202185792349</v>
      </c>
      <c r="V13" s="175">
        <f t="shared" si="1"/>
        <v>-1408.8162092651444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Merisier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-2006.6826759129176</v>
      </c>
      <c r="U14" s="176">
        <f>'Données projet'!D13</f>
        <v>0.68706010928961747</v>
      </c>
      <c r="V14" s="175">
        <f t="shared" si="1"/>
        <v>-1378.7116186223111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Charme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-657.67889001589151</v>
      </c>
      <c r="U15" s="176">
        <f>'Données projet'!D14</f>
        <v>0.7749398907103825</v>
      </c>
      <c r="V15" s="175">
        <f t="shared" si="1"/>
        <v>-509.66160715144065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Peuplier Robusta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5412.3051006831138</v>
      </c>
      <c r="U16" s="176">
        <f>'Données projet'!D15</f>
        <v>2.12</v>
      </c>
      <c r="V16" s="175">
        <f t="shared" si="1"/>
        <v>11474.086813448203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3488.27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4140.88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-21070.957014694752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44</v>
      </c>
      <c r="B24" s="179">
        <f>'Données projet'!D37</f>
        <v>74.010000000000005</v>
      </c>
      <c r="C24" s="191">
        <v>235</v>
      </c>
      <c r="D24" s="180">
        <f t="shared" ref="D24:D42" si="2">B24*C24</f>
        <v>17392.350000000002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51</v>
      </c>
      <c r="B25" s="179">
        <f>'Données projet'!D38</f>
        <v>46.13</v>
      </c>
      <c r="C25" s="191">
        <v>235</v>
      </c>
      <c r="D25" s="180">
        <f t="shared" si="2"/>
        <v>10840.550000000001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-21070.957014694752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59</v>
      </c>
      <c r="B26" s="179">
        <f>'Données projet'!D39</f>
        <v>48.96</v>
      </c>
      <c r="C26" s="191">
        <v>235</v>
      </c>
      <c r="D26" s="180">
        <f t="shared" si="2"/>
        <v>11505.6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67</v>
      </c>
      <c r="B27" s="179">
        <f>'Données projet'!D40</f>
        <v>40.630000000000003</v>
      </c>
      <c r="C27" s="191">
        <v>235</v>
      </c>
      <c r="D27" s="180">
        <f t="shared" si="2"/>
        <v>9548.0500000000011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75</v>
      </c>
      <c r="B28" s="179">
        <f>'Données projet'!D41</f>
        <v>39.54</v>
      </c>
      <c r="C28" s="191">
        <v>235</v>
      </c>
      <c r="D28" s="180">
        <f t="shared" si="2"/>
        <v>9291.9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44.89</v>
      </c>
      <c r="C29" s="191">
        <v>235</v>
      </c>
      <c r="D29" s="180">
        <f t="shared" si="2"/>
        <v>10549.15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93</v>
      </c>
      <c r="B30" s="179">
        <f>'Données projet'!D43</f>
        <v>38.57</v>
      </c>
      <c r="C30" s="191">
        <v>235</v>
      </c>
      <c r="D30" s="180">
        <f t="shared" si="2"/>
        <v>9063.9500000000007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103</v>
      </c>
      <c r="B31" s="179">
        <f>'Données projet'!D44</f>
        <v>50.51</v>
      </c>
      <c r="C31" s="191">
        <v>235</v>
      </c>
      <c r="D31" s="180">
        <f t="shared" si="2"/>
        <v>11869.85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113</v>
      </c>
      <c r="B32" s="179">
        <f>'Données projet'!D45</f>
        <v>40.479999999999997</v>
      </c>
      <c r="C32" s="191">
        <v>235</v>
      </c>
      <c r="D32" s="180">
        <f t="shared" si="2"/>
        <v>9512.7999999999993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125</v>
      </c>
      <c r="B33" s="179">
        <f>'Données projet'!D46</f>
        <v>61.5</v>
      </c>
      <c r="C33" s="191">
        <v>235</v>
      </c>
      <c r="D33" s="180">
        <f t="shared" si="2"/>
        <v>14452.5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137</v>
      </c>
      <c r="B34" s="179">
        <f>'Données projet'!D47</f>
        <v>65.53</v>
      </c>
      <c r="C34" s="191">
        <v>235</v>
      </c>
      <c r="D34" s="180">
        <f t="shared" si="2"/>
        <v>15399.550000000001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149</v>
      </c>
      <c r="B35" s="179">
        <f>'Données projet'!D48</f>
        <v>153.56</v>
      </c>
      <c r="C35" s="191">
        <v>235</v>
      </c>
      <c r="D35" s="180">
        <f t="shared" si="2"/>
        <v>36086.6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153</v>
      </c>
      <c r="B36" s="179">
        <f>'Données projet'!D49</f>
        <v>89.29</v>
      </c>
      <c r="C36" s="191">
        <v>235</v>
      </c>
      <c r="D36" s="180">
        <f t="shared" si="2"/>
        <v>20983.15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157</v>
      </c>
      <c r="B37" s="179">
        <f>'Données projet'!D50</f>
        <v>57.95</v>
      </c>
      <c r="C37" s="191">
        <v>235</v>
      </c>
      <c r="D37" s="180">
        <f t="shared" si="2"/>
        <v>13618.25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161</v>
      </c>
      <c r="B38" s="179">
        <f>'Données projet'!D51</f>
        <v>115.43</v>
      </c>
      <c r="C38" s="191">
        <v>235</v>
      </c>
      <c r="D38" s="180">
        <f t="shared" si="2"/>
        <v>27126.050000000003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3488.27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>
        <v>235</v>
      </c>
      <c r="D55" s="177">
        <f t="shared" ref="D55:D73" si="4">B55*C55</f>
        <v>16351.3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>
        <v>235</v>
      </c>
      <c r="D56" s="177">
        <f t="shared" si="4"/>
        <v>11141.349999999999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>
        <v>235</v>
      </c>
      <c r="D57" s="177">
        <f t="shared" si="4"/>
        <v>14363.199999999999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>
        <v>235</v>
      </c>
      <c r="D58" s="177">
        <f t="shared" si="4"/>
        <v>13686.4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>
        <v>235</v>
      </c>
      <c r="D59" s="177">
        <f t="shared" si="4"/>
        <v>12739.35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>
        <v>235</v>
      </c>
      <c r="D60" s="177">
        <f t="shared" si="4"/>
        <v>12236.45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>
        <v>235</v>
      </c>
      <c r="D61" s="177">
        <f t="shared" si="4"/>
        <v>13998.95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>
        <v>235</v>
      </c>
      <c r="D62" s="177">
        <f t="shared" si="4"/>
        <v>15157.5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>
        <v>235</v>
      </c>
      <c r="D63" s="177">
        <f t="shared" si="4"/>
        <v>14790.9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>
        <v>235</v>
      </c>
      <c r="D64" s="177">
        <f t="shared" si="4"/>
        <v>15735.599999999999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>
        <v>235</v>
      </c>
      <c r="D65" s="177">
        <f t="shared" si="4"/>
        <v>46168.1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>
        <v>235</v>
      </c>
      <c r="D66" s="177">
        <f t="shared" si="4"/>
        <v>23641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>
        <v>235</v>
      </c>
      <c r="D67" s="177">
        <f t="shared" si="4"/>
        <v>15279.699999999999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>
        <v>235</v>
      </c>
      <c r="D68" s="177">
        <f t="shared" si="4"/>
        <v>33802.400000000001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2695.94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54</v>
      </c>
      <c r="C87" s="189">
        <v>20</v>
      </c>
      <c r="D87" s="177">
        <f t="shared" si="6"/>
        <v>1080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26</v>
      </c>
      <c r="C88" s="189">
        <v>20</v>
      </c>
      <c r="D88" s="177">
        <f t="shared" si="6"/>
        <v>520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27</v>
      </c>
      <c r="C89" s="189">
        <v>20</v>
      </c>
      <c r="D89" s="177">
        <f t="shared" si="6"/>
        <v>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27</v>
      </c>
      <c r="C90" s="189">
        <v>55</v>
      </c>
      <c r="D90" s="177">
        <f t="shared" si="6"/>
        <v>1485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27</v>
      </c>
      <c r="C91" s="189">
        <v>55</v>
      </c>
      <c r="D91" s="177">
        <f t="shared" si="6"/>
        <v>1485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>
        <v>55</v>
      </c>
      <c r="D92" s="177">
        <f t="shared" si="6"/>
        <v>1430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24</v>
      </c>
      <c r="C93" s="189">
        <v>55</v>
      </c>
      <c r="D93" s="177">
        <f t="shared" si="6"/>
        <v>1320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23</v>
      </c>
      <c r="C94" s="189">
        <v>55</v>
      </c>
      <c r="D94" s="177">
        <f t="shared" si="6"/>
        <v>1265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21</v>
      </c>
      <c r="C95" s="189">
        <v>55</v>
      </c>
      <c r="D95" s="177">
        <f t="shared" si="6"/>
        <v>1155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20</v>
      </c>
      <c r="C96" s="189">
        <v>55</v>
      </c>
      <c r="D96" s="177">
        <f t="shared" si="6"/>
        <v>1100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18</v>
      </c>
      <c r="C97" s="189">
        <v>55</v>
      </c>
      <c r="D97" s="177">
        <f t="shared" si="6"/>
        <v>990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16</v>
      </c>
      <c r="C98" s="189">
        <v>55</v>
      </c>
      <c r="D98" s="177">
        <f t="shared" si="6"/>
        <v>880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15</v>
      </c>
      <c r="C99" s="189">
        <v>55</v>
      </c>
      <c r="D99" s="177">
        <f t="shared" si="6"/>
        <v>825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14</v>
      </c>
      <c r="C100" s="189">
        <v>55</v>
      </c>
      <c r="D100" s="177">
        <f t="shared" si="6"/>
        <v>770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12</v>
      </c>
      <c r="C101" s="189">
        <v>55</v>
      </c>
      <c r="D101" s="177">
        <f t="shared" si="6"/>
        <v>660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12</v>
      </c>
      <c r="C102" s="189">
        <v>55</v>
      </c>
      <c r="D102" s="177">
        <f t="shared" si="6"/>
        <v>660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12</v>
      </c>
      <c r="C103" s="189">
        <v>55</v>
      </c>
      <c r="D103" s="177">
        <f t="shared" si="6"/>
        <v>660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3356.21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32</v>
      </c>
      <c r="C117" s="189">
        <v>20</v>
      </c>
      <c r="D117" s="177">
        <f t="shared" ref="D117:D135" si="8">B117*C117</f>
        <v>640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35</v>
      </c>
      <c r="C118" s="189">
        <v>20</v>
      </c>
      <c r="D118" s="177">
        <f t="shared" si="8"/>
        <v>700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35</v>
      </c>
      <c r="C119" s="189">
        <v>20</v>
      </c>
      <c r="D119" s="177">
        <f t="shared" si="8"/>
        <v>700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35</v>
      </c>
      <c r="C120" s="189">
        <v>20</v>
      </c>
      <c r="D120" s="177">
        <f t="shared" si="8"/>
        <v>700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35</v>
      </c>
      <c r="C121" s="189">
        <v>55</v>
      </c>
      <c r="D121" s="177">
        <f t="shared" si="8"/>
        <v>1925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35</v>
      </c>
      <c r="C122" s="189">
        <v>55</v>
      </c>
      <c r="D122" s="177">
        <f t="shared" si="8"/>
        <v>1925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24</v>
      </c>
      <c r="C123" s="189">
        <v>55</v>
      </c>
      <c r="D123" s="177">
        <f t="shared" si="8"/>
        <v>1320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19</v>
      </c>
      <c r="C124" s="189">
        <v>55</v>
      </c>
      <c r="D124" s="177">
        <f t="shared" si="8"/>
        <v>1045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16</v>
      </c>
      <c r="C125" s="189">
        <v>55</v>
      </c>
      <c r="D125" s="177">
        <f t="shared" si="8"/>
        <v>880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14</v>
      </c>
      <c r="C126" s="189">
        <v>55</v>
      </c>
      <c r="D126" s="177">
        <f t="shared" si="8"/>
        <v>770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13</v>
      </c>
      <c r="C127" s="189">
        <v>55</v>
      </c>
      <c r="D127" s="177">
        <f t="shared" si="8"/>
        <v>715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13</v>
      </c>
      <c r="C128" s="189">
        <v>55</v>
      </c>
      <c r="D128" s="177">
        <f t="shared" si="8"/>
        <v>715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12</v>
      </c>
      <c r="C129" s="189">
        <v>55</v>
      </c>
      <c r="D129" s="177">
        <f t="shared" si="8"/>
        <v>660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11</v>
      </c>
      <c r="C130" s="189">
        <v>55</v>
      </c>
      <c r="D130" s="177">
        <f t="shared" si="8"/>
        <v>605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Merisier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3356.21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1.9230769230769229</v>
      </c>
      <c r="C147" s="189">
        <v>20</v>
      </c>
      <c r="D147" s="180">
        <f>B147*C147</f>
        <v>38.46153846153846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16.025641025641026</v>
      </c>
      <c r="C148" s="189">
        <v>20</v>
      </c>
      <c r="D148" s="180">
        <f t="shared" ref="D148:D166" si="10">B148*C148</f>
        <v>320.5128205128205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17.307692307692307</v>
      </c>
      <c r="C149" s="189">
        <v>20</v>
      </c>
      <c r="D149" s="180">
        <f t="shared" si="10"/>
        <v>346.15384615384613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31</v>
      </c>
      <c r="B150" s="173">
        <f>'Données projet'!D143</f>
        <v>23.076923076923077</v>
      </c>
      <c r="C150" s="189">
        <v>55</v>
      </c>
      <c r="D150" s="180">
        <f t="shared" si="10"/>
        <v>1269.2307692307693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37</v>
      </c>
      <c r="B151" s="173">
        <f>'Données projet'!D144</f>
        <v>23.076923076923077</v>
      </c>
      <c r="C151" s="189">
        <v>55</v>
      </c>
      <c r="D151" s="180">
        <f t="shared" si="10"/>
        <v>1269.2307692307693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44</v>
      </c>
      <c r="B152" s="173">
        <f>'Données projet'!D145</f>
        <v>27.564102564102562</v>
      </c>
      <c r="C152" s="189">
        <v>55</v>
      </c>
      <c r="D152" s="180">
        <f t="shared" si="10"/>
        <v>1516.0256410256409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52</v>
      </c>
      <c r="B153" s="173">
        <f>'Données projet'!D146</f>
        <v>30.769230769230766</v>
      </c>
      <c r="C153" s="189">
        <v>55</v>
      </c>
      <c r="D153" s="180">
        <f t="shared" si="10"/>
        <v>1692.3076923076922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60</v>
      </c>
      <c r="B154" s="173">
        <f>'Données projet'!D147</f>
        <v>30.128205128205128</v>
      </c>
      <c r="C154" s="189">
        <v>55</v>
      </c>
      <c r="D154" s="180">
        <f t="shared" si="10"/>
        <v>1657.051282051282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69</v>
      </c>
      <c r="B155" s="173">
        <f>'Données projet'!D148</f>
        <v>0</v>
      </c>
      <c r="C155" s="189">
        <v>55</v>
      </c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Charme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2101.69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44</v>
      </c>
      <c r="B179" s="179">
        <f>'Données projet'!D167</f>
        <v>74.010000000000005</v>
      </c>
      <c r="C179" s="191">
        <v>55</v>
      </c>
      <c r="D179" s="177">
        <f t="shared" ref="D179:D197" si="11">B179*C179</f>
        <v>4070.55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51</v>
      </c>
      <c r="B180" s="179">
        <f>'Données projet'!D168</f>
        <v>46.13</v>
      </c>
      <c r="C180" s="191">
        <v>55</v>
      </c>
      <c r="D180" s="177">
        <f t="shared" si="11"/>
        <v>2537.15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59</v>
      </c>
      <c r="B181" s="179">
        <f>'Données projet'!D169</f>
        <v>48.96</v>
      </c>
      <c r="C181" s="191">
        <v>55</v>
      </c>
      <c r="D181" s="177">
        <f t="shared" si="11"/>
        <v>2692.8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67</v>
      </c>
      <c r="B182" s="179">
        <f>'Données projet'!D170</f>
        <v>40.630000000000003</v>
      </c>
      <c r="C182" s="191">
        <v>55</v>
      </c>
      <c r="D182" s="177">
        <f t="shared" si="11"/>
        <v>2234.65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75</v>
      </c>
      <c r="B183" s="179">
        <f>'Données projet'!D171</f>
        <v>39.54</v>
      </c>
      <c r="C183" s="191">
        <v>55</v>
      </c>
      <c r="D183" s="177">
        <f t="shared" si="11"/>
        <v>2174.6999999999998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84</v>
      </c>
      <c r="B184" s="179">
        <f>'Données projet'!D172</f>
        <v>44.89</v>
      </c>
      <c r="C184" s="191">
        <v>55</v>
      </c>
      <c r="D184" s="177">
        <f t="shared" si="11"/>
        <v>2468.9499999999998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93</v>
      </c>
      <c r="B185" s="179">
        <f>'Données projet'!D173</f>
        <v>38.57</v>
      </c>
      <c r="C185" s="191">
        <v>55</v>
      </c>
      <c r="D185" s="177">
        <f t="shared" si="11"/>
        <v>2121.35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103</v>
      </c>
      <c r="B186" s="179">
        <f>'Données projet'!D174</f>
        <v>50.51</v>
      </c>
      <c r="C186" s="191">
        <v>55</v>
      </c>
      <c r="D186" s="177">
        <f t="shared" si="11"/>
        <v>2778.0499999999997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113</v>
      </c>
      <c r="B187" s="179">
        <f>'Données projet'!D175</f>
        <v>40.479999999999997</v>
      </c>
      <c r="C187" s="191">
        <v>55</v>
      </c>
      <c r="D187" s="177">
        <f t="shared" si="11"/>
        <v>2226.3999999999996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125</v>
      </c>
      <c r="B188" s="179">
        <f>'Données projet'!D176</f>
        <v>61.5</v>
      </c>
      <c r="C188" s="191">
        <v>55</v>
      </c>
      <c r="D188" s="177">
        <f t="shared" si="11"/>
        <v>3382.5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137</v>
      </c>
      <c r="B189" s="179">
        <f>'Données projet'!D177</f>
        <v>65.53</v>
      </c>
      <c r="C189" s="191">
        <v>55</v>
      </c>
      <c r="D189" s="177">
        <f t="shared" si="11"/>
        <v>3604.15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149</v>
      </c>
      <c r="B190" s="179">
        <f>'Données projet'!D178</f>
        <v>153.56</v>
      </c>
      <c r="C190" s="191">
        <v>55</v>
      </c>
      <c r="D190" s="177">
        <f t="shared" si="11"/>
        <v>8445.7999999999993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153</v>
      </c>
      <c r="B191" s="179">
        <f>'Données projet'!D179</f>
        <v>89.29</v>
      </c>
      <c r="C191" s="191">
        <v>55</v>
      </c>
      <c r="D191" s="177">
        <f t="shared" si="11"/>
        <v>4910.9500000000007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157</v>
      </c>
      <c r="B192" s="179">
        <f>'Données projet'!D180</f>
        <v>57.95</v>
      </c>
      <c r="C192" s="191">
        <v>55</v>
      </c>
      <c r="D192" s="177">
        <f t="shared" si="11"/>
        <v>3187.25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161</v>
      </c>
      <c r="B193" s="179">
        <f>'Données projet'!D181</f>
        <v>115.43</v>
      </c>
      <c r="C193" s="191">
        <v>55</v>
      </c>
      <c r="D193" s="177">
        <f t="shared" si="11"/>
        <v>6348.6500000000005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Peuplier Robusta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2049.14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9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14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19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20</v>
      </c>
      <c r="B212" s="179">
        <f>'Données projet'!D195</f>
        <v>310.25641025641022</v>
      </c>
      <c r="C212" s="191">
        <v>58</v>
      </c>
      <c r="D212" s="177">
        <f t="shared" si="12"/>
        <v>17994.871794871793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2025-10-16T14:24:56Z</dcterms:modified>
</cp:coreProperties>
</file>