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GCF-FDI-FIC01\homedir$\carolina.alvespereir\Downloads\"/>
    </mc:Choice>
  </mc:AlternateContent>
  <xr:revisionPtr revIDLastSave="0" documentId="13_ncr:1_{797B001D-5212-4504-879C-9E0B8DBFEE24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<sst xmlns="http://schemas.openxmlformats.org/spreadsheetml/2006/main" count="1187" uniqueCount="327">
  <si>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</si>
  <si>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</si>
  <si>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</si>
  <si>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</si>
  <si>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</si>
  <si>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</si>
  <si>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</si>
  <si>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</si>
  <si>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</si>
  <si>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</si>
  <si>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</si>
  <si>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</si>
  <si>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</si>
  <si>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</si>
  <si>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</si>
  <si>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</si>
  <si>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</si>
  <si>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</si>
  <si>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</si>
  <si>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</si>
  <si>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</si>
  <si>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</si>
  <si>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</si>
  <si>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</si>
  <si>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</si>
  <si>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</si>
  <si>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</si>
  <si>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</si>
  <si>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</si>
  <si>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</si>
  <si>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</si>
  <si>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</si>
  <si>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</si>
  <si>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</si>
  <si>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</si>
  <si>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</si>
  <si>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</si>
  <si>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</si>
  <si>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</si>
  <si>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</si>
  <si>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</si>
  <si>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</si>
  <si>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</si>
  <si>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</si>
  <si>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</si>
  <si>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</si>
  <si>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</si>
  <si>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</si>
  <si>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</si>
  <si>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</si>
  <si>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</si>
  <si>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</si>
  <si>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</si>
  <si>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</si>
  <si>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</si>
  <si>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</si>
  <si>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</si>
  <si>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</si>
  <si>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</si>
  <si>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</si>
  <si>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</si>
  <si>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</si>
  <si>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</si>
  <si>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</si>
  <si>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</si>
  <si>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</si>
  <si>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</si>
  <si>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</si>
  <si>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</si>
  <si>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</si>
  <si>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</si>
  <si>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</si>
  <si>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</si>
  <si>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</si>
  <si>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</si>
  <si>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</si>
  <si>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</si>
  <si>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</si>
  <si>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</si>
  <si>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</si>
  <si>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</si>
  <si>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</si>
  <si>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</si>
  <si>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</si>
  <si>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</si>
  <si>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</si>
  <si>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</si>
  <si>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</si>
  <si>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</si>
  <si>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</si>
  <si>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</si>
  <si>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</si>
  <si>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</si>
  <si>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</si>
  <si>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</si>
  <si>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</si>
  <si>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</si>
  <si>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</si>
  <si>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</si>
  <si>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</si>
  <si>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</si>
  <si>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</si>
  <si>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</si>
  <si>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</si>
  <si>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</si>
  <si>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</si>
  <si>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</si>
  <si>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</si>
  <si>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</si>
  <si>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</si>
  <si>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</si>
  <si>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</si>
  <si>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</si>
  <si>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</si>
  <si>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</si>
  <si>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</si>
  <si>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</si>
  <si>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</si>
  <si>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</si>
  <si>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</si>
  <si>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</si>
  <si>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</si>
  <si>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</si>
  <si>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</si>
  <si>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</si>
  <si>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</si>
  <si>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</si>
  <si>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</si>
  <si>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</si>
  <si>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</si>
  <si>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</si>
  <si>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</si>
  <si>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</si>
  <si>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</si>
  <si>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</si>
  <si>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</si>
  <si>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</si>
  <si>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</si>
  <si>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</si>
  <si>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</si>
  <si>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</si>
  <si>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</si>
  <si>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</si>
  <si>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</si>
  <si>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</si>
  <si>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</si>
  <si>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</si>
  <si>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</si>
  <si>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</si>
  <si>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</si>
  <si>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</si>
  <si>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</si>
  <si>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</si>
  <si>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</si>
  <si>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</si>
  <si>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</si>
  <si>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</si>
  <si>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</si>
  <si>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</si>
  <si>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</si>
  <si>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</si>
  <si>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</si>
  <si>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</si>
  <si>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</si>
  <si>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</si>
  <si>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</si>
  <si>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</si>
  <si>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</si>
  <si>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</si>
  <si>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</si>
  <si>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</si>
  <si>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</si>
  <si>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</si>
  <si>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</si>
  <si>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</si>
  <si>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</si>
  <si>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</si>
  <si>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</si>
  <si>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</si>
  <si>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</si>
  <si>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</si>
  <si>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</si>
  <si>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</si>
  <si>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</si>
  <si>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</si>
  <si>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</si>
  <si>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</si>
  <si>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</si>
  <si>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</si>
  <si>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</si>
  <si>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</si>
  <si>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</si>
  <si>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</si>
  <si>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</si>
  <si>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</si>
  <si>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</si>
  <si>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</si>
  <si>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</si>
  <si>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</si>
  <si>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</si>
  <si>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</si>
  <si>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</si>
  <si>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</si>
  <si>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</si>
  <si>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</si>
  <si>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</si>
  <si>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</si>
  <si>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</si>
  <si>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</si>
  <si>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</si>
  <si>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</si>
  <si>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</si>
  <si>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</si>
  <si>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</si>
  <si>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</si>
  <si>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</si>
  <si>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</si>
  <si>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</si>
  <si>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</si>
  <si>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</si>
  <si>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</si>
  <si>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</si>
  <si>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</si>
  <si>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</si>
  <si>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</si>
  <si>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</si>
  <si>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</si>
  <si>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</si>
  <si>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</si>
  <si>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</si>
  <si>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</si>
  <si>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</si>
  <si>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</si>
  <si>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</si>
  <si>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</si>
  <si>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</si>
  <si>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</si>
  <si>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</si>
  <si>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</si>
  <si>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</si>
  <si>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</si>
  <si>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</si>
  <si>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</si>
  <si>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</si>
  <si>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</si>
  <si>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</si>
  <si>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</si>
  <si>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</si>
  <si>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</si>
  <si>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</si>
  <si>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</si>
  <si>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</si>
  <si>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</si>
  <si>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</si>
  <si>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</si>
  <si>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</si>
  <si>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</si>
  <si>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</si>
  <si>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</si>
  <si>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</si>
  <si>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</si>
  <si>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</si>
  <si>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</si>
  <si>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</si>
  <si>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</si>
  <si>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</si>
  <si>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</si>
  <si>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</si>
  <si>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</si>
  <si>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</si>
  <si>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</si>
  <si>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</si>
  <si>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</si>
  <si>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</si>
  <si>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</si>
  <si>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</si>
  <si>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</si>
  <si>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</si>
  <si>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</si>
  <si>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</si>
  <si>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</si>
  <si>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</si>
  <si>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</si>
  <si>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</si>
  <si>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</si>
  <si>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</si>
  <si>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</si>
  <si>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</si>
  <si>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</si>
  <si>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</si>
  <si>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</si>
  <si>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</si>
  <si>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</si>
  <si>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</si>
  <si>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</si>
  <si>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</si>
  <si>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</si>
  <si>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</si>
  <si>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</si>
  <si>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</si>
  <si>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</si>
  <si>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</si>
  <si>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</si>
  <si>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</si>
  <si>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</si>
  <si>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</si>
  <si>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</si>
  <si>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</si>
  <si>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</si>
  <si>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</si>
  <si>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</si>
  <si>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</si>
  <si>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</si>
  <si>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</si>
  <si>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</si>
  <si>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</si>
  <si>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</si>
  <si>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</si>
  <si>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</si>
  <si>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</si>
  <si>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</si>
  <si>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</si>
  <si>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</si>
  <si>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</si>
  <si>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poirier</t>
  </si>
  <si>
    <t>pommier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</si>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</sst>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2.2905884821016174</c:v>
                </c:pt>
                <c:pt idx="2">
                  <c:v>2.7806391363113296</c:v>
                </c:pt>
                <c:pt idx="3">
                  <c:v>3.3759301901802239</c:v>
                </c:pt>
                <c:pt idx="4">
                  <c:v>4.099143282634464</c:v>
                </c:pt>
                <c:pt idx="5">
                  <c:v>4.9778647811784866</c:v>
                </c:pt>
                <c:pt idx="6">
                  <c:v>6.045649679899987</c:v>
                </c:pt>
                <c:pt idx="7">
                  <c:v>7.3433169303918868</c:v>
                </c:pt>
                <c:pt idx="8">
                  <c:v>8.9205266819032492</c:v>
                </c:pt>
                <c:pt idx="9">
                  <c:v>10.837700942422877</c:v>
                </c:pt>
                <c:pt idx="10">
                  <c:v>13.168362625644917</c:v>
                </c:pt>
                <c:pt idx="11">
                  <c:v>16.001984350656915</c:v>
                </c:pt>
                <c:pt idx="12">
                  <c:v>19.447458359250124</c:v>
                </c:pt>
                <c:pt idx="13">
                  <c:v>23.637323299944232</c:v>
                </c:pt>
                <c:pt idx="14">
                  <c:v>28.732913361935303</c:v>
                </c:pt>
                <c:pt idx="15">
                  <c:v>34.930631502141807</c:v>
                </c:pt>
                <c:pt idx="16">
                  <c:v>42.469592729158251</c:v>
                </c:pt>
                <c:pt idx="17">
                  <c:v>51.640937340027314</c:v>
                </c:pt>
                <c:pt idx="18">
                  <c:v>62.799179785769574</c:v>
                </c:pt>
                <c:pt idx="19">
                  <c:v>76.376039076760833</c:v>
                </c:pt>
                <c:pt idx="20">
                  <c:v>92.897294511118176</c:v>
                </c:pt>
                <c:pt idx="21">
                  <c:v>110.61638527930711</c:v>
                </c:pt>
                <c:pt idx="22">
                  <c:v>128.2656339177079</c:v>
                </c:pt>
                <c:pt idx="23">
                  <c:v>145.85602540789642</c:v>
                </c:pt>
                <c:pt idx="24">
                  <c:v>163.39566695137304</c:v>
                </c:pt>
                <c:pt idx="25">
                  <c:v>180.89077768928109</c:v>
                </c:pt>
                <c:pt idx="26">
                  <c:v>158.93547642720694</c:v>
                </c:pt>
                <c:pt idx="27">
                  <c:v>178.3486013074241</c:v>
                </c:pt>
                <c:pt idx="28">
                  <c:v>197.71217376629156</c:v>
                </c:pt>
                <c:pt idx="29">
                  <c:v>217.0317313188167</c:v>
                </c:pt>
                <c:pt idx="30">
                  <c:v>236.3117437149856</c:v>
                </c:pt>
                <c:pt idx="31">
                  <c:v>201.19913913928846</c:v>
                </c:pt>
                <c:pt idx="32">
                  <c:v>221.46000423097382</c:v>
                </c:pt>
                <c:pt idx="33">
                  <c:v>241.67832984636482</c:v>
                </c:pt>
                <c:pt idx="34">
                  <c:v>261.85817498084765</c:v>
                </c:pt>
                <c:pt idx="35">
                  <c:v>282.00292156784502</c:v>
                </c:pt>
                <c:pt idx="36">
                  <c:v>247.98849436354377</c:v>
                </c:pt>
                <c:pt idx="37">
                  <c:v>269.10157451791832</c:v>
                </c:pt>
                <c:pt idx="38">
                  <c:v>290.17736922706086</c:v>
                </c:pt>
                <c:pt idx="39">
                  <c:v>311.21896638426068</c:v>
                </c:pt>
                <c:pt idx="40">
                  <c:v>332.22900222431554</c:v>
                </c:pt>
                <c:pt idx="41">
                  <c:v>298.97487129723987</c:v>
                </c:pt>
                <c:pt idx="42">
                  <c:v>320.63020395999428</c:v>
                </c:pt>
                <c:pt idx="43">
                  <c:v>342.25318435718253</c:v>
                </c:pt>
                <c:pt idx="44">
                  <c:v>363.84614273023845</c:v>
                </c:pt>
                <c:pt idx="45">
                  <c:v>385.41111025063861</c:v>
                </c:pt>
                <c:pt idx="46">
                  <c:v>351.95795503306795</c:v>
                </c:pt>
                <c:pt idx="47">
                  <c:v>373.22554483512414</c:v>
                </c:pt>
                <c:pt idx="48">
                  <c:v>394.46673042704862</c:v>
                </c:pt>
                <c:pt idx="49">
                  <c:v>415.68313267172863</c:v>
                </c:pt>
                <c:pt idx="50">
                  <c:v>436.8761935627694</c:v>
                </c:pt>
                <c:pt idx="51">
                  <c:v>403.20581160192501</c:v>
                </c:pt>
                <c:pt idx="52">
                  <c:v>424.10074342303164</c:v>
                </c:pt>
                <c:pt idx="53">
                  <c:v>444.97352949948726</c:v>
                </c:pt>
                <c:pt idx="54">
                  <c:v>465.82535403997502</c:v>
                </c:pt>
                <c:pt idx="55">
                  <c:v>486.65728665769035</c:v>
                </c:pt>
                <c:pt idx="56">
                  <c:v>452.44519132126362</c:v>
                </c:pt>
                <c:pt idx="57">
                  <c:v>472.66783431793465</c:v>
                </c:pt>
                <c:pt idx="58">
                  <c:v>492.87206528378414</c:v>
                </c:pt>
                <c:pt idx="59">
                  <c:v>513.05874462471218</c:v>
                </c:pt>
                <c:pt idx="60">
                  <c:v>533.22865956797193</c:v>
                </c:pt>
                <c:pt idx="61">
                  <c:v>498.15332008482181</c:v>
                </c:pt>
                <c:pt idx="62">
                  <c:v>517.40442486531765</c:v>
                </c:pt>
                <c:pt idx="63">
                  <c:v>536.64042379930981</c:v>
                </c:pt>
                <c:pt idx="64">
                  <c:v>555.86193417017216</c:v>
                </c:pt>
                <c:pt idx="65">
                  <c:v>575.06952712161171</c:v>
                </c:pt>
                <c:pt idx="66">
                  <c:v>539.12142030708435</c:v>
                </c:pt>
                <c:pt idx="67">
                  <c:v>557.41144220282024</c:v>
                </c:pt>
                <c:pt idx="68">
                  <c:v>575.68890126042152</c:v>
                </c:pt>
                <c:pt idx="69">
                  <c:v>593.9542521947759</c:v>
                </c:pt>
                <c:pt idx="70">
                  <c:v>612.20791949490581</c:v>
                </c:pt>
                <c:pt idx="71">
                  <c:v>575.06952712161171</c:v>
                </c:pt>
                <c:pt idx="72">
                  <c:v>592.09729944083642</c:v>
                </c:pt>
                <c:pt idx="73">
                  <c:v>609.11488251844457</c:v>
                </c:pt>
                <c:pt idx="74">
                  <c:v>626.12260091177302</c:v>
                </c:pt>
                <c:pt idx="75">
                  <c:v>643.12076012119758</c:v>
                </c:pt>
                <c:pt idx="76">
                  <c:v>605.09344671374674</c:v>
                </c:pt>
                <c:pt idx="77">
                  <c:v>621.17590016893803</c:v>
                </c:pt>
                <c:pt idx="78">
                  <c:v>637.24973118867945</c:v>
                </c:pt>
                <c:pt idx="79">
                  <c:v>653.31518774818312</c:v>
                </c:pt>
                <c:pt idx="80">
                  <c:v>669.37250464126396</c:v>
                </c:pt>
                <c:pt idx="81">
                  <c:v>631.6866727650571</c:v>
                </c:pt>
                <c:pt idx="82">
                  <c:v>646.51927049967128</c:v>
                </c:pt>
                <c:pt idx="83">
                  <c:v>661.34484946507996</c:v>
                </c:pt>
                <c:pt idx="84">
                  <c:v>676.16358906976052</c:v>
                </c:pt>
                <c:pt idx="85">
                  <c:v>690.97566022245303</c:v>
                </c:pt>
                <c:pt idx="86">
                  <c:v>654.24179047884718</c:v>
                </c:pt>
                <c:pt idx="87">
                  <c:v>668.44633825452308</c:v>
                </c:pt>
                <c:pt idx="88">
                  <c:v>682.64468094518372</c:v>
                </c:pt>
                <c:pt idx="89">
                  <c:v>696.83696571346809</c:v>
                </c:pt>
                <c:pt idx="90">
                  <c:v>711.02333324275389</c:v>
                </c:pt>
                <c:pt idx="91">
                  <c:v>676.47224132243139</c:v>
                </c:pt>
                <c:pt idx="92">
                  <c:v>689.741571630051</c:v>
                </c:pt>
                <c:pt idx="93">
                  <c:v>703.00567062081757</c:v>
                </c:pt>
                <c:pt idx="94">
                  <c:v>716.26465084747326</c:v>
                </c:pt>
                <c:pt idx="95">
                  <c:v>729.51862035860461</c:v>
                </c:pt>
                <c:pt idx="96">
                  <c:v>695.91156378380265</c:v>
                </c:pt>
                <c:pt idx="97">
                  <c:v>708.55655798561486</c:v>
                </c:pt>
                <c:pt idx="98">
                  <c:v>721.19694014838376</c:v>
                </c:pt>
                <c:pt idx="99">
                  <c:v>733.83280245167361</c:v>
                </c:pt>
                <c:pt idx="100">
                  <c:v>746.46423364366728</c:v>
                </c:pt>
                <c:pt idx="101">
                  <c:v>713.79824639820242</c:v>
                </c:pt>
                <c:pt idx="102">
                  <c:v>725.82033615601756</c:v>
                </c:pt>
                <c:pt idx="103">
                  <c:v>737.83836601468522</c:v>
                </c:pt>
                <c:pt idx="104">
                  <c:v>749.85241138480615</c:v>
                </c:pt>
                <c:pt idx="105">
                  <c:v>761.86254506494276</c:v>
                </c:pt>
                <c:pt idx="106">
                  <c:v>730.13496384821019</c:v>
                </c:pt>
                <c:pt idx="107">
                  <c:v>741.5354163128369</c:v>
                </c:pt>
                <c:pt idx="108">
                  <c:v>752.93230290091105</c:v>
                </c:pt>
                <c:pt idx="109">
                  <c:v>764.3256851658407</c:v>
                </c:pt>
                <c:pt idx="110">
                  <c:v>775.71562267737272</c:v>
                </c:pt>
                <c:pt idx="111">
                  <c:v>744.92404955007294</c:v>
                </c:pt>
                <c:pt idx="112">
                  <c:v>755.7039863807662</c:v>
                </c:pt>
                <c:pt idx="113">
                  <c:v>766.48080063627015</c:v>
                </c:pt>
                <c:pt idx="114">
                  <c:v>777.25454238555574</c:v>
                </c:pt>
                <c:pt idx="115">
                  <c:v>788.02526019713798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8.8044025208429719</c:v>
                </c:pt>
                <c:pt idx="2">
                  <c:v>17.221089273204196</c:v>
                </c:pt>
                <c:pt idx="3">
                  <c:v>25.512563294459923</c:v>
                </c:pt>
                <c:pt idx="4">
                  <c:v>33.726853274883347</c:v>
                </c:pt>
                <c:pt idx="5">
                  <c:v>41.885727391390851</c:v>
                </c:pt>
                <c:pt idx="6">
                  <c:v>50.00160312094232</c:v>
                </c:pt>
                <c:pt idx="7">
                  <c:v>58.082485530805052</c:v>
                </c:pt>
                <c:pt idx="8">
                  <c:v>66.133950466370564</c:v>
                </c:pt>
                <c:pt idx="9">
                  <c:v>74.160096244932106</c:v>
                </c:pt>
                <c:pt idx="10">
                  <c:v>82.164057018091427</c:v>
                </c:pt>
                <c:pt idx="11">
                  <c:v>90.148303834134651</c:v>
                </c:pt>
                <c:pt idx="12">
                  <c:v>98.114832690532054</c:v>
                </c:pt>
                <c:pt idx="13">
                  <c:v>106.06528794847596</c:v>
                </c:pt>
                <c:pt idx="14">
                  <c:v>114.0010466196989</c:v>
                </c:pt>
                <c:pt idx="15">
                  <c:v>121.9232778531174</c:v>
                </c:pt>
                <c:pt idx="16">
                  <c:v>129.83298609190561</c:v>
                </c:pt>
                <c:pt idx="17">
                  <c:v>137.73104312742694</c:v>
                </c:pt>
                <c:pt idx="18">
                  <c:v>145.61821239345747</c:v>
                </c:pt>
                <c:pt idx="19">
                  <c:v>153.49516770691636</c:v>
                </c:pt>
                <c:pt idx="20">
                  <c:v>161.362507950626</c:v>
                </c:pt>
                <c:pt idx="21">
                  <c:v>169.22076873606747</c:v>
                </c:pt>
                <c:pt idx="22">
                  <c:v>177.07043178171759</c:v>
                </c:pt>
                <c:pt idx="23">
                  <c:v>184.91193253803269</c:v>
                </c:pt>
                <c:pt idx="24">
                  <c:v>192.74566644892982</c:v>
                </c:pt>
                <c:pt idx="25">
                  <c:v>200.57199414028256</c:v>
                </c:pt>
                <c:pt idx="26">
                  <c:v>208.39124575488827</c:v>
                </c:pt>
                <c:pt idx="27">
                  <c:v>216.20372460175972</c:v>
                </c:pt>
                <c:pt idx="28">
                  <c:v>224.00971024958213</c:v>
                </c:pt>
                <c:pt idx="29">
                  <c:v>231.8094611658297</c:v>
                </c:pt>
                <c:pt idx="30">
                  <c:v>239.60321698163875</c:v>
                </c:pt>
                <c:pt idx="31">
                  <c:v>247.39120044621509</c:v>
                </c:pt>
                <c:pt idx="32">
                  <c:v>255.17361912197524</c:v>
                </c:pt>
                <c:pt idx="33">
                  <c:v>262.95066686184327</c:v>
                </c:pt>
                <c:pt idx="34">
                  <c:v>270.72252510244931</c:v>
                </c:pt>
                <c:pt idx="35">
                  <c:v>278.48936400091264</c:v>
                </c:pt>
                <c:pt idx="36">
                  <c:v>286.25134343805456</c:v>
                </c:pt>
                <c:pt idx="37">
                  <c:v>237.4118159146411</c:v>
                </c:pt>
                <c:pt idx="38">
                  <c:v>256.63221905446113</c:v>
                </c:pt>
                <c:pt idx="39">
                  <c:v>275.82006911547222</c:v>
                </c:pt>
                <c:pt idx="40">
                  <c:v>294.97794877206235</c:v>
                </c:pt>
                <c:pt idx="41">
                  <c:v>314.10807777988271</c:v>
                </c:pt>
                <c:pt idx="42">
                  <c:v>333.21238343704948</c:v>
                </c:pt>
                <c:pt idx="43">
                  <c:v>352.29255402604258</c:v>
                </c:pt>
                <c:pt idx="44">
                  <c:v>371.35008006494377</c:v>
                </c:pt>
                <c:pt idx="45">
                  <c:v>304.18312189352014</c:v>
                </c:pt>
                <c:pt idx="46">
                  <c:v>325.96051291867633</c:v>
                </c:pt>
                <c:pt idx="47">
                  <c:v>347.70577372743418</c:v>
                </c:pt>
                <c:pt idx="48">
                  <c:v>369.42119511414558</c:v>
                </c:pt>
                <c:pt idx="49">
                  <c:v>391.10877666986568</c:v>
                </c:pt>
                <c:pt idx="50">
                  <c:v>412.77027822799613</c:v>
                </c:pt>
                <c:pt idx="51">
                  <c:v>434.40725994376595</c:v>
                </c:pt>
                <c:pt idx="52">
                  <c:v>456.02111397099435</c:v>
                </c:pt>
                <c:pt idx="53">
                  <c:v>354.223437181012</c:v>
                </c:pt>
                <c:pt idx="54">
                  <c:v>373.76087912744418</c:v>
                </c:pt>
                <c:pt idx="55">
                  <c:v>393.27607323395705</c:v>
                </c:pt>
                <c:pt idx="56">
                  <c:v>412.77027822799613</c:v>
                </c:pt>
                <c:pt idx="57">
                  <c:v>432.24462429583883</c:v>
                </c:pt>
                <c:pt idx="58">
                  <c:v>451.70013152794922</c:v>
                </c:pt>
                <c:pt idx="59">
                  <c:v>471.13772502101688</c:v>
                </c:pt>
                <c:pt idx="60">
                  <c:v>490.55824735832431</c:v>
                </c:pt>
                <c:pt idx="61">
                  <c:v>403.46694653037821</c:v>
                </c:pt>
                <c:pt idx="62">
                  <c:v>420.14556032232667</c:v>
                </c:pt>
                <c:pt idx="63">
                  <c:v>436.80991738516144</c:v>
                </c:pt>
                <c:pt idx="64">
                  <c:v>453.46063798380879</c:v>
                </c:pt>
                <c:pt idx="65">
                  <c:v>470.09829313332119</c:v>
                </c:pt>
                <c:pt idx="66">
                  <c:v>486.72341015001916</c:v>
                </c:pt>
                <c:pt idx="67">
                  <c:v>503.33647740486361</c:v>
                </c:pt>
                <c:pt idx="68">
                  <c:v>519.93794841677959</c:v>
                </c:pt>
                <c:pt idx="69">
                  <c:v>536.52824539615131</c:v>
                </c:pt>
                <c:pt idx="70">
                  <c:v>454.31416423194418</c:v>
                </c:pt>
                <c:pt idx="71">
                  <c:v>469.88507028774637</c:v>
                </c:pt>
                <c:pt idx="72">
                  <c:v>485.44498879797311</c:v>
                </c:pt>
                <c:pt idx="73">
                  <c:v>500.99432141253783</c:v>
                </c:pt>
                <c:pt idx="74">
                  <c:v>516.53344282577962</c:v>
                </c:pt>
                <c:pt idx="75">
                  <c:v>532.06270335879174</c:v>
                </c:pt>
                <c:pt idx="76">
                  <c:v>547.58243122468434</c:v>
                </c:pt>
                <c:pt idx="77">
                  <c:v>563.09293452377176</c:v>
                </c:pt>
                <c:pt idx="78">
                  <c:v>578.5945030075876</c:v>
                </c:pt>
                <c:pt idx="79">
                  <c:v>499.71668415449676</c:v>
                </c:pt>
                <c:pt idx="80">
                  <c:v>514.61820052476094</c:v>
                </c:pt>
                <c:pt idx="81">
                  <c:v>529.51061140708282</c:v>
                </c:pt>
                <c:pt idx="82">
                  <c:v>544.39420886236155</c:v>
                </c:pt>
                <c:pt idx="83">
                  <c:v>559.2692676862448</c:v>
                </c:pt>
                <c:pt idx="84">
                  <c:v>574.13604687135296</c:v>
                </c:pt>
                <c:pt idx="85">
                  <c:v>588.99479091023716</c:v>
                </c:pt>
                <c:pt idx="86">
                  <c:v>603.84573096007898</c:v>
                </c:pt>
                <c:pt idx="87">
                  <c:v>618.68908588691181</c:v>
                </c:pt>
                <c:pt idx="88">
                  <c:v>546.73227677798229</c:v>
                </c:pt>
                <c:pt idx="89">
                  <c:v>560.7563140447694</c:v>
                </c:pt>
                <c:pt idx="90">
                  <c:v>574.77301329675186</c:v>
                </c:pt>
                <c:pt idx="91">
                  <c:v>588.7825786199727</c:v>
                </c:pt>
                <c:pt idx="92">
                  <c:v>602.78520360071263</c:v>
                </c:pt>
                <c:pt idx="93">
                  <c:v>616.7810721021084</c:v>
                </c:pt>
                <c:pt idx="94">
                  <c:v>630.77035896665097</c:v>
                </c:pt>
                <c:pt idx="95">
                  <c:v>644.75323065315456</c:v>
                </c:pt>
                <c:pt idx="96">
                  <c:v>658.72984581562605</c:v>
                </c:pt>
                <c:pt idx="97">
                  <c:v>588.35814925949501</c:v>
                </c:pt>
                <c:pt idx="98">
                  <c:v>601.93675380071136</c:v>
                </c:pt>
                <c:pt idx="99">
                  <c:v>615.50899495391707</c:v>
                </c:pt>
                <c:pt idx="100">
                  <c:v>629.07503274134626</c:v>
                </c:pt>
                <c:pt idx="101">
                  <c:v>642.635019724024</c:v>
                </c:pt>
                <c:pt idx="102">
                  <c:v>656.18910150302543</c:v>
                </c:pt>
                <c:pt idx="103">
                  <c:v>669.73741717718713</c:v>
                </c:pt>
                <c:pt idx="104">
                  <c:v>683.28009976187866</c:v>
                </c:pt>
                <c:pt idx="105">
                  <c:v>696.81727657286763</c:v>
                </c:pt>
                <c:pt idx="106">
                  <c:v>628.22733419629901</c:v>
                </c:pt>
                <c:pt idx="107">
                  <c:v>641.57586023448323</c:v>
                </c:pt>
                <c:pt idx="108">
                  <c:v>654.91865339125661</c:v>
                </c:pt>
                <c:pt idx="109">
                  <c:v>668.25584686179866</c:v>
                </c:pt>
                <c:pt idx="110">
                  <c:v>681.58756809397516</c:v>
                </c:pt>
                <c:pt idx="111">
                  <c:v>694.91393914623495</c:v>
                </c:pt>
                <c:pt idx="112">
                  <c:v>708.2350770166446</c:v>
                </c:pt>
                <c:pt idx="113">
                  <c:v>721.55109394589601</c:v>
                </c:pt>
                <c:pt idx="114">
                  <c:v>734.86209769679965</c:v>
                </c:pt>
                <c:pt idx="115">
                  <c:v>666.13920061354315</c:v>
                </c:pt>
                <c:pt idx="116">
                  <c:v>679.26019614635629</c:v>
                </c:pt>
                <c:pt idx="117">
                  <c:v>692.37598973245292</c:v>
                </c:pt>
                <c:pt idx="118">
                  <c:v>705.48669374356086</c:v>
                </c:pt>
                <c:pt idx="119">
                  <c:v>718.59241603672206</c:v>
                </c:pt>
                <c:pt idx="120">
                  <c:v>731.6932602164178</c:v>
                </c:pt>
                <c:pt idx="121">
                  <c:v>744.78932587695897</c:v>
                </c:pt>
                <c:pt idx="122">
                  <c:v>757.88070882695445</c:v>
                </c:pt>
                <c:pt idx="123">
                  <c:v>770.96750129747295</c:v>
                </c:pt>
                <c:pt idx="124">
                  <c:v>706.33237341600227</c:v>
                </c:pt>
                <c:pt idx="125">
                  <c:v>719.6491152090033</c:v>
                </c:pt>
                <c:pt idx="126">
                  <c:v>732.96082869312124</c:v>
                </c:pt>
                <c:pt idx="127">
                  <c:v>746.2676179992435</c:v>
                </c:pt>
                <c:pt idx="128">
                  <c:v>759.5695832444593</c:v>
                </c:pt>
                <c:pt idx="129">
                  <c:v>772.86682075581473</c:v>
                </c:pt>
                <c:pt idx="130">
                  <c:v>786.15942327787707</c:v>
                </c:pt>
                <c:pt idx="131">
                  <c:v>799.44748016554638</c:v>
                </c:pt>
                <c:pt idx="132">
                  <c:v>812.7310775633897</c:v>
                </c:pt>
                <c:pt idx="133">
                  <c:v>746.47879772357555</c:v>
                </c:pt>
                <c:pt idx="134">
                  <c:v>759.99178993037003</c:v>
                </c:pt>
                <c:pt idx="135">
                  <c:v>773.49990620972676</c:v>
                </c:pt>
                <c:pt idx="136">
                  <c:v>787.00324364912785</c:v>
                </c:pt>
                <c:pt idx="137">
                  <c:v>800.50189573532555</c:v>
                </c:pt>
                <c:pt idx="138">
                  <c:v>813.9959525476055</c:v>
                </c:pt>
                <c:pt idx="139">
                  <c:v>827.48550093758092</c:v>
                </c:pt>
                <c:pt idx="140">
                  <c:v>840.97062469666037</c:v>
                </c:pt>
                <c:pt idx="141">
                  <c:v>854.45140471222987</c:v>
                </c:pt>
                <c:pt idx="142">
                  <c:v>782.52023774531926</c:v>
                </c:pt>
                <c:pt idx="143">
                  <c:v>795.96770927094894</c:v>
                </c:pt>
                <c:pt idx="144">
                  <c:v>809.41059169599203</c:v>
                </c:pt>
                <c:pt idx="145">
                  <c:v>822.84897191684365</c:v>
                </c:pt>
                <c:pt idx="146">
                  <c:v>836.28293376251315</c:v>
                </c:pt>
                <c:pt idx="147">
                  <c:v>849.71255815145241</c:v>
                </c:pt>
                <c:pt idx="148">
                  <c:v>863.13792323796235</c:v>
                </c:pt>
                <c:pt idx="149">
                  <c:v>876.55910454902858</c:v>
                </c:pt>
                <c:pt idx="150">
                  <c:v>889.97617511234773</c:v>
                </c:pt>
                <c:pt idx="151">
                  <c:v>903.38920557623862</c:v>
                </c:pt>
                <c:pt idx="152">
                  <c:v>916.79826432207267</c:v>
                </c:pt>
                <c:pt idx="153">
                  <c:v>930.20341756978689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9.8300743723308273</c:v>
                </c:pt>
                <c:pt idx="2">
                  <c:v>19.231364587020316</c:v>
                </c:pt>
                <c:pt idx="3">
                  <c:v>28.494179042409929</c:v>
                </c:pt>
                <c:pt idx="4">
                  <c:v>37.671633817791609</c:v>
                </c:pt>
                <c:pt idx="5">
                  <c:v>46.787802861560664</c:v>
                </c:pt>
                <c:pt idx="6">
                  <c:v>55.85641895899721</c:v>
                </c:pt>
                <c:pt idx="7">
                  <c:v>64.886335105785449</c:v>
                </c:pt>
                <c:pt idx="8">
                  <c:v>73.883717762935518</c:v>
                </c:pt>
                <c:pt idx="9">
                  <c:v>82.853099357733484</c:v>
                </c:pt>
                <c:pt idx="10">
                  <c:v>91.797946023526876</c:v>
                </c:pt>
                <c:pt idx="11">
                  <c:v>100.72099055181911</c:v>
                </c:pt>
                <c:pt idx="12">
                  <c:v>109.62444036403467</c:v>
                </c:pt>
                <c:pt idx="13">
                  <c:v>118.51011399861339</c:v>
                </c:pt>
                <c:pt idx="14">
                  <c:v>127.37953432582198</c:v>
                </c:pt>
                <c:pt idx="15">
                  <c:v>136.23399433545893</c:v>
                </c:pt>
                <c:pt idx="16">
                  <c:v>145.07460486529598</c:v>
                </c:pt>
                <c:pt idx="17">
                  <c:v>153.90233005028921</c:v>
                </c:pt>
                <c:pt idx="18">
                  <c:v>162.7180141901425</c:v>
                </c:pt>
                <c:pt idx="19">
                  <c:v>171.52240247513097</c:v>
                </c:pt>
                <c:pt idx="20">
                  <c:v>180.31615722411632</c:v>
                </c:pt>
                <c:pt idx="21">
                  <c:v>189.09987078266829</c:v>
                </c:pt>
                <c:pt idx="22">
                  <c:v>197.87407589479196</c:v>
                </c:pt>
                <c:pt idx="23">
                  <c:v>206.63925413557971</c:v>
                </c:pt>
                <c:pt idx="24">
                  <c:v>215.3958428359341</c:v>
                </c:pt>
                <c:pt idx="25">
                  <c:v>224.14424082064872</c:v>
                </c:pt>
                <c:pt idx="26">
                  <c:v>232.88481320255323</c:v>
                </c:pt>
                <c:pt idx="27">
                  <c:v>241.61789541835174</c:v>
                </c:pt>
                <c:pt idx="28">
                  <c:v>250.3437966497514</c:v>
                </c:pt>
                <c:pt idx="29">
                  <c:v>259.06280274212457</c:v>
                </c:pt>
                <c:pt idx="30">
                  <c:v>267.77517870928631</c:v>
                </c:pt>
                <c:pt idx="31">
                  <c:v>276.48117089492001</c:v>
                </c:pt>
                <c:pt idx="32">
                  <c:v>285.18100884727528</c:v>
                </c:pt>
                <c:pt idx="33">
                  <c:v>293.87490695294525</c:v>
                </c:pt>
                <c:pt idx="34">
                  <c:v>302.56306586704625</c:v>
                </c:pt>
                <c:pt idx="35">
                  <c:v>311.24567377041313</c:v>
                </c:pt>
                <c:pt idx="36">
                  <c:v>319.92290747907703</c:v>
                </c:pt>
                <c:pt idx="37">
                  <c:v>265.32547851180402</c:v>
                </c:pt>
                <c:pt idx="38">
                  <c:v>286.81156096168161</c:v>
                </c:pt>
                <c:pt idx="39">
                  <c:v>308.26164218176535</c:v>
                </c:pt>
                <c:pt idx="40">
                  <c:v>329.6785784135397</c:v>
                </c:pt>
                <c:pt idx="41">
                  <c:v>351.06482453796201</c:v>
                </c:pt>
                <c:pt idx="42">
                  <c:v>372.42251200019518</c:v>
                </c:pt>
                <c:pt idx="43">
                  <c:v>393.75350791228328</c:v>
                </c:pt>
                <c:pt idx="44">
                  <c:v>415.05946067388419</c:v>
                </c:pt>
                <c:pt idx="45">
                  <c:v>339.96932609764059</c:v>
                </c:pt>
                <c:pt idx="46">
                  <c:v>364.31523713398838</c:v>
                </c:pt>
                <c:pt idx="47">
                  <c:v>388.62561459421386</c:v>
                </c:pt>
                <c:pt idx="48">
                  <c:v>412.90299192267594</c:v>
                </c:pt>
                <c:pt idx="49">
                  <c:v>437.14958051503055</c:v>
                </c:pt>
                <c:pt idx="50">
                  <c:v>461.36732661320042</c:v>
                </c:pt>
                <c:pt idx="51">
                  <c:v>485.55795563023315</c:v>
                </c:pt>
                <c:pt idx="52">
                  <c:v>509.72300718239177</c:v>
                </c:pt>
                <c:pt idx="53">
                  <c:v>395.91218652535935</c:v>
                </c:pt>
                <c:pt idx="54">
                  <c:v>417.75470695489565</c:v>
                </c:pt>
                <c:pt idx="55">
                  <c:v>439.5726229652293</c:v>
                </c:pt>
                <c:pt idx="56">
                  <c:v>461.36732661320042</c:v>
                </c:pt>
                <c:pt idx="57">
                  <c:v>483.14006779889104</c:v>
                </c:pt>
                <c:pt idx="58">
                  <c:v>504.89197466478595</c:v>
                </c:pt>
                <c:pt idx="59">
                  <c:v>526.62407029747862</c:v>
                </c:pt>
                <c:pt idx="60">
                  <c:v>548.3372865300081</c:v>
                </c:pt>
                <c:pt idx="61">
                  <c:v>450.96608395211155</c:v>
                </c:pt>
                <c:pt idx="62">
                  <c:v>469.61302435390735</c:v>
                </c:pt>
                <c:pt idx="63">
                  <c:v>488.24419789739949</c:v>
                </c:pt>
                <c:pt idx="64">
                  <c:v>506.86029054843084</c:v>
                </c:pt>
                <c:pt idx="65">
                  <c:v>525.46193380622901</c:v>
                </c:pt>
                <c:pt idx="66">
                  <c:v>544.04971084254669</c:v>
                </c:pt>
                <c:pt idx="67">
                  <c:v>562.62416175853025</c:v>
                </c:pt>
                <c:pt idx="68">
                  <c:v>581.18578811162547</c:v>
                </c:pt>
                <c:pt idx="69">
                  <c:v>599.73505683441124</c:v>
                </c:pt>
                <c:pt idx="70">
                  <c:v>507.81456730697511</c:v>
                </c:pt>
                <c:pt idx="71">
                  <c:v>525.22354014492771</c:v>
                </c:pt>
                <c:pt idx="72">
                  <c:v>542.6203615929777</c:v>
                </c:pt>
                <c:pt idx="73">
                  <c:v>560.00547584538776</c:v>
                </c:pt>
                <c:pt idx="74">
                  <c:v>577.37929728560482</c:v>
                </c:pt>
                <c:pt idx="75">
                  <c:v>594.74221334211904</c:v>
                </c:pt>
                <c:pt idx="76">
                  <c:v>612.09458699367303</c:v>
                </c:pt>
                <c:pt idx="77">
                  <c:v>629.43675897578566</c:v>
                </c:pt>
                <c:pt idx="78">
                  <c:v>646.76904973162027</c:v>
                </c:pt>
                <c:pt idx="79">
                  <c:v>558.57699374416472</c:v>
                </c:pt>
                <c:pt idx="80">
                  <c:v>575.23791626765171</c:v>
                </c:pt>
                <c:pt idx="81">
                  <c:v>591.88876881386489</c:v>
                </c:pt>
                <c:pt idx="82">
                  <c:v>608.52987437995023</c:v>
                </c:pt>
                <c:pt idx="83">
                  <c:v>625.16153686899827</c:v>
                </c:pt>
                <c:pt idx="84">
                  <c:v>641.78404270715339</c:v>
                </c:pt>
                <c:pt idx="85">
                  <c:v>658.39766228458541</c:v>
                </c:pt>
                <c:pt idx="86">
                  <c:v>675.00265124355963</c:v>
                </c:pt>
                <c:pt idx="87">
                  <c:v>691.59925163326625</c:v>
                </c:pt>
                <c:pt idx="88">
                  <c:v>611.14403919111862</c:v>
                </c:pt>
                <c:pt idx="89">
                  <c:v>626.82419491945245</c:v>
                </c:pt>
                <c:pt idx="90">
                  <c:v>642.49623536140246</c:v>
                </c:pt>
                <c:pt idx="91">
                  <c:v>658.16038622061342</c:v>
                </c:pt>
                <c:pt idx="92">
                  <c:v>673.81686158879108</c:v>
                </c:pt>
                <c:pt idx="93">
                  <c:v>689.46586480458382</c:v>
                </c:pt>
                <c:pt idx="94">
                  <c:v>705.10758923049116</c:v>
                </c:pt>
                <c:pt idx="95">
                  <c:v>720.74221895730363</c:v>
                </c:pt>
                <c:pt idx="96">
                  <c:v>736.36992944428937</c:v>
                </c:pt>
                <c:pt idx="97">
                  <c:v>657.68582880641031</c:v>
                </c:pt>
                <c:pt idx="98">
                  <c:v>672.86819899586487</c:v>
                </c:pt>
                <c:pt idx="99">
                  <c:v>688.04353176205825</c:v>
                </c:pt>
                <c:pt idx="100">
                  <c:v>703.2120040774131</c:v>
                </c:pt>
                <c:pt idx="101">
                  <c:v>718.37378466282235</c:v>
                </c:pt>
                <c:pt idx="102">
                  <c:v>733.52903454200316</c:v>
                </c:pt>
                <c:pt idx="103">
                  <c:v>748.67790754769158</c:v>
                </c:pt>
                <c:pt idx="104">
                  <c:v>763.82055078477163</c:v>
                </c:pt>
                <c:pt idx="105">
                  <c:v>778.9571050548019</c:v>
                </c:pt>
                <c:pt idx="106">
                  <c:v>702.26417231534003</c:v>
                </c:pt>
                <c:pt idx="107">
                  <c:v>717.18950776806685</c:v>
                </c:pt>
                <c:pt idx="108">
                  <c:v>732.10850308988756</c:v>
                </c:pt>
                <c:pt idx="109">
                  <c:v>747.02130558454212</c:v>
                </c:pt>
                <c:pt idx="110">
                  <c:v>761.92805619967874</c:v>
                </c:pt>
                <c:pt idx="111">
                  <c:v>776.82888992266089</c:v>
                </c:pt>
                <c:pt idx="112">
                  <c:v>791.72393614445298</c:v>
                </c:pt>
                <c:pt idx="113">
                  <c:v>806.61331899472589</c:v>
                </c:pt>
                <c:pt idx="114">
                  <c:v>821.497157650953</c:v>
                </c:pt>
                <c:pt idx="115">
                  <c:v>744.65460170812833</c:v>
                </c:pt>
                <c:pt idx="116">
                  <c:v>759.32572031578832</c:v>
                </c:pt>
                <c:pt idx="117">
                  <c:v>773.99108596594078</c:v>
                </c:pt>
                <c:pt idx="118">
                  <c:v>788.65082293317255</c:v>
                </c:pt>
                <c:pt idx="119">
                  <c:v>803.30505049916974</c:v>
                </c:pt>
                <c:pt idx="120">
                  <c:v>817.95388324261091</c:v>
                </c:pt>
                <c:pt idx="121">
                  <c:v>832.59743130723098</c:v>
                </c:pt>
                <c:pt idx="122">
                  <c:v>847.23580065006502</c:v>
                </c:pt>
                <c:pt idx="123">
                  <c:v>861.86909327166234</c:v>
                </c:pt>
                <c:pt idx="124">
                  <c:v>789.59642197566109</c:v>
                </c:pt>
                <c:pt idx="125">
                  <c:v>804.48660647012127</c:v>
                </c:pt>
                <c:pt idx="126">
                  <c:v>819.3712300373146</c:v>
                </c:pt>
                <c:pt idx="127">
                  <c:v>834.25040783808424</c:v>
                </c:pt>
                <c:pt idx="128">
                  <c:v>849.12425059431791</c:v>
                </c:pt>
                <c:pt idx="129">
                  <c:v>863.99286483640378</c:v>
                </c:pt>
                <c:pt idx="130">
                  <c:v>878.85635313278044</c:v>
                </c:pt>
                <c:pt idx="131">
                  <c:v>893.71481430317328</c:v>
                </c:pt>
                <c:pt idx="132">
                  <c:v>908.56834361692279</c:v>
                </c:pt>
                <c:pt idx="133">
                  <c:v>834.4865419626525</c:v>
                </c:pt>
                <c:pt idx="134">
                  <c:v>849.59634989946483</c:v>
                </c:pt>
                <c:pt idx="135">
                  <c:v>864.70076543130153</c:v>
                </c:pt>
                <c:pt idx="136">
                  <c:v>879.79989592953541</c:v>
                </c:pt>
                <c:pt idx="137">
                  <c:v>894.89384478340492</c:v>
                </c:pt>
                <c:pt idx="138">
                  <c:v>909.98271161375123</c:v>
                </c:pt>
                <c:pt idx="139">
                  <c:v>925.06659247185326</c:v>
                </c:pt>
                <c:pt idx="140">
                  <c:v>940.14558002463798</c:v>
                </c:pt>
                <c:pt idx="141">
                  <c:v>955.21976372740301</c:v>
                </c:pt>
                <c:pt idx="142">
                  <c:v>874.7870923769766</c:v>
                </c:pt>
                <c:pt idx="143">
                  <c:v>889.82379307073563</c:v>
                </c:pt>
                <c:pt idx="144">
                  <c:v>904.85541856820555</c:v>
                </c:pt>
                <c:pt idx="145">
                  <c:v>919.88206497019212</c:v>
                </c:pt>
                <c:pt idx="146">
                  <c:v>934.90382498520512</c:v>
                </c:pt>
                <c:pt idx="147">
                  <c:v>949.92078810289877</c:v>
                </c:pt>
                <c:pt idx="148">
                  <c:v>964.93304075598735</c:v>
                </c:pt>
                <c:pt idx="149">
                  <c:v>979.94066647157388</c:v>
                </c:pt>
                <c:pt idx="150">
                  <c:v>994.94374601273728</c:v>
                </c:pt>
                <c:pt idx="151">
                  <c:v>1009.9423575111465</c:v>
                </c:pt>
                <c:pt idx="152">
                  <c:v>1024.9365765913979</c:v>
                </c:pt>
                <c:pt idx="153">
                  <c:v>1039.9264764877069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3.1070732524005358</c:v>
                </c:pt>
                <c:pt idx="2">
                  <c:v>3.9188517152693092</c:v>
                </c:pt>
                <c:pt idx="3">
                  <c:v>4.9435434679155108</c:v>
                </c:pt>
                <c:pt idx="4">
                  <c:v>6.2371942955058799</c:v>
                </c:pt>
                <c:pt idx="5">
                  <c:v>7.8706529792516697</c:v>
                </c:pt>
                <c:pt idx="6">
                  <c:v>9.9334933415181794</c:v>
                </c:pt>
                <c:pt idx="7">
                  <c:v>12.538978421483094</c:v>
                </c:pt>
                <c:pt idx="8">
                  <c:v>15.830344414192332</c:v>
                </c:pt>
                <c:pt idx="9">
                  <c:v>19.988756146300936</c:v>
                </c:pt>
                <c:pt idx="10">
                  <c:v>25.243379843811024</c:v>
                </c:pt>
                <c:pt idx="11">
                  <c:v>31.884138091095355</c:v>
                </c:pt>
                <c:pt idx="12">
                  <c:v>40.277862935897133</c:v>
                </c:pt>
                <c:pt idx="13">
                  <c:v>50.888754624871218</c:v>
                </c:pt>
                <c:pt idx="14">
                  <c:v>64.30429632325378</c:v>
                </c:pt>
                <c:pt idx="15">
                  <c:v>81.26808316628383</c:v>
                </c:pt>
                <c:pt idx="16">
                  <c:v>73.994272320757076</c:v>
                </c:pt>
                <c:pt idx="17">
                  <c:v>98.745953295523961</c:v>
                </c:pt>
                <c:pt idx="18">
                  <c:v>123.34246499006633</c:v>
                </c:pt>
                <c:pt idx="19">
                  <c:v>147.81932853312981</c:v>
                </c:pt>
                <c:pt idx="20">
                  <c:v>172.19921472129715</c:v>
                </c:pt>
                <c:pt idx="21">
                  <c:v>139.81265219870173</c:v>
                </c:pt>
                <c:pt idx="22">
                  <c:v>166.32236690304859</c:v>
                </c:pt>
                <c:pt idx="23">
                  <c:v>192.73216648384053</c:v>
                </c:pt>
                <c:pt idx="24">
                  <c:v>219.05768580263302</c:v>
                </c:pt>
                <c:pt idx="25">
                  <c:v>245.31048218883168</c:v>
                </c:pt>
                <c:pt idx="26">
                  <c:v>211.5439756614193</c:v>
                </c:pt>
                <c:pt idx="27">
                  <c:v>236.15050195685842</c:v>
                </c:pt>
                <c:pt idx="28">
                  <c:v>260.69854644227718</c:v>
                </c:pt>
                <c:pt idx="29">
                  <c:v>285.19438858407307</c:v>
                </c:pt>
                <c:pt idx="30">
                  <c:v>309.64314037802706</c:v>
                </c:pt>
                <c:pt idx="31">
                  <c:v>273.99055606211823</c:v>
                </c:pt>
                <c:pt idx="32">
                  <c:v>296.38837122188016</c:v>
                </c:pt>
                <c:pt idx="33">
                  <c:v>318.74845191443995</c:v>
                </c:pt>
                <c:pt idx="34">
                  <c:v>341.07381596633996</c:v>
                </c:pt>
                <c:pt idx="35">
                  <c:v>363.3670539509107</c:v>
                </c:pt>
                <c:pt idx="36">
                  <c:v>325.36686982553408</c:v>
                </c:pt>
                <c:pt idx="37">
                  <c:v>345.20454595217711</c:v>
                </c:pt>
                <c:pt idx="38">
                  <c:v>365.01719063545926</c:v>
                </c:pt>
                <c:pt idx="39">
                  <c:v>384.80635300902645</c:v>
                </c:pt>
                <c:pt idx="40">
                  <c:v>404.57340992986127</c:v>
                </c:pt>
                <c:pt idx="41">
                  <c:v>363.77960344692701</c:v>
                </c:pt>
                <c:pt idx="42">
                  <c:v>380.68547719043937</c:v>
                </c:pt>
                <c:pt idx="43">
                  <c:v>397.57502530134622</c:v>
                </c:pt>
                <c:pt idx="44">
                  <c:v>414.44903871854268</c:v>
                </c:pt>
                <c:pt idx="45">
                  <c:v>431.30823874034053</c:v>
                </c:pt>
                <c:pt idx="46">
                  <c:v>400.86871209258271</c:v>
                </c:pt>
                <c:pt idx="47">
                  <c:v>415.68313267172829</c:v>
                </c:pt>
                <c:pt idx="48">
                  <c:v>430.48617222970421</c:v>
                </c:pt>
                <c:pt idx="49">
                  <c:v>445.27827716326095</c:v>
                </c:pt>
                <c:pt idx="50">
                  <c:v>460.05986179752381</c:v>
                </c:pt>
                <c:pt idx="51">
                  <c:v>437.4726694559651</c:v>
                </c:pt>
                <c:pt idx="52">
                  <c:v>449.79597029004339</c:v>
                </c:pt>
                <c:pt idx="53">
                  <c:v>462.11204968448214</c:v>
                </c:pt>
                <c:pt idx="54">
                  <c:v>474.42112721892153</c:v>
                </c:pt>
                <c:pt idx="55">
                  <c:v>486.72341015001894</c:v>
                </c:pt>
                <c:pt idx="56">
                  <c:v>470.72912659462128</c:v>
                </c:pt>
                <c:pt idx="57">
                  <c:v>481.39324229456093</c:v>
                </c:pt>
                <c:pt idx="58">
                  <c:v>492.05233905304038</c:v>
                </c:pt>
                <c:pt idx="59">
                  <c:v>502.70654092641371</c:v>
                </c:pt>
                <c:pt idx="60">
                  <c:v>513.35596628348583</c:v>
                </c:pt>
                <c:pt idx="61">
                  <c:v>497.78981755435296</c:v>
                </c:pt>
                <c:pt idx="62">
                  <c:v>506.8030327356762</c:v>
                </c:pt>
                <c:pt idx="63">
                  <c:v>515.81285970133592</c:v>
                </c:pt>
                <c:pt idx="64">
                  <c:v>524.81936598968662</c:v>
                </c:pt>
                <c:pt idx="65">
                  <c:v>533.8226166315709</c:v>
                </c:pt>
                <c:pt idx="66">
                  <c:v>519.08833363505858</c:v>
                </c:pt>
                <c:pt idx="67">
                  <c:v>526.86584290776045</c:v>
                </c:pt>
                <c:pt idx="68">
                  <c:v>534.64093470914429</c:v>
                </c:pt>
                <c:pt idx="69">
                  <c:v>542.4136491628301</c:v>
                </c:pt>
                <c:pt idx="70">
                  <c:v>550.18402514843217</c:v>
                </c:pt>
                <c:pt idx="71">
                  <c:v>536.68661476319755</c:v>
                </c:pt>
                <c:pt idx="72">
                  <c:v>543.64070511934517</c:v>
                </c:pt>
                <c:pt idx="73">
                  <c:v>550.59292824762156</c:v>
                </c:pt>
                <c:pt idx="74">
                  <c:v>557.54331105767415</c:v>
                </c:pt>
                <c:pt idx="75">
                  <c:v>564.49187973331652</c:v>
                </c:pt>
                <c:pt idx="76">
                  <c:v>551.81959936072406</c:v>
                </c:pt>
                <c:pt idx="77">
                  <c:v>557.54331105767415</c:v>
                </c:pt>
                <c:pt idx="78">
                  <c:v>563.26579242009177</c:v>
                </c:pt>
                <c:pt idx="79">
                  <c:v>568.9870577157609</c:v>
                </c:pt>
                <c:pt idx="80">
                  <c:v>574.70712090201823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5" sqref="E1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13</v>
      </c>
      <c r="C9" s="32">
        <v>0.16</v>
      </c>
      <c r="D9" s="33">
        <f t="shared" ref="D9:D18" si="0">C9*$C$5</f>
        <v>0.88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8</v>
      </c>
      <c r="C10" s="32">
        <v>0.16</v>
      </c>
      <c r="D10" s="33">
        <f t="shared" si="0"/>
        <v>0.88</v>
      </c>
      <c r="E10" s="34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23</v>
      </c>
      <c r="C11" s="32">
        <v>0.03</v>
      </c>
      <c r="D11" s="33">
        <f t="shared" si="0"/>
        <v>0.16499999999999998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23</v>
      </c>
      <c r="C12" s="32">
        <v>0.05</v>
      </c>
      <c r="D12" s="33">
        <f t="shared" si="0"/>
        <v>0.27500000000000002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14</v>
      </c>
      <c r="C13" s="32">
        <v>0.25</v>
      </c>
      <c r="D13" s="33">
        <f t="shared" si="0"/>
        <v>1.375</v>
      </c>
      <c r="E13" s="34">
        <v>153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12</v>
      </c>
      <c r="C14" s="32">
        <v>0.25</v>
      </c>
      <c r="D14" s="33">
        <f t="shared" si="0"/>
        <v>1.375</v>
      </c>
      <c r="E14" s="34">
        <v>153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</v>
      </c>
      <c r="C15" s="32">
        <v>0.05</v>
      </c>
      <c r="D15" s="33">
        <f t="shared" si="0"/>
        <v>0.27500000000000002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30</v>
      </c>
      <c r="C16" s="32">
        <v>0.05</v>
      </c>
      <c r="D16" s="33">
        <f t="shared" si="0"/>
        <v>0.27500000000000002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5.5000000000000009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35</v>
      </c>
      <c r="C36" s="60"/>
      <c r="D36" s="60">
        <v>0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3.5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15</v>
      </c>
      <c r="B37" s="60">
        <v>88</v>
      </c>
      <c r="C37" s="60">
        <v>1</v>
      </c>
      <c r="D37" s="60">
        <v>30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10.6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117</v>
      </c>
      <c r="C38" s="60">
        <v>2</v>
      </c>
      <c r="D38" s="60">
        <v>29</v>
      </c>
      <c r="E38" s="51">
        <v>0.2</v>
      </c>
      <c r="F38" s="51">
        <v>0.3</v>
      </c>
      <c r="G38" s="51">
        <v>0.3</v>
      </c>
      <c r="H38" s="51">
        <v>0.2</v>
      </c>
      <c r="I38" s="53">
        <f t="shared" si="1"/>
        <v>11.8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25</v>
      </c>
      <c r="B39" s="60">
        <v>145</v>
      </c>
      <c r="C39" s="60">
        <v>3</v>
      </c>
      <c r="D39" s="60">
        <v>31</v>
      </c>
      <c r="E39" s="51">
        <v>0.3</v>
      </c>
      <c r="F39" s="51">
        <v>0.2</v>
      </c>
      <c r="G39" s="51">
        <v>0.3</v>
      </c>
      <c r="H39" s="51">
        <v>0.2</v>
      </c>
      <c r="I39" s="49">
        <f t="shared" si="1"/>
        <v>11.4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30</v>
      </c>
      <c r="B40" s="60">
        <v>169</v>
      </c>
      <c r="C40" s="60">
        <v>4</v>
      </c>
      <c r="D40" s="60">
        <v>32</v>
      </c>
      <c r="E40" s="51">
        <v>0.4</v>
      </c>
      <c r="F40" s="51">
        <v>0.3</v>
      </c>
      <c r="G40" s="51">
        <v>0</v>
      </c>
      <c r="H40" s="51">
        <v>0.3</v>
      </c>
      <c r="I40" s="49">
        <f t="shared" si="1"/>
        <v>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35</v>
      </c>
      <c r="B41" s="60">
        <v>189</v>
      </c>
      <c r="C41" s="60">
        <v>5</v>
      </c>
      <c r="D41" s="60">
        <v>32</v>
      </c>
      <c r="E41" s="51">
        <v>0.4</v>
      </c>
      <c r="F41" s="51">
        <v>0.3</v>
      </c>
      <c r="G41" s="51">
        <v>0</v>
      </c>
      <c r="H41" s="51">
        <v>0.3</v>
      </c>
      <c r="I41" s="53">
        <f t="shared" si="1"/>
        <v>10.4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206</v>
      </c>
      <c r="C42" s="60">
        <v>6</v>
      </c>
      <c r="D42" s="60">
        <v>31</v>
      </c>
      <c r="E42" s="51">
        <v>0.5</v>
      </c>
      <c r="F42" s="51">
        <v>0.3</v>
      </c>
      <c r="G42" s="51">
        <v>0</v>
      </c>
      <c r="H42" s="51">
        <v>0.2</v>
      </c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45</v>
      </c>
      <c r="B43" s="60">
        <v>219</v>
      </c>
      <c r="C43" s="60">
        <v>7</v>
      </c>
      <c r="D43" s="60">
        <v>30</v>
      </c>
      <c r="E43" s="51">
        <v>0.5</v>
      </c>
      <c r="F43" s="51">
        <v>0.3</v>
      </c>
      <c r="G43" s="51">
        <v>0</v>
      </c>
      <c r="H43" s="51">
        <v>0.2</v>
      </c>
      <c r="I43" s="49">
        <f t="shared" si="1"/>
        <v>8.8000000000000007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50</v>
      </c>
      <c r="B44" s="60">
        <v>230</v>
      </c>
      <c r="C44" s="60">
        <v>8</v>
      </c>
      <c r="D44" s="60">
        <v>28</v>
      </c>
      <c r="E44" s="51">
        <v>0.5</v>
      </c>
      <c r="F44" s="51">
        <v>0.3</v>
      </c>
      <c r="G44" s="51">
        <v>0</v>
      </c>
      <c r="H44" s="51">
        <v>0.2</v>
      </c>
      <c r="I44" s="49">
        <f t="shared" si="1"/>
        <v>8.1999999999999993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55</v>
      </c>
      <c r="B45" s="60">
        <v>239</v>
      </c>
      <c r="C45" s="60">
        <v>9</v>
      </c>
      <c r="D45" s="60">
        <v>26</v>
      </c>
      <c r="E45" s="51">
        <v>0.7</v>
      </c>
      <c r="F45" s="51">
        <v>0.1</v>
      </c>
      <c r="G45" s="51">
        <v>0</v>
      </c>
      <c r="H45" s="51">
        <v>0.2</v>
      </c>
      <c r="I45" s="49">
        <f t="shared" si="1"/>
        <v>7.4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60</v>
      </c>
      <c r="B46" s="60">
        <v>246</v>
      </c>
      <c r="C46" s="60">
        <v>10</v>
      </c>
      <c r="D46" s="60">
        <v>24</v>
      </c>
      <c r="E46" s="51">
        <v>0.7</v>
      </c>
      <c r="F46" s="51">
        <v>0.1</v>
      </c>
      <c r="G46" s="51">
        <v>0</v>
      </c>
      <c r="H46" s="51">
        <v>0.2</v>
      </c>
      <c r="I46" s="49">
        <f t="shared" si="1"/>
        <v>6.6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65</v>
      </c>
      <c r="B47" s="60">
        <v>252</v>
      </c>
      <c r="C47" s="60">
        <v>11</v>
      </c>
      <c r="D47" s="60">
        <v>22</v>
      </c>
      <c r="E47" s="51">
        <v>0.7</v>
      </c>
      <c r="F47" s="51">
        <v>0.1</v>
      </c>
      <c r="G47" s="51">
        <v>0</v>
      </c>
      <c r="H47" s="51">
        <v>0.2</v>
      </c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70</v>
      </c>
      <c r="B48" s="60">
        <v>257</v>
      </c>
      <c r="C48" s="60">
        <v>12</v>
      </c>
      <c r="D48" s="60">
        <v>21</v>
      </c>
      <c r="E48" s="51">
        <v>0.7</v>
      </c>
      <c r="F48" s="51">
        <v>0.1</v>
      </c>
      <c r="G48" s="51">
        <v>0</v>
      </c>
      <c r="H48" s="51">
        <v>0.2</v>
      </c>
      <c r="I48" s="49">
        <f t="shared" si="1"/>
        <v>5.4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75</v>
      </c>
      <c r="B49" s="60">
        <v>261</v>
      </c>
      <c r="C49" s="60">
        <v>13</v>
      </c>
      <c r="D49" s="60">
        <v>19</v>
      </c>
      <c r="E49" s="51">
        <v>0.7</v>
      </c>
      <c r="F49" s="51">
        <v>0.1</v>
      </c>
      <c r="G49" s="51">
        <v>0</v>
      </c>
      <c r="H49" s="51">
        <v>0.2</v>
      </c>
      <c r="I49" s="49">
        <f t="shared" si="1"/>
        <v>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80</v>
      </c>
      <c r="B50" s="50">
        <v>264</v>
      </c>
      <c r="C50" s="50">
        <v>14</v>
      </c>
      <c r="D50" s="50">
        <v>17</v>
      </c>
      <c r="E50" s="51">
        <v>0.7</v>
      </c>
      <c r="F50" s="51">
        <v>0.1</v>
      </c>
      <c r="G50" s="51">
        <v>0</v>
      </c>
      <c r="H50" s="51">
        <v>0.2</v>
      </c>
      <c r="I50" s="49">
        <f t="shared" si="1"/>
        <v>4.4000000000000004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85</v>
      </c>
      <c r="B51" s="50">
        <v>267</v>
      </c>
      <c r="C51" s="50">
        <v>15</v>
      </c>
      <c r="D51" s="50">
        <v>16</v>
      </c>
      <c r="E51" s="51">
        <v>0.7</v>
      </c>
      <c r="F51" s="51">
        <v>0.1</v>
      </c>
      <c r="G51" s="51">
        <v>0</v>
      </c>
      <c r="H51" s="51">
        <v>0.2</v>
      </c>
      <c r="I51" s="49">
        <f t="shared" si="1"/>
        <v>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90</v>
      </c>
      <c r="B52" s="50">
        <v>268</v>
      </c>
      <c r="C52" s="50">
        <v>16</v>
      </c>
      <c r="D52" s="50">
        <v>14</v>
      </c>
      <c r="E52" s="51">
        <v>0.7</v>
      </c>
      <c r="F52" s="51">
        <v>0.1</v>
      </c>
      <c r="G52" s="51">
        <v>0</v>
      </c>
      <c r="H52" s="51">
        <v>0.2</v>
      </c>
      <c r="I52" s="49">
        <f t="shared" si="1"/>
        <v>3.4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95</v>
      </c>
      <c r="B53" s="50">
        <v>270</v>
      </c>
      <c r="C53" s="50">
        <v>17</v>
      </c>
      <c r="D53" s="50">
        <v>13</v>
      </c>
      <c r="E53" s="51">
        <v>0.7</v>
      </c>
      <c r="F53" s="51">
        <v>0.1</v>
      </c>
      <c r="G53" s="51">
        <v>0</v>
      </c>
      <c r="H53" s="51">
        <v>0.2</v>
      </c>
      <c r="I53" s="49">
        <f t="shared" si="1"/>
        <v>3.2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100</v>
      </c>
      <c r="B54" s="50">
        <v>273</v>
      </c>
      <c r="C54" s="50" t="s">
        <v>326</v>
      </c>
      <c r="D54" s="50">
        <v>273</v>
      </c>
      <c r="E54" s="51">
        <v>0.7</v>
      </c>
      <c r="F54" s="51">
        <v>0.1</v>
      </c>
      <c r="G54" s="51">
        <v>0</v>
      </c>
      <c r="H54" s="51">
        <v>0.2</v>
      </c>
      <c r="I54" s="49">
        <f t="shared" si="1"/>
        <v>3.2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Châtaignier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56</v>
      </c>
      <c r="C62" s="60">
        <v>1</v>
      </c>
      <c r="D62" s="60">
        <v>0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111</v>
      </c>
      <c r="C63" s="60">
        <v>2</v>
      </c>
      <c r="D63" s="60">
        <v>26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146</v>
      </c>
      <c r="C64" s="60">
        <v>3</v>
      </c>
      <c r="D64" s="60">
        <v>35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12.2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175</v>
      </c>
      <c r="C65" s="60">
        <v>4</v>
      </c>
      <c r="D65" s="60">
        <v>35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207</v>
      </c>
      <c r="C66" s="60">
        <v>5</v>
      </c>
      <c r="D66" s="60">
        <v>35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13.4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241</v>
      </c>
      <c r="C67" s="60">
        <v>6</v>
      </c>
      <c r="D67" s="60">
        <v>35</v>
      </c>
      <c r="E67" s="51">
        <v>0</v>
      </c>
      <c r="F67" s="51">
        <v>0</v>
      </c>
      <c r="G67" s="51">
        <v>0</v>
      </c>
      <c r="H67" s="51">
        <v>1</v>
      </c>
      <c r="I67" s="49">
        <f t="shared" si="2"/>
        <v>13.8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274</v>
      </c>
      <c r="C68" s="60">
        <v>7</v>
      </c>
      <c r="D68" s="60">
        <v>35</v>
      </c>
      <c r="E68" s="51">
        <v>0</v>
      </c>
      <c r="F68" s="51">
        <v>0.5</v>
      </c>
      <c r="G68" s="51">
        <v>0</v>
      </c>
      <c r="H68" s="51">
        <v>0.5</v>
      </c>
      <c r="I68" s="49">
        <f t="shared" si="2"/>
        <v>13.6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306</v>
      </c>
      <c r="C69" s="50">
        <v>8</v>
      </c>
      <c r="D69" s="50">
        <v>35</v>
      </c>
      <c r="E69" s="51">
        <v>0</v>
      </c>
      <c r="F69" s="51">
        <v>0.5</v>
      </c>
      <c r="G69" s="51">
        <v>0</v>
      </c>
      <c r="H69" s="51">
        <v>0.5</v>
      </c>
      <c r="I69" s="49">
        <f t="shared" si="2"/>
        <v>13.4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336</v>
      </c>
      <c r="C70" s="50">
        <v>9</v>
      </c>
      <c r="D70" s="50">
        <v>35</v>
      </c>
      <c r="E70" s="51">
        <v>0</v>
      </c>
      <c r="F70" s="51">
        <v>0.5</v>
      </c>
      <c r="G70" s="51">
        <v>0</v>
      </c>
      <c r="H70" s="51">
        <v>0.5</v>
      </c>
      <c r="I70" s="49">
        <f t="shared" si="2"/>
        <v>13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363</v>
      </c>
      <c r="C71" s="50">
        <v>10</v>
      </c>
      <c r="D71" s="50">
        <v>35</v>
      </c>
      <c r="E71" s="51">
        <v>0</v>
      </c>
      <c r="F71" s="51">
        <v>0.5</v>
      </c>
      <c r="G71" s="51">
        <v>0</v>
      </c>
      <c r="H71" s="51">
        <v>0.5</v>
      </c>
      <c r="I71" s="49">
        <f t="shared" si="2"/>
        <v>12.4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387</v>
      </c>
      <c r="C72" s="50">
        <v>11</v>
      </c>
      <c r="D72" s="50">
        <v>35</v>
      </c>
      <c r="E72" s="51">
        <v>0</v>
      </c>
      <c r="F72" s="51">
        <v>0.5</v>
      </c>
      <c r="G72" s="51">
        <v>0</v>
      </c>
      <c r="H72" s="51">
        <v>0.5</v>
      </c>
      <c r="I72" s="49">
        <f t="shared" si="2"/>
        <v>11.8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407</v>
      </c>
      <c r="C73" s="50">
        <v>12</v>
      </c>
      <c r="D73" s="50">
        <v>35</v>
      </c>
      <c r="E73" s="51">
        <v>0.1</v>
      </c>
      <c r="F73" s="51">
        <v>0.5</v>
      </c>
      <c r="G73" s="51">
        <v>0</v>
      </c>
      <c r="H73" s="51">
        <v>0.4</v>
      </c>
      <c r="I73" s="49">
        <f t="shared" si="2"/>
        <v>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424</v>
      </c>
      <c r="C74" s="50">
        <v>13</v>
      </c>
      <c r="D74" s="50">
        <v>34</v>
      </c>
      <c r="E74" s="51">
        <v>0.1</v>
      </c>
      <c r="F74" s="51">
        <v>0.5</v>
      </c>
      <c r="G74" s="51">
        <v>0</v>
      </c>
      <c r="H74" s="51">
        <v>0.4</v>
      </c>
      <c r="I74" s="49">
        <f t="shared" si="2"/>
        <v>10.4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438</v>
      </c>
      <c r="C75" s="50">
        <v>14</v>
      </c>
      <c r="D75" s="50">
        <v>33</v>
      </c>
      <c r="E75" s="51">
        <v>0.1</v>
      </c>
      <c r="F75" s="51">
        <v>0.5</v>
      </c>
      <c r="G75" s="51">
        <v>0</v>
      </c>
      <c r="H75" s="51">
        <v>0.4</v>
      </c>
      <c r="I75" s="49">
        <f t="shared" si="2"/>
        <v>9.6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451</v>
      </c>
      <c r="C76" s="50">
        <v>15</v>
      </c>
      <c r="D76" s="50">
        <v>31</v>
      </c>
      <c r="E76" s="51">
        <v>0.3</v>
      </c>
      <c r="F76" s="51">
        <v>0.35</v>
      </c>
      <c r="G76" s="51">
        <v>0</v>
      </c>
      <c r="H76" s="51">
        <v>0.35</v>
      </c>
      <c r="I76" s="49">
        <f t="shared" si="2"/>
        <v>9.1999999999999993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95</v>
      </c>
      <c r="B77" s="50">
        <v>463</v>
      </c>
      <c r="C77" s="50">
        <v>16</v>
      </c>
      <c r="D77" s="50">
        <v>30</v>
      </c>
      <c r="E77" s="51">
        <v>0.3</v>
      </c>
      <c r="F77" s="51">
        <v>0.35</v>
      </c>
      <c r="G77" s="51">
        <v>0</v>
      </c>
      <c r="H77" s="51">
        <v>0.35</v>
      </c>
      <c r="I77" s="49">
        <f t="shared" si="2"/>
        <v>8.6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100</v>
      </c>
      <c r="B78" s="50">
        <v>474</v>
      </c>
      <c r="C78" s="50">
        <v>17</v>
      </c>
      <c r="D78" s="50">
        <v>29</v>
      </c>
      <c r="E78" s="51">
        <v>0.3</v>
      </c>
      <c r="F78" s="51">
        <v>0.35</v>
      </c>
      <c r="G78" s="51">
        <v>0</v>
      </c>
      <c r="H78" s="51">
        <v>0.35</v>
      </c>
      <c r="I78" s="49">
        <f t="shared" si="2"/>
        <v>8.1999999999999993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105</v>
      </c>
      <c r="B79" s="50">
        <v>484</v>
      </c>
      <c r="C79" s="50">
        <v>18</v>
      </c>
      <c r="D79" s="50">
        <v>28</v>
      </c>
      <c r="E79" s="51">
        <v>0.7</v>
      </c>
      <c r="F79" s="51">
        <v>0.1</v>
      </c>
      <c r="G79" s="51">
        <v>0</v>
      </c>
      <c r="H79" s="51">
        <v>0.2</v>
      </c>
      <c r="I79" s="49">
        <f t="shared" si="2"/>
        <v>7.8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110</v>
      </c>
      <c r="B80" s="50">
        <v>493</v>
      </c>
      <c r="C80" s="50">
        <v>19</v>
      </c>
      <c r="D80" s="50">
        <v>27</v>
      </c>
      <c r="E80" s="51">
        <v>0.7</v>
      </c>
      <c r="F80" s="51">
        <v>0.1</v>
      </c>
      <c r="G80" s="51">
        <v>0</v>
      </c>
      <c r="H80" s="51">
        <v>0.2</v>
      </c>
      <c r="I80" s="49">
        <f t="shared" si="2"/>
        <v>7.4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115</v>
      </c>
      <c r="B81" s="50">
        <v>501</v>
      </c>
      <c r="C81" s="50" t="s">
        <v>326</v>
      </c>
      <c r="D81" s="50">
        <v>501</v>
      </c>
      <c r="E81" s="51">
        <v>0.7</v>
      </c>
      <c r="F81" s="51">
        <v>0.1</v>
      </c>
      <c r="G81" s="51">
        <v>0</v>
      </c>
      <c r="H81" s="51">
        <v>0.2</v>
      </c>
      <c r="I81" s="49">
        <f t="shared" si="2"/>
        <v>7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146</v>
      </c>
      <c r="C91" s="60">
        <v>4</v>
      </c>
      <c r="D91" s="60">
        <v>28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35</v>
      </c>
      <c r="B92" s="60">
        <v>172</v>
      </c>
      <c r="C92" s="60">
        <v>5</v>
      </c>
      <c r="D92" s="60">
        <v>28</v>
      </c>
      <c r="E92" s="87">
        <v>0</v>
      </c>
      <c r="F92" s="87">
        <v>0.3</v>
      </c>
      <c r="G92" s="87">
        <v>0.4</v>
      </c>
      <c r="H92" s="87">
        <v>0.3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40</v>
      </c>
      <c r="B93" s="60">
        <v>192</v>
      </c>
      <c r="C93" s="60">
        <v>6</v>
      </c>
      <c r="D93" s="60">
        <v>28</v>
      </c>
      <c r="E93" s="87">
        <v>0.1</v>
      </c>
      <c r="F93" s="87">
        <v>0.4</v>
      </c>
      <c r="G93" s="87">
        <v>0.3</v>
      </c>
      <c r="H93" s="87">
        <v>0.2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45</v>
      </c>
      <c r="B94" s="60">
        <v>205</v>
      </c>
      <c r="C94" s="60">
        <v>7</v>
      </c>
      <c r="D94" s="60">
        <v>22</v>
      </c>
      <c r="E94" s="87">
        <v>0.3</v>
      </c>
      <c r="F94" s="87">
        <v>0</v>
      </c>
      <c r="G94" s="87">
        <v>0.4</v>
      </c>
      <c r="H94" s="87">
        <v>0.3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50</v>
      </c>
      <c r="B95" s="60">
        <v>219</v>
      </c>
      <c r="C95" s="60">
        <v>8</v>
      </c>
      <c r="D95" s="60">
        <v>17</v>
      </c>
      <c r="E95" s="87">
        <v>0.3</v>
      </c>
      <c r="F95" s="87">
        <v>0</v>
      </c>
      <c r="G95" s="87">
        <v>0.4</v>
      </c>
      <c r="H95" s="87">
        <v>0.3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55</v>
      </c>
      <c r="B96" s="60">
        <v>232</v>
      </c>
      <c r="C96" s="60">
        <v>9</v>
      </c>
      <c r="D96" s="60">
        <v>13</v>
      </c>
      <c r="E96" s="87">
        <v>0.5</v>
      </c>
      <c r="F96" s="87">
        <v>0</v>
      </c>
      <c r="G96" s="87">
        <v>0.3</v>
      </c>
      <c r="H96" s="87">
        <v>0.2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60</v>
      </c>
      <c r="B97" s="60">
        <v>245</v>
      </c>
      <c r="C97" s="60">
        <v>10</v>
      </c>
      <c r="D97" s="60">
        <v>12</v>
      </c>
      <c r="E97" s="87">
        <v>0.5</v>
      </c>
      <c r="F97" s="87">
        <v>0</v>
      </c>
      <c r="G97" s="87">
        <v>0.3</v>
      </c>
      <c r="H97" s="87">
        <v>0.2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65</v>
      </c>
      <c r="B98" s="60">
        <v>255</v>
      </c>
      <c r="C98" s="60">
        <v>11</v>
      </c>
      <c r="D98" s="60">
        <v>11</v>
      </c>
      <c r="E98" s="87">
        <v>0.5</v>
      </c>
      <c r="F98" s="87">
        <v>0</v>
      </c>
      <c r="G98" s="87">
        <v>0.3</v>
      </c>
      <c r="H98" s="87">
        <v>0.2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70</v>
      </c>
      <c r="B99" s="60">
        <v>263</v>
      </c>
      <c r="C99" s="60">
        <v>12</v>
      </c>
      <c r="D99" s="60">
        <v>10</v>
      </c>
      <c r="E99" s="87">
        <v>0.5</v>
      </c>
      <c r="F99" s="87">
        <v>0</v>
      </c>
      <c r="G99" s="87">
        <v>0.3</v>
      </c>
      <c r="H99" s="87">
        <v>0.2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75</v>
      </c>
      <c r="B100" s="60">
        <v>270</v>
      </c>
      <c r="C100" s="60">
        <v>13</v>
      </c>
      <c r="D100" s="60">
        <v>9</v>
      </c>
      <c r="E100" s="65">
        <v>0.7</v>
      </c>
      <c r="F100" s="65">
        <v>0</v>
      </c>
      <c r="G100" s="65">
        <v>0.2</v>
      </c>
      <c r="H100" s="65">
        <v>0.1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80</v>
      </c>
      <c r="B101" s="60">
        <v>275</v>
      </c>
      <c r="C101" s="60" t="s">
        <v>326</v>
      </c>
      <c r="D101" s="60">
        <v>275</v>
      </c>
      <c r="E101" s="65">
        <v>0.7</v>
      </c>
      <c r="F101" s="65">
        <v>0</v>
      </c>
      <c r="G101" s="65">
        <v>0.2</v>
      </c>
      <c r="H101" s="65">
        <v>0.1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37</v>
      </c>
      <c r="C114" s="50">
        <v>1</v>
      </c>
      <c r="D114" s="60">
        <v>15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80</v>
      </c>
      <c r="C115" s="50">
        <v>2</v>
      </c>
      <c r="D115" s="60">
        <v>28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115</v>
      </c>
      <c r="C116" s="50">
        <v>3</v>
      </c>
      <c r="D116" s="60">
        <v>28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30</v>
      </c>
      <c r="B117" s="60">
        <v>146</v>
      </c>
      <c r="C117" s="50">
        <v>4</v>
      </c>
      <c r="D117" s="60">
        <v>28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35</v>
      </c>
      <c r="B118" s="60">
        <v>172</v>
      </c>
      <c r="C118" s="50">
        <v>5</v>
      </c>
      <c r="D118" s="60">
        <v>28</v>
      </c>
      <c r="E118" s="51">
        <v>0</v>
      </c>
      <c r="F118" s="51">
        <v>0.3</v>
      </c>
      <c r="G118" s="51">
        <v>0.4</v>
      </c>
      <c r="H118" s="51">
        <v>0.3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40</v>
      </c>
      <c r="B119" s="60">
        <v>192</v>
      </c>
      <c r="C119" s="50">
        <v>6</v>
      </c>
      <c r="D119" s="60">
        <v>28</v>
      </c>
      <c r="E119" s="51">
        <v>0.1</v>
      </c>
      <c r="F119" s="51">
        <v>0.4</v>
      </c>
      <c r="G119" s="51">
        <v>0.3</v>
      </c>
      <c r="H119" s="51">
        <v>0.2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45</v>
      </c>
      <c r="B120" s="60">
        <v>205</v>
      </c>
      <c r="C120" s="60">
        <v>7</v>
      </c>
      <c r="D120" s="60">
        <v>22</v>
      </c>
      <c r="E120" s="87">
        <v>0.3</v>
      </c>
      <c r="F120" s="87">
        <v>0</v>
      </c>
      <c r="G120" s="87">
        <v>0.4</v>
      </c>
      <c r="H120" s="87">
        <v>0.3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50</v>
      </c>
      <c r="B121" s="60">
        <v>219</v>
      </c>
      <c r="C121" s="60">
        <v>8</v>
      </c>
      <c r="D121" s="60">
        <v>17</v>
      </c>
      <c r="E121" s="87">
        <v>0.3</v>
      </c>
      <c r="F121" s="87">
        <v>0</v>
      </c>
      <c r="G121" s="87">
        <v>0.4</v>
      </c>
      <c r="H121" s="87">
        <v>0.3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55</v>
      </c>
      <c r="B122" s="60">
        <v>232</v>
      </c>
      <c r="C122" s="60">
        <v>9</v>
      </c>
      <c r="D122" s="60">
        <v>13</v>
      </c>
      <c r="E122" s="87">
        <v>0.5</v>
      </c>
      <c r="F122" s="87">
        <v>0</v>
      </c>
      <c r="G122" s="87">
        <v>0.3</v>
      </c>
      <c r="H122" s="87">
        <v>0.2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60</v>
      </c>
      <c r="B123" s="60">
        <v>245</v>
      </c>
      <c r="C123" s="60">
        <v>10</v>
      </c>
      <c r="D123" s="60">
        <v>12</v>
      </c>
      <c r="E123" s="87">
        <v>0.5</v>
      </c>
      <c r="F123" s="87">
        <v>0</v>
      </c>
      <c r="G123" s="87">
        <v>0.3</v>
      </c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65</v>
      </c>
      <c r="B124" s="60">
        <v>255</v>
      </c>
      <c r="C124" s="60">
        <v>11</v>
      </c>
      <c r="D124" s="60">
        <v>11</v>
      </c>
      <c r="E124" s="87">
        <v>0.5</v>
      </c>
      <c r="F124" s="87">
        <v>0</v>
      </c>
      <c r="G124" s="87">
        <v>0.3</v>
      </c>
      <c r="H124" s="87">
        <v>0.2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70</v>
      </c>
      <c r="B125" s="60">
        <v>263</v>
      </c>
      <c r="C125" s="60">
        <v>12</v>
      </c>
      <c r="D125" s="60">
        <v>10</v>
      </c>
      <c r="E125" s="87">
        <v>0.5</v>
      </c>
      <c r="F125" s="87">
        <v>0</v>
      </c>
      <c r="G125" s="87">
        <v>0.3</v>
      </c>
      <c r="H125" s="87">
        <v>0.2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75</v>
      </c>
      <c r="B126" s="60">
        <v>270</v>
      </c>
      <c r="C126" s="60">
        <v>13</v>
      </c>
      <c r="D126" s="60">
        <v>9</v>
      </c>
      <c r="E126" s="65">
        <v>0.7</v>
      </c>
      <c r="F126" s="65">
        <v>0</v>
      </c>
      <c r="G126" s="65">
        <v>0.2</v>
      </c>
      <c r="H126" s="65">
        <v>0.1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80</v>
      </c>
      <c r="B127" s="60">
        <v>275</v>
      </c>
      <c r="C127" s="60" t="s">
        <v>326</v>
      </c>
      <c r="D127" s="60">
        <v>275</v>
      </c>
      <c r="E127" s="65">
        <v>0.7</v>
      </c>
      <c r="F127" s="65">
        <v>0</v>
      </c>
      <c r="G127" s="65">
        <v>0.2</v>
      </c>
      <c r="H127" s="65">
        <v>0.1</v>
      </c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36</v>
      </c>
      <c r="B140" s="60">
        <v>144</v>
      </c>
      <c r="C140" s="50">
        <v>1</v>
      </c>
      <c r="D140" s="60">
        <v>35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4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44</v>
      </c>
      <c r="B141" s="60">
        <v>188</v>
      </c>
      <c r="C141" s="50">
        <v>2</v>
      </c>
      <c r="D141" s="60">
        <v>46</v>
      </c>
      <c r="E141" s="51">
        <v>0</v>
      </c>
      <c r="F141" s="51">
        <v>0.5</v>
      </c>
      <c r="G141" s="51">
        <v>0</v>
      </c>
      <c r="H141" s="51">
        <v>0.5</v>
      </c>
      <c r="I141" s="57">
        <f t="shared" ref="I141:I159" si="5">IF(A141&lt;&gt;0,(B141-(B140-D140))/(A141-A140),"")</f>
        <v>9.875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52</v>
      </c>
      <c r="B142" s="60">
        <v>232</v>
      </c>
      <c r="C142" s="50">
        <v>3</v>
      </c>
      <c r="D142" s="60">
        <v>63</v>
      </c>
      <c r="E142" s="51">
        <v>0</v>
      </c>
      <c r="F142" s="51">
        <v>0.5</v>
      </c>
      <c r="G142" s="51">
        <v>0</v>
      </c>
      <c r="H142" s="51">
        <v>0.5</v>
      </c>
      <c r="I142" s="57">
        <f t="shared" si="5"/>
        <v>11.25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60</v>
      </c>
      <c r="B143" s="60">
        <v>250</v>
      </c>
      <c r="C143" s="50">
        <v>4</v>
      </c>
      <c r="D143" s="60">
        <v>54</v>
      </c>
      <c r="E143" s="51">
        <v>0</v>
      </c>
      <c r="F143" s="51">
        <v>0.5</v>
      </c>
      <c r="G143" s="51">
        <v>0</v>
      </c>
      <c r="H143" s="51">
        <v>0.5</v>
      </c>
      <c r="I143" s="57">
        <f t="shared" si="5"/>
        <v>10.125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69</v>
      </c>
      <c r="B144" s="60">
        <v>274</v>
      </c>
      <c r="C144" s="50">
        <v>5</v>
      </c>
      <c r="D144" s="60">
        <v>51</v>
      </c>
      <c r="E144" s="51">
        <v>0</v>
      </c>
      <c r="F144" s="51">
        <v>0.5</v>
      </c>
      <c r="G144" s="51">
        <v>0</v>
      </c>
      <c r="H144" s="51">
        <v>0.5</v>
      </c>
      <c r="I144" s="57">
        <f t="shared" si="5"/>
        <v>8.6666666666666661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78</v>
      </c>
      <c r="B145" s="60">
        <v>296</v>
      </c>
      <c r="C145" s="50">
        <v>6</v>
      </c>
      <c r="D145" s="60">
        <v>49</v>
      </c>
      <c r="E145" s="51">
        <v>0.1</v>
      </c>
      <c r="F145" s="51">
        <v>0.5</v>
      </c>
      <c r="G145" s="51">
        <v>0</v>
      </c>
      <c r="H145" s="51">
        <v>0.4</v>
      </c>
      <c r="I145" s="57">
        <f t="shared" si="5"/>
        <v>8.1111111111111107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87</v>
      </c>
      <c r="B146" s="60">
        <v>317</v>
      </c>
      <c r="C146" s="50">
        <v>7</v>
      </c>
      <c r="D146" s="60">
        <v>45</v>
      </c>
      <c r="E146" s="51">
        <v>0.3</v>
      </c>
      <c r="F146" s="51">
        <v>0.35</v>
      </c>
      <c r="G146" s="51">
        <v>0</v>
      </c>
      <c r="H146" s="51">
        <v>0.35</v>
      </c>
      <c r="I146" s="57">
        <f t="shared" si="5"/>
        <v>7.7777777777777777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96</v>
      </c>
      <c r="B147" s="60">
        <v>338</v>
      </c>
      <c r="C147" s="50">
        <v>8</v>
      </c>
      <c r="D147" s="60">
        <v>44</v>
      </c>
      <c r="E147" s="51">
        <v>0.4</v>
      </c>
      <c r="F147" s="51">
        <v>0.3</v>
      </c>
      <c r="G147" s="51">
        <v>0</v>
      </c>
      <c r="H147" s="51">
        <v>0.3</v>
      </c>
      <c r="I147" s="57">
        <f>IF(A147&lt;&gt;0,(B147-(B146-D146))/(A147-A146),"")</f>
        <v>7.333333333333333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105</v>
      </c>
      <c r="B148" s="60">
        <v>358</v>
      </c>
      <c r="C148" s="50">
        <v>9</v>
      </c>
      <c r="D148" s="60">
        <v>43</v>
      </c>
      <c r="E148" s="51">
        <v>0.7</v>
      </c>
      <c r="F148" s="51">
        <v>0.1</v>
      </c>
      <c r="G148" s="51">
        <v>0</v>
      </c>
      <c r="H148" s="51">
        <v>0.2</v>
      </c>
      <c r="I148" s="57">
        <f t="shared" si="5"/>
        <v>7.1111111111111107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114</v>
      </c>
      <c r="B149" s="60">
        <v>378</v>
      </c>
      <c r="C149" s="50">
        <v>10</v>
      </c>
      <c r="D149" s="60">
        <v>43</v>
      </c>
      <c r="E149" s="51">
        <v>0.7</v>
      </c>
      <c r="F149" s="51">
        <v>0.1</v>
      </c>
      <c r="G149" s="51">
        <v>0</v>
      </c>
      <c r="H149" s="51">
        <v>0.2</v>
      </c>
      <c r="I149" s="57">
        <f t="shared" si="5"/>
        <v>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123</v>
      </c>
      <c r="B150" s="60">
        <v>397</v>
      </c>
      <c r="C150" s="50">
        <v>11</v>
      </c>
      <c r="D150" s="60">
        <v>41</v>
      </c>
      <c r="E150" s="51">
        <v>0.7</v>
      </c>
      <c r="F150" s="51">
        <v>0.1</v>
      </c>
      <c r="G150" s="51">
        <v>0</v>
      </c>
      <c r="H150" s="51">
        <v>0.2</v>
      </c>
      <c r="I150" s="57">
        <f t="shared" si="5"/>
        <v>6.8888888888888893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132</v>
      </c>
      <c r="B151" s="60">
        <v>419</v>
      </c>
      <c r="C151" s="50">
        <v>12</v>
      </c>
      <c r="D151" s="60">
        <v>42</v>
      </c>
      <c r="E151" s="51">
        <v>0.7</v>
      </c>
      <c r="F151" s="51">
        <v>0.1</v>
      </c>
      <c r="G151" s="51">
        <v>0</v>
      </c>
      <c r="H151" s="51">
        <v>0.2</v>
      </c>
      <c r="I151" s="57">
        <f t="shared" si="5"/>
        <v>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141</v>
      </c>
      <c r="B152" s="60">
        <v>441</v>
      </c>
      <c r="C152" s="50">
        <v>13</v>
      </c>
      <c r="D152" s="60">
        <v>45</v>
      </c>
      <c r="E152" s="54">
        <v>0.7</v>
      </c>
      <c r="F152" s="54">
        <v>0.1</v>
      </c>
      <c r="G152" s="54">
        <v>0</v>
      </c>
      <c r="H152" s="54">
        <v>0.2</v>
      </c>
      <c r="I152" s="57">
        <f t="shared" si="5"/>
        <v>7.1111111111111107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153</v>
      </c>
      <c r="B153" s="60">
        <v>481</v>
      </c>
      <c r="C153" s="50" t="s">
        <v>326</v>
      </c>
      <c r="D153" s="60">
        <v>481</v>
      </c>
      <c r="E153" s="54">
        <v>0.7</v>
      </c>
      <c r="F153" s="54">
        <v>0.1</v>
      </c>
      <c r="G153" s="54">
        <v>0</v>
      </c>
      <c r="H153" s="54">
        <v>0.2</v>
      </c>
      <c r="I153" s="57">
        <f t="shared" si="5"/>
        <v>7.083333333333333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 pubescent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36</v>
      </c>
      <c r="B166" s="60">
        <v>144</v>
      </c>
      <c r="C166" s="60">
        <v>1</v>
      </c>
      <c r="D166" s="60">
        <v>35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44</v>
      </c>
      <c r="B167" s="60">
        <v>188</v>
      </c>
      <c r="C167" s="60">
        <v>2</v>
      </c>
      <c r="D167" s="60">
        <v>46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9.875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52</v>
      </c>
      <c r="B168" s="60">
        <v>232</v>
      </c>
      <c r="C168" s="60">
        <v>3</v>
      </c>
      <c r="D168" s="60">
        <v>63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11.25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60</v>
      </c>
      <c r="B169" s="60">
        <v>250</v>
      </c>
      <c r="C169" s="60">
        <v>4</v>
      </c>
      <c r="D169" s="60">
        <v>54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10.125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69</v>
      </c>
      <c r="B170" s="60">
        <v>274</v>
      </c>
      <c r="C170" s="60">
        <v>5</v>
      </c>
      <c r="D170" s="60">
        <v>51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8.6666666666666661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78</v>
      </c>
      <c r="B171" s="60">
        <v>296</v>
      </c>
      <c r="C171" s="60">
        <v>6</v>
      </c>
      <c r="D171" s="60">
        <v>49</v>
      </c>
      <c r="E171" s="51">
        <v>0.1</v>
      </c>
      <c r="F171" s="51">
        <v>0.5</v>
      </c>
      <c r="G171" s="51">
        <v>0</v>
      </c>
      <c r="H171" s="51">
        <v>0.4</v>
      </c>
      <c r="I171" s="49">
        <f t="shared" si="6"/>
        <v>8.1111111111111107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87</v>
      </c>
      <c r="B172" s="60">
        <v>317</v>
      </c>
      <c r="C172" s="60">
        <v>7</v>
      </c>
      <c r="D172" s="60">
        <v>45</v>
      </c>
      <c r="E172" s="51">
        <v>0.3</v>
      </c>
      <c r="F172" s="51">
        <v>0.35</v>
      </c>
      <c r="G172" s="51">
        <v>0</v>
      </c>
      <c r="H172" s="51">
        <v>0.35</v>
      </c>
      <c r="I172" s="49">
        <f t="shared" si="6"/>
        <v>7.7777777777777777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96</v>
      </c>
      <c r="B173" s="50">
        <v>338</v>
      </c>
      <c r="C173" s="50">
        <v>8</v>
      </c>
      <c r="D173" s="50">
        <v>44</v>
      </c>
      <c r="E173" s="51">
        <v>0.4</v>
      </c>
      <c r="F173" s="51">
        <v>0.3</v>
      </c>
      <c r="G173" s="51">
        <v>0</v>
      </c>
      <c r="H173" s="51">
        <v>0.3</v>
      </c>
      <c r="I173" s="49">
        <f t="shared" si="6"/>
        <v>7.333333333333333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105</v>
      </c>
      <c r="B174" s="50">
        <v>358</v>
      </c>
      <c r="C174" s="50">
        <v>9</v>
      </c>
      <c r="D174" s="50">
        <v>43</v>
      </c>
      <c r="E174" s="51">
        <v>0.7</v>
      </c>
      <c r="F174" s="51">
        <v>0.1</v>
      </c>
      <c r="G174" s="51">
        <v>0</v>
      </c>
      <c r="H174" s="51">
        <v>0.2</v>
      </c>
      <c r="I174" s="49">
        <f t="shared" si="6"/>
        <v>7.1111111111111107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114</v>
      </c>
      <c r="B175" s="50">
        <v>378</v>
      </c>
      <c r="C175" s="50">
        <v>10</v>
      </c>
      <c r="D175" s="50">
        <v>43</v>
      </c>
      <c r="E175" s="51">
        <v>0.7</v>
      </c>
      <c r="F175" s="51">
        <v>0.1</v>
      </c>
      <c r="G175" s="51">
        <v>0</v>
      </c>
      <c r="H175" s="51">
        <v>0.2</v>
      </c>
      <c r="I175" s="49">
        <f t="shared" si="6"/>
        <v>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123</v>
      </c>
      <c r="B176" s="50">
        <v>397</v>
      </c>
      <c r="C176" s="50">
        <v>11</v>
      </c>
      <c r="D176" s="50">
        <v>41</v>
      </c>
      <c r="E176" s="51">
        <v>0.7</v>
      </c>
      <c r="F176" s="51">
        <v>0.1</v>
      </c>
      <c r="G176" s="51">
        <v>0</v>
      </c>
      <c r="H176" s="51">
        <v>0.2</v>
      </c>
      <c r="I176" s="49">
        <f t="shared" si="6"/>
        <v>6.8888888888888893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132</v>
      </c>
      <c r="B177" s="50">
        <v>419</v>
      </c>
      <c r="C177" s="50">
        <v>12</v>
      </c>
      <c r="D177" s="50">
        <v>42</v>
      </c>
      <c r="E177" s="51">
        <v>0.7</v>
      </c>
      <c r="F177" s="51">
        <v>0.1</v>
      </c>
      <c r="G177" s="51">
        <v>0</v>
      </c>
      <c r="H177" s="51">
        <v>0.2</v>
      </c>
      <c r="I177" s="49">
        <f t="shared" si="6"/>
        <v>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141</v>
      </c>
      <c r="B178" s="50">
        <v>441</v>
      </c>
      <c r="C178" s="50">
        <v>13</v>
      </c>
      <c r="D178" s="50">
        <v>45</v>
      </c>
      <c r="E178" s="51">
        <v>0.7</v>
      </c>
      <c r="F178" s="51">
        <v>0.1</v>
      </c>
      <c r="G178" s="51">
        <v>0</v>
      </c>
      <c r="H178" s="51">
        <v>0.2</v>
      </c>
      <c r="I178" s="49">
        <f t="shared" si="6"/>
        <v>7.1111111111111107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153</v>
      </c>
      <c r="B179" s="50">
        <v>481</v>
      </c>
      <c r="C179" s="50" t="s">
        <v>326</v>
      </c>
      <c r="D179" s="50">
        <v>481</v>
      </c>
      <c r="E179" s="51">
        <v>0.7</v>
      </c>
      <c r="F179" s="51">
        <v>0.1</v>
      </c>
      <c r="G179" s="51">
        <v>0</v>
      </c>
      <c r="H179" s="51">
        <v>0.2</v>
      </c>
      <c r="I179" s="49">
        <f t="shared" si="6"/>
        <v>7.083333333333333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15</v>
      </c>
      <c r="B192" s="60">
        <v>37</v>
      </c>
      <c r="C192" s="60">
        <v>1</v>
      </c>
      <c r="D192" s="60">
        <v>15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80</v>
      </c>
      <c r="C193" s="60">
        <v>2</v>
      </c>
      <c r="D193" s="60">
        <v>28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11.6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25</v>
      </c>
      <c r="B194" s="60">
        <v>115</v>
      </c>
      <c r="C194" s="60">
        <v>3</v>
      </c>
      <c r="D194" s="60">
        <v>28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12.6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30</v>
      </c>
      <c r="B195" s="60">
        <v>146</v>
      </c>
      <c r="C195" s="60">
        <v>4</v>
      </c>
      <c r="D195" s="60">
        <v>28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11.8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35</v>
      </c>
      <c r="B196" s="60">
        <v>172</v>
      </c>
      <c r="C196" s="60">
        <v>5</v>
      </c>
      <c r="D196" s="60">
        <v>28</v>
      </c>
      <c r="E196" s="51">
        <v>0</v>
      </c>
      <c r="F196" s="51">
        <v>0.3</v>
      </c>
      <c r="G196" s="51">
        <v>0.4</v>
      </c>
      <c r="H196" s="51">
        <v>0.3</v>
      </c>
      <c r="I196" s="49">
        <f t="shared" si="7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40</v>
      </c>
      <c r="B197" s="60">
        <v>192</v>
      </c>
      <c r="C197" s="60">
        <v>6</v>
      </c>
      <c r="D197" s="60">
        <v>28</v>
      </c>
      <c r="E197" s="51">
        <v>0.1</v>
      </c>
      <c r="F197" s="51">
        <v>0.4</v>
      </c>
      <c r="G197" s="51">
        <v>0.3</v>
      </c>
      <c r="H197" s="51">
        <v>0.2</v>
      </c>
      <c r="I197" s="49">
        <f t="shared" si="7"/>
        <v>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45</v>
      </c>
      <c r="B198" s="60">
        <v>205</v>
      </c>
      <c r="C198" s="60">
        <v>7</v>
      </c>
      <c r="D198" s="60">
        <v>22</v>
      </c>
      <c r="E198" s="51">
        <v>0.3</v>
      </c>
      <c r="F198" s="51">
        <v>0</v>
      </c>
      <c r="G198" s="51">
        <v>0.4</v>
      </c>
      <c r="H198" s="51">
        <v>0.3</v>
      </c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50</v>
      </c>
      <c r="B199" s="50">
        <v>219</v>
      </c>
      <c r="C199" s="50">
        <v>8</v>
      </c>
      <c r="D199" s="50">
        <v>17</v>
      </c>
      <c r="E199" s="51">
        <v>0.3</v>
      </c>
      <c r="F199" s="51">
        <v>0</v>
      </c>
      <c r="G199" s="51">
        <v>0.4</v>
      </c>
      <c r="H199" s="51">
        <v>0.3</v>
      </c>
      <c r="I199" s="49">
        <f t="shared" si="7"/>
        <v>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55</v>
      </c>
      <c r="B200" s="50">
        <v>232</v>
      </c>
      <c r="C200" s="50">
        <v>9</v>
      </c>
      <c r="D200" s="50">
        <v>13</v>
      </c>
      <c r="E200" s="51">
        <v>0.5</v>
      </c>
      <c r="F200" s="51">
        <v>0</v>
      </c>
      <c r="G200" s="51">
        <v>0.3</v>
      </c>
      <c r="H200" s="51">
        <v>0.2</v>
      </c>
      <c r="I200" s="49">
        <f t="shared" si="7"/>
        <v>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60</v>
      </c>
      <c r="B201" s="50">
        <v>245</v>
      </c>
      <c r="C201" s="50">
        <v>10</v>
      </c>
      <c r="D201" s="50">
        <v>12</v>
      </c>
      <c r="E201" s="51">
        <v>0.5</v>
      </c>
      <c r="F201" s="51">
        <v>0</v>
      </c>
      <c r="G201" s="51">
        <v>0.3</v>
      </c>
      <c r="H201" s="51">
        <v>0.2</v>
      </c>
      <c r="I201" s="49">
        <f t="shared" si="7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65</v>
      </c>
      <c r="B202" s="50">
        <v>255</v>
      </c>
      <c r="C202" s="50">
        <v>11</v>
      </c>
      <c r="D202" s="50">
        <v>11</v>
      </c>
      <c r="E202" s="51">
        <v>0.5</v>
      </c>
      <c r="F202" s="51">
        <v>0</v>
      </c>
      <c r="G202" s="51">
        <v>0.3</v>
      </c>
      <c r="H202" s="51">
        <v>0.2</v>
      </c>
      <c r="I202" s="49">
        <f t="shared" si="7"/>
        <v>4.4000000000000004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70</v>
      </c>
      <c r="B203" s="50">
        <v>263</v>
      </c>
      <c r="C203" s="50">
        <v>12</v>
      </c>
      <c r="D203" s="50">
        <v>10</v>
      </c>
      <c r="E203" s="51">
        <v>0.5</v>
      </c>
      <c r="F203" s="51">
        <v>0</v>
      </c>
      <c r="G203" s="51">
        <v>0.3</v>
      </c>
      <c r="H203" s="51">
        <v>0.2</v>
      </c>
      <c r="I203" s="49">
        <f t="shared" si="7"/>
        <v>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75</v>
      </c>
      <c r="B204" s="50">
        <v>270</v>
      </c>
      <c r="C204" s="50">
        <v>13</v>
      </c>
      <c r="D204" s="50">
        <v>9</v>
      </c>
      <c r="E204" s="51">
        <v>0.7</v>
      </c>
      <c r="F204" s="51">
        <v>0</v>
      </c>
      <c r="G204" s="51">
        <v>0.2</v>
      </c>
      <c r="H204" s="51">
        <v>0.1</v>
      </c>
      <c r="I204" s="49">
        <f t="shared" si="7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80</v>
      </c>
      <c r="B205" s="50">
        <v>275</v>
      </c>
      <c r="C205" s="50" t="s">
        <v>326</v>
      </c>
      <c r="D205" s="50">
        <v>275</v>
      </c>
      <c r="E205" s="51">
        <v>0.7</v>
      </c>
      <c r="F205" s="51">
        <v>0</v>
      </c>
      <c r="G205" s="51">
        <v>0.2</v>
      </c>
      <c r="H205" s="51">
        <v>0.1</v>
      </c>
      <c r="I205" s="49">
        <f t="shared" si="7"/>
        <v>2.8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Noyer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15</v>
      </c>
      <c r="B218" s="60">
        <v>37</v>
      </c>
      <c r="C218" s="50">
        <v>1</v>
      </c>
      <c r="D218" s="60">
        <v>15</v>
      </c>
      <c r="E218" s="63">
        <v>0</v>
      </c>
      <c r="F218" s="63">
        <v>0</v>
      </c>
      <c r="G218" s="63">
        <v>0</v>
      </c>
      <c r="H218" s="63">
        <v>1</v>
      </c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20</v>
      </c>
      <c r="B219" s="60">
        <v>80</v>
      </c>
      <c r="C219" s="50">
        <v>2</v>
      </c>
      <c r="D219" s="60">
        <v>28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25</v>
      </c>
      <c r="B220" s="60">
        <v>115</v>
      </c>
      <c r="C220" s="50">
        <v>3</v>
      </c>
      <c r="D220" s="60">
        <v>28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30</v>
      </c>
      <c r="B221" s="55">
        <v>146</v>
      </c>
      <c r="C221" s="55">
        <v>4</v>
      </c>
      <c r="D221" s="55">
        <v>28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35</v>
      </c>
      <c r="B222" s="55">
        <v>172</v>
      </c>
      <c r="C222" s="55">
        <v>5</v>
      </c>
      <c r="D222" s="55">
        <v>28</v>
      </c>
      <c r="E222" s="63">
        <v>0</v>
      </c>
      <c r="F222" s="63">
        <v>0.3</v>
      </c>
      <c r="G222" s="63">
        <v>0.4</v>
      </c>
      <c r="H222" s="63">
        <v>0.3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40</v>
      </c>
      <c r="B223" s="55">
        <v>192</v>
      </c>
      <c r="C223" s="55">
        <v>6</v>
      </c>
      <c r="D223" s="55">
        <v>28</v>
      </c>
      <c r="E223" s="63">
        <v>0.1</v>
      </c>
      <c r="F223" s="63">
        <v>0.4</v>
      </c>
      <c r="G223" s="63">
        <v>0.3</v>
      </c>
      <c r="H223" s="63">
        <v>0.2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45</v>
      </c>
      <c r="B224" s="55">
        <v>205</v>
      </c>
      <c r="C224" s="55">
        <v>7</v>
      </c>
      <c r="D224" s="55">
        <v>22</v>
      </c>
      <c r="E224" s="63">
        <v>0.3</v>
      </c>
      <c r="F224" s="63">
        <v>0</v>
      </c>
      <c r="G224" s="63">
        <v>0.4</v>
      </c>
      <c r="H224" s="63">
        <v>0.3</v>
      </c>
      <c r="I224" s="53">
        <f t="shared" si="8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50</v>
      </c>
      <c r="B225" s="55">
        <v>219</v>
      </c>
      <c r="C225" s="55">
        <v>8</v>
      </c>
      <c r="D225" s="55">
        <v>17</v>
      </c>
      <c r="E225" s="63">
        <v>0.3</v>
      </c>
      <c r="F225" s="63">
        <v>0</v>
      </c>
      <c r="G225" s="63">
        <v>0.4</v>
      </c>
      <c r="H225" s="63">
        <v>0.3</v>
      </c>
      <c r="I225" s="53">
        <f t="shared" si="8"/>
        <v>7.2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55</v>
      </c>
      <c r="B226" s="55">
        <v>232</v>
      </c>
      <c r="C226" s="55">
        <v>9</v>
      </c>
      <c r="D226" s="55">
        <v>13</v>
      </c>
      <c r="E226" s="63">
        <v>0.5</v>
      </c>
      <c r="F226" s="63">
        <v>0</v>
      </c>
      <c r="G226" s="63">
        <v>0.3</v>
      </c>
      <c r="H226" s="63">
        <v>0.2</v>
      </c>
      <c r="I226" s="53">
        <f t="shared" si="8"/>
        <v>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60</v>
      </c>
      <c r="B227" s="55">
        <v>245</v>
      </c>
      <c r="C227" s="55">
        <v>10</v>
      </c>
      <c r="D227" s="55">
        <v>12</v>
      </c>
      <c r="E227" s="63">
        <v>0.5</v>
      </c>
      <c r="F227" s="63">
        <v>0</v>
      </c>
      <c r="G227" s="63">
        <v>0.3</v>
      </c>
      <c r="H227" s="63">
        <v>0.2</v>
      </c>
      <c r="I227" s="53">
        <f t="shared" si="8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65</v>
      </c>
      <c r="B228" s="55">
        <v>255</v>
      </c>
      <c r="C228" s="55">
        <v>11</v>
      </c>
      <c r="D228" s="55">
        <v>11</v>
      </c>
      <c r="E228" s="63">
        <v>0.5</v>
      </c>
      <c r="F228" s="63">
        <v>0</v>
      </c>
      <c r="G228" s="63">
        <v>0.3</v>
      </c>
      <c r="H228" s="63">
        <v>0.2</v>
      </c>
      <c r="I228" s="53">
        <f t="shared" si="8"/>
        <v>4.4000000000000004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70</v>
      </c>
      <c r="B229" s="55">
        <v>263</v>
      </c>
      <c r="C229" s="55">
        <v>12</v>
      </c>
      <c r="D229" s="55">
        <v>10</v>
      </c>
      <c r="E229" s="63">
        <v>0.5</v>
      </c>
      <c r="F229" s="63">
        <v>0</v>
      </c>
      <c r="G229" s="63">
        <v>0.3</v>
      </c>
      <c r="H229" s="63">
        <v>0.2</v>
      </c>
      <c r="I229" s="53">
        <f t="shared" si="8"/>
        <v>3.8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75</v>
      </c>
      <c r="B230" s="55">
        <v>270</v>
      </c>
      <c r="C230" s="55">
        <v>13</v>
      </c>
      <c r="D230" s="55">
        <v>9</v>
      </c>
      <c r="E230" s="64">
        <v>0.7</v>
      </c>
      <c r="F230" s="64">
        <v>0</v>
      </c>
      <c r="G230" s="64">
        <v>0.2</v>
      </c>
      <c r="H230" s="64">
        <v>0.1</v>
      </c>
      <c r="I230" s="53">
        <f t="shared" si="8"/>
        <v>3.4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80</v>
      </c>
      <c r="B231" s="60">
        <v>275</v>
      </c>
      <c r="C231" s="88" t="s">
        <v>326</v>
      </c>
      <c r="D231" s="60">
        <v>275</v>
      </c>
      <c r="E231" s="54">
        <v>0.7</v>
      </c>
      <c r="F231" s="54">
        <v>0</v>
      </c>
      <c r="G231" s="54">
        <v>0.2</v>
      </c>
      <c r="H231" s="54">
        <v>0.1</v>
      </c>
      <c r="I231" s="53">
        <f t="shared" si="8"/>
        <v>2.8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Châtaignier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pubescent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Alisier torminal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Noyer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381.72225529388083</v>
      </c>
      <c r="T3" s="59">
        <f>IF('Données projet'!E9&gt;30,$R$33-$H$33,LOOKUP('Données projet'!$E$9,$A$3:$A$203,R3:R203)-LOOKUP('Données projet'!$E$9,$A$3:$A$203,$H$3:$H$203))</f>
        <v>360.05900046417361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464.3681853739115</v>
      </c>
      <c r="AO3" s="59">
        <f>IF('Données projet'!E10&gt;30,$AM$33-$H$33,LOOKUP('Données projet'!$E$10,$A$3:$A$203,AM3:AM203)-LOOKUP('Données projet'!$E$10,$A$3:$A$203,$H$3:$H$203))</f>
        <v>272.97841038165217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299.10536994156814</v>
      </c>
      <c r="BJ3" s="59">
        <f>IF('Données projet'!E11&gt;30,$BH$33-$H$33,LOOKUP('Données projet'!$E$11,$A$3:$A$203,BH3:BH203)-LOOKUP('Données projet'!$E$11,$A$3:$A$203,$H$3:$H$203))</f>
        <v>292.57799203101769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299.10536994156814</v>
      </c>
      <c r="CE3" s="59">
        <f>IF('Données projet'!E12&gt;30,$CC$33-$H$33,LOOKUP('Données projet'!$E$12,$A$3:$A$203,CC3:CC203)-LOOKUP('Données projet'!$E$12,$A$3:$A$203,$H$3:$H$203))</f>
        <v>292.57799203101769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528.15559695545812</v>
      </c>
      <c r="CZ3" s="59">
        <f>IF('Données projet'!E13&gt;30,$CX$33-$H$33,LOOKUP('Données projet'!$E$13,$A$3:$A$203,CX3:CX203)-LOOKUP('Données projet'!$E$13,$A$3:$A$203,$H$3:$H$203))</f>
        <v>276.26988364830532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586.50020405958992</v>
      </c>
      <c r="DU3" s="59">
        <f>IF('Données projet'!E14&gt;30,$DS$33-$H$33,LOOKUP('Données projet'!$E$14,$A$3:$A$203,DS3:DS203)-LOOKUP('Données projet'!$E$14,$A$3:$A$203,$H$3:$H$203))</f>
        <v>304.44184537595294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355.72173590705142</v>
      </c>
      <c r="EP3" s="59">
        <f>IF('Données projet'!E15&gt;30,$EN$33-$H$33,LOOKUP('Données projet'!$E$15,$A$3:$A$203,EN3:EN203)-LOOKUP('Données projet'!$E$15,$A$3:$A$203,$H$3:$H$203))</f>
        <v>346.30980704469363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304.26232113495314</v>
      </c>
      <c r="FK3" s="59">
        <f>IF('Données projet'!E16&gt;30,$FI$33-$H$33,LOOKUP('Données projet'!$E$16,$A$3:$A$203,FI3:FI203)-LOOKUP('Données projet'!$E$16,$A$3:$A$203,$H$3:$H$203))</f>
        <v>297.47246687305056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3.5</v>
      </c>
      <c r="N4" s="13">
        <f>IF('Données projet'!$A$36&gt;35,N3+M4-V3,IF(A4&lt;'Données projet'!$A$36,$K$205^A4,IF(A4='Données projet'!$A$36,'Données projet'!$B$36,N3+M4-V3)))</f>
        <v>1.4269435884576509</v>
      </c>
      <c r="O4" s="13">
        <f>N4*VLOOKUP('Données projet'!$B$9,Paramètres!$A$1:$I$89,3,0)*VLOOKUP('Données projet'!$B$9,Paramètres!$A$1:$I$89,5,0)</f>
        <v>1.246577918876604</v>
      </c>
      <c r="P4" s="13">
        <f>EXP(-1.0587+0.8836*LN(O4)+0.284)</f>
        <v>0.55992486380829476</v>
      </c>
      <c r="Q4" s="20">
        <f t="shared" ref="Q4:Q34" si="2">(O4+P4)*0.475*44/12</f>
        <v>3.1463256798428652</v>
      </c>
      <c r="R4" s="59">
        <f t="shared" si="0"/>
        <v>261.0352145687317</v>
      </c>
      <c r="S4" s="59">
        <f ca="1">AVERAGE(OFFSET($R$3,0,0,'Données projet'!$E$9+1,1))-AVERAGE(OFFSET($H$3,0,0,'Données projet'!$E$9+1,1))</f>
        <v>381.72225529388083</v>
      </c>
      <c r="T4" s="59">
        <f>$T$3</f>
        <v>360.05900046417361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1.2229519710813024</v>
      </c>
      <c r="AJ4" s="13">
        <f>AI4*VLOOKUP('Données projet'!$B$10,Paramètres!$A$1:$I$89,3,0)*VLOOKUP('Données projet'!$B$10,Paramètres!$A$1:$I$89,5,0)</f>
        <v>0.89666838519681091</v>
      </c>
      <c r="AK4" s="13">
        <f>EXP(-1.0587+0.8836*LN(AJ4)+0.284)</f>
        <v>0.41850203514861517</v>
      </c>
      <c r="AL4" s="20">
        <f t="shared" ref="AL4:AL67" si="4">(AJ4+AK4)*0.475*44/12</f>
        <v>2.2905884821016174</v>
      </c>
      <c r="AM4" s="59">
        <f t="shared" ref="AM4:AM67" si="5">AL4+(AD4+AE4)*44/12</f>
        <v>260.17947737099047</v>
      </c>
      <c r="AN4" s="59">
        <f ca="1">AVERAGE(OFFSET($AM$3,0,0,'Données projet'!$E$10+1,1))-AVERAGE(OFFSET($H$3,0,0,'Données projet'!$E$10+1,1))</f>
        <v>464.3681853739115</v>
      </c>
      <c r="AO4" s="59">
        <f>$AO$3</f>
        <v>272.97841038165217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1.0121422546683387</v>
      </c>
      <c r="BF4" s="13">
        <f>EXP(-1.0587+0.8836*LN(BE4)+0.284)</f>
        <v>0.46578286063395047</v>
      </c>
      <c r="BG4" s="20">
        <f t="shared" ref="BG4:BG67" si="7">(BE4+BF4)*0.475*44/12</f>
        <v>2.574052909151487</v>
      </c>
      <c r="BH4" s="59">
        <f t="shared" ref="BH4:BH67" si="8">BG4+(AY4+AZ4)*44/12</f>
        <v>260.46294179804033</v>
      </c>
      <c r="BI4" s="59">
        <f ca="1">AVERAGE(OFFSET($BH$3,0,0,'Données projet'!$E$11+1,1))-AVERAGE(OFFSET($H$3,0,0,'Données projet'!$E$11+1,1))</f>
        <v>299.10536994156814</v>
      </c>
      <c r="BJ4" s="59">
        <f>$BJ$3</f>
        <v>292.57799203101769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260.46294179804033</v>
      </c>
      <c r="CD4" s="59">
        <f ca="1">AVERAGE(OFFSET($CC$3,0,0,'Données projet'!$E$12+1,1))-AVERAGE(OFFSET($H$3,0,0,'Données projet'!$E$12+1,1))</f>
        <v>299.10536994156814</v>
      </c>
      <c r="CE4" s="59">
        <f>$CE$3</f>
        <v>292.57799203101769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</v>
      </c>
      <c r="CT4" s="12">
        <f>IF('Données projet'!$A$140&gt;35,CT3+CS4-DB3,IF(A4&lt;'Données projet'!$A$140,$CQ$205^A4,IF(A4='Données projet'!$A$140,'Données projet'!$B$140,CT3+CS4-DB3)))</f>
        <v>4</v>
      </c>
      <c r="CU4" s="17">
        <f>CT4*VLOOKUP('Données projet'!$B$13,Paramètres!$A$1:$I$89,3,0)*VLOOKUP('Données projet'!$B$13,Paramètres!$A$1:$I$89,5,0)</f>
        <v>3.6191999999999998</v>
      </c>
      <c r="CV4" s="13">
        <f>EXP(-1.0587+0.8836*LN(CU4)+0.284)</f>
        <v>1.4359593421107981</v>
      </c>
      <c r="CW4" s="20">
        <f t="shared" ref="CW4:CW67" si="13">(CU4+CV4)*0.475*44/12</f>
        <v>8.8044025208429719</v>
      </c>
      <c r="CX4" s="59">
        <f t="shared" ref="CX4:CX67" si="14">CW4+(CO4+CP4)*44/12</f>
        <v>266.69329140973184</v>
      </c>
      <c r="CY4" s="59">
        <f ca="1">AVERAGE(OFFSET($CX$3,0,0,'Données projet'!$E$13+1,1))-AVERAGE(OFFSET($H$3,0,0,'Données projet'!$E$13+1,1))</f>
        <v>528.15559695545812</v>
      </c>
      <c r="CZ4" s="59">
        <f>$CZ$3</f>
        <v>276.26988364830532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</v>
      </c>
      <c r="DO4" s="12">
        <f>IF('Données projet'!$A$166&gt;35,DO3+DN4-DW3,IF(A4&lt;'Données projet'!$A$166,$DL$205^A4,IF(A4='Données projet'!$A$166,'Données projet'!$B$166,DO3+DN4-DW3)))</f>
        <v>4</v>
      </c>
      <c r="DP4" s="17">
        <f>DO4*VLOOKUP('Données projet'!$B$14,Paramètres!$A$1:$I$89,3,0)*VLOOKUP('Données projet'!$B$14,Paramètres!$A$1:$I$89,5,0)</f>
        <v>4.056</v>
      </c>
      <c r="DQ4" s="13">
        <f>EXP(-1.0587+0.8836*LN(DP4)+0.284)</f>
        <v>1.588061840572724</v>
      </c>
      <c r="DR4" s="20">
        <f t="shared" ref="DR4:DR67" si="16">(DP4+DQ4)*0.475*44/12</f>
        <v>9.8300743723308273</v>
      </c>
      <c r="DS4" s="59">
        <f t="shared" ref="DS4:DS67" si="17">DR4+(DJ4+DK4)*44/12</f>
        <v>267.7189632612197</v>
      </c>
      <c r="DT4" s="59">
        <f ca="1">AVERAGE(OFFSET($DS$3,0,0,'Données projet'!$E$14+1,1))-AVERAGE(OFFSET($H$3,0,0,'Données projet'!$E$14+1,1))</f>
        <v>586.50020405958992</v>
      </c>
      <c r="DU4" s="59">
        <f>$DU$3</f>
        <v>304.44184537595294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2.4666666666666668</v>
      </c>
      <c r="EJ4" s="12">
        <f>IF('Données projet'!$A$192&gt;35,EJ3+EI4-ER3,IF(A4&lt;'Données projet'!$A$192,$EG$205^A4,IF(A4='Données projet'!$A$192,'Données projet'!$B$192,EJ3+EI4-ER3)))</f>
        <v>1.2721747796233518</v>
      </c>
      <c r="EK4" s="17">
        <f>EJ4*VLOOKUP('Données projet'!$B$15,Paramètres!$A$1:$I$89,3,0)*VLOOKUP('Données projet'!$B$15,Paramètres!$A$1:$I$89,5,0)</f>
        <v>1.2304474468517059</v>
      </c>
      <c r="EL4" s="13">
        <f>EXP(-1.0587+0.8836*LN(EK4)+0.284)</f>
        <v>0.55351805691893663</v>
      </c>
      <c r="EM4" s="20">
        <f t="shared" ref="EM4:EM67" si="19">(EK4+EL4)*0.475*44/12</f>
        <v>3.1070732524005358</v>
      </c>
      <c r="EN4" s="59">
        <f t="shared" ref="EN4:EN67" si="20">EM4+(EE4+EF4)*44/12</f>
        <v>260.9959621412894</v>
      </c>
      <c r="EO4" s="59">
        <f ca="1">AVERAGE(OFFSET($EN$3,0,0,'Données projet'!$E$15+1,1))-AVERAGE(OFFSET($H$3,0,0,'Données projet'!$E$15+1,1))</f>
        <v>355.72173590705142</v>
      </c>
      <c r="EP4" s="59">
        <f>$EP$3</f>
        <v>346.30980704469363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1.031988181230463</v>
      </c>
      <c r="FG4" s="13">
        <f>EXP(-1.0587+0.8836*LN(FF4)+0.284)</f>
        <v>0.47384363432899212</v>
      </c>
      <c r="FH4" s="20">
        <f t="shared" ref="FH4:FH67" si="22">(FF4+FG4)*0.475*44/12</f>
        <v>2.6226570787660513</v>
      </c>
      <c r="FI4" s="59">
        <f t="shared" ref="FI4:FI67" si="23">FH4+(EZ4+FA4)*44/12</f>
        <v>260.51154596765491</v>
      </c>
      <c r="FJ4" s="59">
        <f ca="1">AVERAGE(OFFSET($FI$3,0,0,'Données projet'!$E$16+1,1))-AVERAGE(OFFSET($H$3,0,0,'Données projet'!$E$16+1,1))</f>
        <v>304.26232113495314</v>
      </c>
      <c r="FK4" s="59">
        <f>$FK$3</f>
        <v>297.47246687305056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3.5</v>
      </c>
      <c r="N5" s="13">
        <f>IF('Données projet'!$A$36&gt;35,N4+M5-V4,IF(A5&lt;'Données projet'!$A$36,$K$205^A5,IF(A5='Données projet'!$A$36,'Données projet'!$B$36,N4+M5-V4)))</f>
        <v>2.0361680046403978</v>
      </c>
      <c r="O5" s="13">
        <f>N5*VLOOKUP('Données projet'!$B$9,Paramètres!$A$1:$I$89,3,0)*VLOOKUP('Données projet'!$B$9,Paramètres!$A$1:$I$89,5,0)</f>
        <v>1.7787963688538517</v>
      </c>
      <c r="P5" s="13">
        <f t="shared" ref="P5:P68" si="33">EXP(-1.0587+0.8836*LN(O5)+0.284)</f>
        <v>0.76659080447596062</v>
      </c>
      <c r="Q5" s="20">
        <f t="shared" si="2"/>
        <v>4.4332159935494238</v>
      </c>
      <c r="R5" s="59">
        <f t="shared" si="0"/>
        <v>263.54432710466057</v>
      </c>
      <c r="S5" s="59">
        <f ca="1">AVERAGE(OFFSET($R$3,0,0,'Données projet'!$E$9+1,1))-AVERAGE(OFFSET($H$3,0,0,'Données projet'!$E$9+1,1))</f>
        <v>381.72225529388083</v>
      </c>
      <c r="T5" s="59">
        <f t="shared" ref="T5:T68" si="34">$T$3</f>
        <v>360.05900046417361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1.4956115235716427</v>
      </c>
      <c r="AJ5" s="13">
        <f>AI5*VLOOKUP('Données projet'!$B$10,Paramètres!$A$1:$I$89,3,0)*VLOOKUP('Données projet'!$B$10,Paramètres!$A$1:$I$89,5,0)</f>
        <v>1.0965823690827283</v>
      </c>
      <c r="AK5" s="13">
        <f t="shared" ref="AK5:AK68" si="35">EXP(-1.0587+0.8836*LN(AJ5)+0.284)</f>
        <v>0.49995684793813105</v>
      </c>
      <c r="AL5" s="20">
        <f t="shared" si="4"/>
        <v>2.7806391363113296</v>
      </c>
      <c r="AM5" s="59">
        <f t="shared" si="5"/>
        <v>261.89175024742246</v>
      </c>
      <c r="AN5" s="59">
        <f ca="1">AVERAGE(OFFSET($AM$3,0,0,'Données projet'!$E$10+1,1))-AVERAGE(OFFSET($H$3,0,0,'Données projet'!$E$10+1,1))</f>
        <v>464.3681853739115</v>
      </c>
      <c r="AO5" s="59">
        <f t="shared" ref="AO5:AO68" si="36">$AO$3</f>
        <v>272.97841038165217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1.2876218497801761</v>
      </c>
      <c r="BF5" s="13">
        <f t="shared" ref="BF5:BF68" si="37">EXP(-1.0587+0.8836*LN(BE5)+0.284)</f>
        <v>0.57618379541883336</v>
      </c>
      <c r="BG5" s="20">
        <f t="shared" si="7"/>
        <v>3.2461281653882743</v>
      </c>
      <c r="BH5" s="59">
        <f t="shared" si="8"/>
        <v>262.3572392764994</v>
      </c>
      <c r="BI5" s="59">
        <f ca="1">AVERAGE(OFFSET($BH$3,0,0,'Données projet'!$E$11+1,1))-AVERAGE(OFFSET($H$3,0,0,'Données projet'!$E$11+1,1))</f>
        <v>299.10536994156814</v>
      </c>
      <c r="BJ5" s="59">
        <f t="shared" ref="BJ5:BJ68" si="38">$BJ$3</f>
        <v>292.57799203101769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262.3572392764994</v>
      </c>
      <c r="CD5" s="59">
        <f ca="1">AVERAGE(OFFSET($CC$3,0,0,'Données projet'!$E$12+1,1))-AVERAGE(OFFSET($H$3,0,0,'Données projet'!$E$12+1,1))</f>
        <v>299.10536994156814</v>
      </c>
      <c r="CE5" s="59">
        <f t="shared" ref="CE5:CE68" si="40">$CE$3</f>
        <v>292.57799203101769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</v>
      </c>
      <c r="CT5" s="12">
        <f>IF('Données projet'!$A$140&gt;35,CT4+CS5-DB4,IF(A5&lt;'Données projet'!$A$140,$CQ$205^A5,IF(A5='Données projet'!$A$140,'Données projet'!$B$140,CT4+CS5-DB4)))</f>
        <v>8</v>
      </c>
      <c r="CU5" s="17">
        <f>CT5*VLOOKUP('Données projet'!$B$13,Paramètres!$A$1:$I$89,3,0)*VLOOKUP('Données projet'!$B$13,Paramètres!$A$1:$I$89,5,0)</f>
        <v>7.2383999999999995</v>
      </c>
      <c r="CV5" s="13">
        <f t="shared" ref="CV5:CV68" si="41">EXP(-1.0587+0.8836*LN(CU5)+0.284)</f>
        <v>2.6493067597344675</v>
      </c>
      <c r="CW5" s="20">
        <f t="shared" si="13"/>
        <v>17.221089273204196</v>
      </c>
      <c r="CX5" s="59">
        <f t="shared" si="14"/>
        <v>276.33220038431534</v>
      </c>
      <c r="CY5" s="59">
        <f ca="1">AVERAGE(OFFSET($CX$3,0,0,'Données projet'!$E$13+1,1))-AVERAGE(OFFSET($H$3,0,0,'Données projet'!$E$13+1,1))</f>
        <v>528.15559695545812</v>
      </c>
      <c r="CZ5" s="59">
        <f t="shared" ref="CZ5:CZ68" si="42">$CZ$3</f>
        <v>276.26988364830532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</v>
      </c>
      <c r="DO5" s="12">
        <f>IF('Données projet'!$A$166&gt;35,DO4+DN5-DW4,IF(A5&lt;'Données projet'!$A$166,$DL$205^A5,IF(A5='Données projet'!$A$166,'Données projet'!$B$166,DO4+DN5-DW4)))</f>
        <v>8</v>
      </c>
      <c r="DP5" s="17">
        <f>DO5*VLOOKUP('Données projet'!$B$14,Paramètres!$A$1:$I$89,3,0)*VLOOKUP('Données projet'!$B$14,Paramètres!$A$1:$I$89,5,0)</f>
        <v>8.1120000000000001</v>
      </c>
      <c r="DQ5" s="13">
        <f t="shared" ref="DQ5:DQ68" si="43">EXP(-1.0587+0.8836*LN(DP5)+0.284)</f>
        <v>2.9299318202987461</v>
      </c>
      <c r="DR5" s="20">
        <f t="shared" si="16"/>
        <v>19.231364587020316</v>
      </c>
      <c r="DS5" s="59">
        <f t="shared" si="17"/>
        <v>278.34247569813147</v>
      </c>
      <c r="DT5" s="59">
        <f ca="1">AVERAGE(OFFSET($DS$3,0,0,'Données projet'!$E$14+1,1))-AVERAGE(OFFSET($H$3,0,0,'Données projet'!$E$14+1,1))</f>
        <v>586.50020405958992</v>
      </c>
      <c r="DU5" s="59">
        <f t="shared" ref="DU5:DU68" si="44">$DU$3</f>
        <v>304.44184537595294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2.4666666666666668</v>
      </c>
      <c r="EJ5" s="12">
        <f>IF('Données projet'!$A$192&gt;35,EJ4+EI5-ER4,IF(A5&lt;'Données projet'!$A$192,$EG$205^A5,IF(A5='Données projet'!$A$192,'Données projet'!$B$192,EJ4+EI5-ER4)))</f>
        <v>1.6184286699097237</v>
      </c>
      <c r="EK5" s="17">
        <f>EJ5*VLOOKUP('Données projet'!$B$15,Paramètres!$A$1:$I$89,3,0)*VLOOKUP('Données projet'!$B$15,Paramètres!$A$1:$I$89,5,0)</f>
        <v>1.565344209536685</v>
      </c>
      <c r="EL5" s="13">
        <f t="shared" ref="EL5:EL68" si="45">EXP(-1.0587+0.8836*LN(EK5)+0.284)</f>
        <v>0.68471419157488067</v>
      </c>
      <c r="EM5" s="20">
        <f t="shared" si="19"/>
        <v>3.9188517152693092</v>
      </c>
      <c r="EN5" s="59">
        <f t="shared" si="20"/>
        <v>263.02996282638043</v>
      </c>
      <c r="EO5" s="59">
        <f ca="1">AVERAGE(OFFSET($EN$3,0,0,'Données projet'!$E$15+1,1))-AVERAGE(OFFSET($H$3,0,0,'Données projet'!$E$15+1,1))</f>
        <v>355.72173590705142</v>
      </c>
      <c r="EP5" s="59">
        <f t="shared" ref="EP5:EP68" si="46">$EP$3</f>
        <v>346.30980704469363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1.312869337030768</v>
      </c>
      <c r="FG5" s="13">
        <f t="shared" ref="FG5:FG68" si="47">EXP(-1.0587+0.8836*LN(FF5)+0.284)</f>
        <v>0.58615515240543437</v>
      </c>
      <c r="FH5" s="20">
        <f t="shared" si="22"/>
        <v>3.3074676524347191</v>
      </c>
      <c r="FI5" s="59">
        <f t="shared" si="23"/>
        <v>262.41857876354584</v>
      </c>
      <c r="FJ5" s="59">
        <f ca="1">AVERAGE(OFFSET($FI$3,0,0,'Données projet'!$E$16+1,1))-AVERAGE(OFFSET($H$3,0,0,'Données projet'!$E$16+1,1))</f>
        <v>304.26232113495314</v>
      </c>
      <c r="FK5" s="59">
        <f t="shared" ref="FK5:FK68" si="48">$FK$3</f>
        <v>297.47246687305056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3.5</v>
      </c>
      <c r="N6" s="13">
        <f>IF('Données projet'!$A$36&gt;35,N5+M6-V5,IF(A6&lt;'Données projet'!$A$36,$K$205^A6,IF(A6='Données projet'!$A$36,'Données projet'!$B$36,N5+M6-V5)))</f>
        <v>2.905496879244224</v>
      </c>
      <c r="O6" s="13">
        <f>N6*VLOOKUP('Données projet'!$B$9,Paramètres!$A$1:$I$89,3,0)*VLOOKUP('Données projet'!$B$9,Paramètres!$A$1:$I$89,5,0)</f>
        <v>2.5382420737077545</v>
      </c>
      <c r="P6" s="13">
        <f t="shared" si="33"/>
        <v>1.049536285118966</v>
      </c>
      <c r="Q6" s="20">
        <f t="shared" si="2"/>
        <v>6.2487139749565381</v>
      </c>
      <c r="R6" s="59">
        <f t="shared" si="0"/>
        <v>266.58204730828987</v>
      </c>
      <c r="S6" s="59">
        <f ca="1">AVERAGE(OFFSET($R$3,0,0,'Données projet'!$E$9+1,1))-AVERAGE(OFFSET($H$3,0,0,'Données projet'!$E$9+1,1))</f>
        <v>381.72225529388083</v>
      </c>
      <c r="T6" s="59">
        <f t="shared" si="34"/>
        <v>360.05900046417361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1.8290610607238502</v>
      </c>
      <c r="AJ6" s="13">
        <f>AI6*VLOOKUP('Données projet'!$B$10,Paramètres!$A$1:$I$89,3,0)*VLOOKUP('Données projet'!$B$10,Paramètres!$A$1:$I$89,5,0)</f>
        <v>1.341067569722727</v>
      </c>
      <c r="AK6" s="13">
        <f t="shared" si="35"/>
        <v>0.5972655538257271</v>
      </c>
      <c r="AL6" s="20">
        <f t="shared" si="4"/>
        <v>3.3759301901802239</v>
      </c>
      <c r="AM6" s="59">
        <f t="shared" si="5"/>
        <v>263.70926352351353</v>
      </c>
      <c r="AN6" s="59">
        <f ca="1">AVERAGE(OFFSET($AM$3,0,0,'Données projet'!$E$10+1,1))-AVERAGE(OFFSET($H$3,0,0,'Données projet'!$E$10+1,1))</f>
        <v>464.3681853739115</v>
      </c>
      <c r="AO6" s="59">
        <f t="shared" si="36"/>
        <v>272.97841038165217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1.6380800429823084</v>
      </c>
      <c r="BF6" s="13">
        <f t="shared" si="37"/>
        <v>0.71275221602487127</v>
      </c>
      <c r="BG6" s="20">
        <f t="shared" si="7"/>
        <v>4.0943661844375043</v>
      </c>
      <c r="BH6" s="59">
        <f t="shared" si="8"/>
        <v>264.4276995177708</v>
      </c>
      <c r="BI6" s="59">
        <f ca="1">AVERAGE(OFFSET($BH$3,0,0,'Données projet'!$E$11+1,1))-AVERAGE(OFFSET($H$3,0,0,'Données projet'!$E$11+1,1))</f>
        <v>299.10536994156814</v>
      </c>
      <c r="BJ6" s="59">
        <f t="shared" si="38"/>
        <v>292.57799203101769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264.4276995177708</v>
      </c>
      <c r="CD6" s="59">
        <f ca="1">AVERAGE(OFFSET($CC$3,0,0,'Données projet'!$E$12+1,1))-AVERAGE(OFFSET($H$3,0,0,'Données projet'!$E$12+1,1))</f>
        <v>299.10536994156814</v>
      </c>
      <c r="CE6" s="59">
        <f t="shared" si="40"/>
        <v>292.57799203101769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</v>
      </c>
      <c r="CT6" s="12">
        <f>IF('Données projet'!$A$140&gt;35,CT5+CS6-DB5,IF(A6&lt;'Données projet'!$A$140,$CQ$205^A6,IF(A6='Données projet'!$A$140,'Données projet'!$B$140,CT5+CS6-DB5)))</f>
        <v>12</v>
      </c>
      <c r="CU6" s="17">
        <f>CT6*VLOOKUP('Données projet'!$B$13,Paramètres!$A$1:$I$89,3,0)*VLOOKUP('Données projet'!$B$13,Paramètres!$A$1:$I$89,5,0)</f>
        <v>10.8576</v>
      </c>
      <c r="CV6" s="13">
        <f t="shared" si="41"/>
        <v>3.7907617001683773</v>
      </c>
      <c r="CW6" s="20">
        <f t="shared" si="13"/>
        <v>25.512563294459923</v>
      </c>
      <c r="CX6" s="59">
        <f t="shared" si="14"/>
        <v>285.84589662779325</v>
      </c>
      <c r="CY6" s="59">
        <f ca="1">AVERAGE(OFFSET($CX$3,0,0,'Données projet'!$E$13+1,1))-AVERAGE(OFFSET($H$3,0,0,'Données projet'!$E$13+1,1))</f>
        <v>528.15559695545812</v>
      </c>
      <c r="CZ6" s="59">
        <f t="shared" si="42"/>
        <v>276.26988364830532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</v>
      </c>
      <c r="DO6" s="12">
        <f>IF('Données projet'!$A$166&gt;35,DO5+DN6-DW5,IF(A6&lt;'Données projet'!$A$166,$DL$205^A6,IF(A6='Données projet'!$A$166,'Données projet'!$B$166,DO5+DN6-DW5)))</f>
        <v>12</v>
      </c>
      <c r="DP6" s="17">
        <f>DO6*VLOOKUP('Données projet'!$B$14,Paramètres!$A$1:$I$89,3,0)*VLOOKUP('Données projet'!$B$14,Paramètres!$A$1:$I$89,5,0)</f>
        <v>12.168000000000001</v>
      </c>
      <c r="DQ6" s="13">
        <f t="shared" si="43"/>
        <v>4.192294187029626</v>
      </c>
      <c r="DR6" s="20">
        <f t="shared" si="16"/>
        <v>28.494179042409929</v>
      </c>
      <c r="DS6" s="59">
        <f t="shared" si="17"/>
        <v>288.82751237574325</v>
      </c>
      <c r="DT6" s="59">
        <f ca="1">AVERAGE(OFFSET($DS$3,0,0,'Données projet'!$E$14+1,1))-AVERAGE(OFFSET($H$3,0,0,'Données projet'!$E$14+1,1))</f>
        <v>586.50020405958992</v>
      </c>
      <c r="DU6" s="59">
        <f t="shared" si="44"/>
        <v>304.44184537595294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2.4666666666666668</v>
      </c>
      <c r="EJ6" s="12">
        <f>IF('Données projet'!$A$192&gt;35,EJ5+EI6-ER5,IF(A6&lt;'Données projet'!$A$192,$EG$205^A6,IF(A6='Données projet'!$A$192,'Données projet'!$B$192,EJ5+EI6-ER5)))</f>
        <v>2.0589241364785171</v>
      </c>
      <c r="EK6" s="17">
        <f>EJ6*VLOOKUP('Données projet'!$B$15,Paramètres!$A$1:$I$89,3,0)*VLOOKUP('Données projet'!$B$15,Paramètres!$A$1:$I$89,5,0)</f>
        <v>1.9913914248020217</v>
      </c>
      <c r="EL6" s="13">
        <f t="shared" si="45"/>
        <v>0.84700673859444398</v>
      </c>
      <c r="EM6" s="20">
        <f t="shared" si="19"/>
        <v>4.9435434679155108</v>
      </c>
      <c r="EN6" s="59">
        <f t="shared" si="20"/>
        <v>265.27687680124882</v>
      </c>
      <c r="EO6" s="59">
        <f ca="1">AVERAGE(OFFSET($EN$3,0,0,'Données projet'!$E$15+1,1))-AVERAGE(OFFSET($H$3,0,0,'Données projet'!$E$15+1,1))</f>
        <v>355.72173590705142</v>
      </c>
      <c r="EP6" s="59">
        <f t="shared" si="46"/>
        <v>346.30980704469363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1.6701992595113733</v>
      </c>
      <c r="FG6" s="13">
        <f t="shared" si="47"/>
        <v>0.72508700718957031</v>
      </c>
      <c r="FH6" s="20">
        <f t="shared" si="22"/>
        <v>4.1717902478374764</v>
      </c>
      <c r="FI6" s="59">
        <f t="shared" si="23"/>
        <v>264.50512358117078</v>
      </c>
      <c r="FJ6" s="59">
        <f ca="1">AVERAGE(OFFSET($FI$3,0,0,'Données projet'!$E$16+1,1))-AVERAGE(OFFSET($H$3,0,0,'Données projet'!$E$16+1,1))</f>
        <v>304.26232113495314</v>
      </c>
      <c r="FK6" s="59">
        <f t="shared" si="48"/>
        <v>297.47246687305056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3.5</v>
      </c>
      <c r="N7" s="13">
        <f>IF('Données projet'!$A$36&gt;35,N6+M7-V6,IF(A7&lt;'Données projet'!$A$36,$K$205^A7,IF(A7='Données projet'!$A$36,'Données projet'!$B$36,N6+M7-V6)))</f>
        <v>4.1459801431212595</v>
      </c>
      <c r="O7" s="13">
        <f>N7*VLOOKUP('Données projet'!$B$9,Paramètres!$A$1:$I$89,3,0)*VLOOKUP('Données projet'!$B$9,Paramètres!$A$1:$I$89,5,0)</f>
        <v>3.6219282530307328</v>
      </c>
      <c r="P7" s="13">
        <f t="shared" si="33"/>
        <v>1.4369157669903438</v>
      </c>
      <c r="Q7" s="20">
        <f t="shared" si="2"/>
        <v>8.8108200015367082</v>
      </c>
      <c r="R7" s="59">
        <f t="shared" si="0"/>
        <v>270.36637555709223</v>
      </c>
      <c r="S7" s="59">
        <f ca="1">AVERAGE(OFFSET($R$3,0,0,'Données projet'!$E$9+1,1))-AVERAGE(OFFSET($H$3,0,0,'Données projet'!$E$9+1,1))</f>
        <v>381.72225529388083</v>
      </c>
      <c r="T7" s="59">
        <f t="shared" si="34"/>
        <v>360.05900046417361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2.2368538294402907</v>
      </c>
      <c r="AJ7" s="13">
        <f>AI7*VLOOKUP('Données projet'!$B$10,Paramètres!$A$1:$I$89,3,0)*VLOOKUP('Données projet'!$B$10,Paramètres!$A$1:$I$89,5,0)</f>
        <v>1.640061227745621</v>
      </c>
      <c r="AK7" s="13">
        <f t="shared" si="35"/>
        <v>0.71351386276220552</v>
      </c>
      <c r="AL7" s="20">
        <f t="shared" si="4"/>
        <v>4.099143282634464</v>
      </c>
      <c r="AM7" s="59">
        <f t="shared" si="5"/>
        <v>265.65469883819003</v>
      </c>
      <c r="AN7" s="59">
        <f ca="1">AVERAGE(OFFSET($AM$3,0,0,'Données projet'!$E$10+1,1))-AVERAGE(OFFSET($H$3,0,0,'Données projet'!$E$10+1,1))</f>
        <v>464.3681853739115</v>
      </c>
      <c r="AO7" s="59">
        <f t="shared" si="36"/>
        <v>272.97841038165217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2.0839241176864287</v>
      </c>
      <c r="BF7" s="13">
        <f t="shared" si="37"/>
        <v>0.88169040068036508</v>
      </c>
      <c r="BG7" s="20">
        <f t="shared" si="7"/>
        <v>5.1651119528221656</v>
      </c>
      <c r="BH7" s="59">
        <f t="shared" si="8"/>
        <v>266.72066750837769</v>
      </c>
      <c r="BI7" s="59">
        <f ca="1">AVERAGE(OFFSET($BH$3,0,0,'Données projet'!$E$11+1,1))-AVERAGE(OFFSET($H$3,0,0,'Données projet'!$E$11+1,1))</f>
        <v>299.10536994156814</v>
      </c>
      <c r="BJ7" s="59">
        <f t="shared" si="38"/>
        <v>292.57799203101769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266.72066750837769</v>
      </c>
      <c r="CD7" s="59">
        <f ca="1">AVERAGE(OFFSET($CC$3,0,0,'Données projet'!$E$12+1,1))-AVERAGE(OFFSET($H$3,0,0,'Données projet'!$E$12+1,1))</f>
        <v>299.10536994156814</v>
      </c>
      <c r="CE7" s="59">
        <f t="shared" si="40"/>
        <v>292.57799203101769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</v>
      </c>
      <c r="CT7" s="12">
        <f>IF('Données projet'!$A$140&gt;35,CT6+CS7-DB6,IF(A7&lt;'Données projet'!$A$140,$CQ$205^A7,IF(A7='Données projet'!$A$140,'Données projet'!$B$140,CT6+CS7-DB6)))</f>
        <v>16</v>
      </c>
      <c r="CU7" s="17">
        <f>CT7*VLOOKUP('Données projet'!$B$13,Paramètres!$A$1:$I$89,3,0)*VLOOKUP('Données projet'!$B$13,Paramètres!$A$1:$I$89,5,0)</f>
        <v>14.476799999999999</v>
      </c>
      <c r="CV7" s="13">
        <f t="shared" si="41"/>
        <v>4.8879004449090973</v>
      </c>
      <c r="CW7" s="20">
        <f t="shared" si="13"/>
        <v>33.726853274883347</v>
      </c>
      <c r="CX7" s="59">
        <f t="shared" si="14"/>
        <v>295.2824088304389</v>
      </c>
      <c r="CY7" s="59">
        <f ca="1">AVERAGE(OFFSET($CX$3,0,0,'Données projet'!$E$13+1,1))-AVERAGE(OFFSET($H$3,0,0,'Données projet'!$E$13+1,1))</f>
        <v>528.15559695545812</v>
      </c>
      <c r="CZ7" s="59">
        <f t="shared" si="42"/>
        <v>276.26988364830532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</v>
      </c>
      <c r="DO7" s="12">
        <f>IF('Données projet'!$A$166&gt;35,DO6+DN7-DW6,IF(A7&lt;'Données projet'!$A$166,$DL$205^A7,IF(A7='Données projet'!$A$166,'Données projet'!$B$166,DO6+DN7-DW6)))</f>
        <v>16</v>
      </c>
      <c r="DP7" s="17">
        <f>DO7*VLOOKUP('Données projet'!$B$14,Paramètres!$A$1:$I$89,3,0)*VLOOKUP('Données projet'!$B$14,Paramètres!$A$1:$I$89,5,0)</f>
        <v>16.224</v>
      </c>
      <c r="DQ7" s="13">
        <f t="shared" si="43"/>
        <v>5.4056462111722139</v>
      </c>
      <c r="DR7" s="20">
        <f t="shared" si="16"/>
        <v>37.671633817791609</v>
      </c>
      <c r="DS7" s="59">
        <f t="shared" si="17"/>
        <v>299.22718937334713</v>
      </c>
      <c r="DT7" s="59">
        <f ca="1">AVERAGE(OFFSET($DS$3,0,0,'Données projet'!$E$14+1,1))-AVERAGE(OFFSET($H$3,0,0,'Données projet'!$E$14+1,1))</f>
        <v>586.50020405958992</v>
      </c>
      <c r="DU7" s="59">
        <f t="shared" si="44"/>
        <v>304.44184537595294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2.4666666666666668</v>
      </c>
      <c r="EJ7" s="12">
        <f>IF('Données projet'!$A$192&gt;35,EJ6+EI7-ER6,IF(A7&lt;'Données projet'!$A$192,$EG$205^A7,IF(A7='Données projet'!$A$192,'Données projet'!$B$192,EJ6+EI7-ER6)))</f>
        <v>2.6193113595857573</v>
      </c>
      <c r="EK7" s="17">
        <f>EJ7*VLOOKUP('Données projet'!$B$15,Paramètres!$A$1:$I$89,3,0)*VLOOKUP('Données projet'!$B$15,Paramètres!$A$1:$I$89,5,0)</f>
        <v>2.5333979469913448</v>
      </c>
      <c r="EL7" s="13">
        <f t="shared" si="45"/>
        <v>1.0477662418158591</v>
      </c>
      <c r="EM7" s="20">
        <f t="shared" si="19"/>
        <v>6.2371942955058799</v>
      </c>
      <c r="EN7" s="59">
        <f t="shared" si="20"/>
        <v>267.79274985106144</v>
      </c>
      <c r="EO7" s="59">
        <f ca="1">AVERAGE(OFFSET($EN$3,0,0,'Données projet'!$E$15+1,1))-AVERAGE(OFFSET($H$3,0,0,'Données projet'!$E$15+1,1))</f>
        <v>355.72173590705142</v>
      </c>
      <c r="EP7" s="59">
        <f t="shared" si="46"/>
        <v>346.30980704469363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2.1247853748959664</v>
      </c>
      <c r="FG7" s="13">
        <f t="shared" si="47"/>
        <v>0.89694881267796833</v>
      </c>
      <c r="FH7" s="20">
        <f t="shared" si="22"/>
        <v>5.2628537100246024</v>
      </c>
      <c r="FI7" s="59">
        <f t="shared" si="23"/>
        <v>266.81840926558016</v>
      </c>
      <c r="FJ7" s="59">
        <f ca="1">AVERAGE(OFFSET($FI$3,0,0,'Données projet'!$E$16+1,1))-AVERAGE(OFFSET($H$3,0,0,'Données projet'!$E$16+1,1))</f>
        <v>304.26232113495314</v>
      </c>
      <c r="FK7" s="59">
        <f t="shared" si="48"/>
        <v>297.47246687305056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3.5</v>
      </c>
      <c r="N8" s="13">
        <f>IF('Données projet'!$A$36&gt;35,N7+M8-V7,IF(A8&lt;'Données projet'!$A$36,$K$205^A8,IF(A8='Données projet'!$A$36,'Données projet'!$B$36,N7+M8-V7)))</f>
        <v>5.9160797830996152</v>
      </c>
      <c r="O8" s="13">
        <f>N8*VLOOKUP('Données projet'!$B$9,Paramètres!$A$1:$I$89,3,0)*VLOOKUP('Données projet'!$B$9,Paramètres!$A$1:$I$89,5,0)</f>
        <v>5.1682872985158239</v>
      </c>
      <c r="P8" s="13">
        <f t="shared" si="33"/>
        <v>1.967275406006004</v>
      </c>
      <c r="Q8" s="20">
        <f t="shared" si="2"/>
        <v>12.427771710375517</v>
      </c>
      <c r="R8" s="59">
        <f t="shared" si="0"/>
        <v>275.20554948815328</v>
      </c>
      <c r="S8" s="59">
        <f ca="1">AVERAGE(OFFSET($R$3,0,0,'Données projet'!$E$9+1,1))-AVERAGE(OFFSET($H$3,0,0,'Données projet'!$E$9+1,1))</f>
        <v>381.72225529388083</v>
      </c>
      <c r="T8" s="59">
        <f t="shared" si="34"/>
        <v>360.05900046417361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2.735564799734763</v>
      </c>
      <c r="AJ8" s="13">
        <f>AI8*VLOOKUP('Données projet'!$B$10,Paramètres!$A$1:$I$89,3,0)*VLOOKUP('Données projet'!$B$10,Paramètres!$A$1:$I$89,5,0)</f>
        <v>2.0057161111655284</v>
      </c>
      <c r="AK8" s="13">
        <f t="shared" si="35"/>
        <v>0.85238806941542067</v>
      </c>
      <c r="AL8" s="20">
        <f t="shared" si="4"/>
        <v>4.9778647811784866</v>
      </c>
      <c r="AM8" s="59">
        <f t="shared" si="5"/>
        <v>267.75564255895625</v>
      </c>
      <c r="AN8" s="59">
        <f ca="1">AVERAGE(OFFSET($AM$3,0,0,'Données projet'!$E$10+1,1))-AVERAGE(OFFSET($H$3,0,0,'Données projet'!$E$10+1,1))</f>
        <v>464.3681853739115</v>
      </c>
      <c r="AO8" s="59">
        <f t="shared" si="36"/>
        <v>272.97841038165217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2.6511157051695204</v>
      </c>
      <c r="BF8" s="13">
        <f t="shared" si="37"/>
        <v>1.0906707059957799</v>
      </c>
      <c r="BG8" s="20">
        <f t="shared" si="7"/>
        <v>6.5169446661128978</v>
      </c>
      <c r="BH8" s="59">
        <f t="shared" si="8"/>
        <v>269.29472244389069</v>
      </c>
      <c r="BI8" s="59">
        <f ca="1">AVERAGE(OFFSET($BH$3,0,0,'Données projet'!$E$11+1,1))-AVERAGE(OFFSET($H$3,0,0,'Données projet'!$E$11+1,1))</f>
        <v>299.10536994156814</v>
      </c>
      <c r="BJ8" s="59">
        <f t="shared" si="38"/>
        <v>292.57799203101769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269.29472244389069</v>
      </c>
      <c r="CD8" s="59">
        <f ca="1">AVERAGE(OFFSET($CC$3,0,0,'Données projet'!$E$12+1,1))-AVERAGE(OFFSET($H$3,0,0,'Données projet'!$E$12+1,1))</f>
        <v>299.10536994156814</v>
      </c>
      <c r="CE8" s="59">
        <f t="shared" si="40"/>
        <v>292.57799203101769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</v>
      </c>
      <c r="CT8" s="12">
        <f>IF('Données projet'!$A$140&gt;35,CT7+CS8-DB7,IF(A8&lt;'Données projet'!$A$140,$CQ$205^A8,IF(A8='Données projet'!$A$140,'Données projet'!$B$140,CT7+CS8-DB7)))</f>
        <v>20</v>
      </c>
      <c r="CU8" s="17">
        <f>CT8*VLOOKUP('Données projet'!$B$13,Paramètres!$A$1:$I$89,3,0)*VLOOKUP('Données projet'!$B$13,Paramètres!$A$1:$I$89,5,0)</f>
        <v>18.096</v>
      </c>
      <c r="CV8" s="13">
        <f t="shared" si="41"/>
        <v>5.9532214687411624</v>
      </c>
      <c r="CW8" s="20">
        <f t="shared" si="13"/>
        <v>41.885727391390851</v>
      </c>
      <c r="CX8" s="59">
        <f t="shared" si="14"/>
        <v>304.66350516916862</v>
      </c>
      <c r="CY8" s="59">
        <f ca="1">AVERAGE(OFFSET($CX$3,0,0,'Données projet'!$E$13+1,1))-AVERAGE(OFFSET($H$3,0,0,'Données projet'!$E$13+1,1))</f>
        <v>528.15559695545812</v>
      </c>
      <c r="CZ8" s="59">
        <f t="shared" si="42"/>
        <v>276.26988364830532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</v>
      </c>
      <c r="DO8" s="12">
        <f>IF('Données projet'!$A$166&gt;35,DO7+DN8-DW7,IF(A8&lt;'Données projet'!$A$166,$DL$205^A8,IF(A8='Données projet'!$A$166,'Données projet'!$B$166,DO7+DN8-DW7)))</f>
        <v>20</v>
      </c>
      <c r="DP8" s="17">
        <f>DO8*VLOOKUP('Données projet'!$B$14,Paramètres!$A$1:$I$89,3,0)*VLOOKUP('Données projet'!$B$14,Paramètres!$A$1:$I$89,5,0)</f>
        <v>20.28</v>
      </c>
      <c r="DQ8" s="13">
        <f t="shared" si="43"/>
        <v>6.5838102554415308</v>
      </c>
      <c r="DR8" s="20">
        <f t="shared" si="16"/>
        <v>46.787802861560664</v>
      </c>
      <c r="DS8" s="59">
        <f t="shared" si="17"/>
        <v>309.56558063933846</v>
      </c>
      <c r="DT8" s="59">
        <f ca="1">AVERAGE(OFFSET($DS$3,0,0,'Données projet'!$E$14+1,1))-AVERAGE(OFFSET($H$3,0,0,'Données projet'!$E$14+1,1))</f>
        <v>586.50020405958992</v>
      </c>
      <c r="DU8" s="59">
        <f t="shared" si="44"/>
        <v>304.44184537595294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2.4666666666666668</v>
      </c>
      <c r="EJ8" s="12">
        <f>IF('Données projet'!$A$192&gt;35,EJ7+EI8-ER7,IF(A8&lt;'Données projet'!$A$192,$EG$205^A8,IF(A8='Données projet'!$A$192,'Données projet'!$B$192,EJ7+EI8-ER7)))</f>
        <v>3.332221851645953</v>
      </c>
      <c r="EK8" s="17">
        <f>EJ8*VLOOKUP('Données projet'!$B$15,Paramètres!$A$1:$I$89,3,0)*VLOOKUP('Données projet'!$B$15,Paramètres!$A$1:$I$89,5,0)</f>
        <v>3.2229249749119662</v>
      </c>
      <c r="EL8" s="13">
        <f t="shared" si="45"/>
        <v>1.2961102284861215</v>
      </c>
      <c r="EM8" s="20">
        <f t="shared" si="19"/>
        <v>7.8706529792516697</v>
      </c>
      <c r="EN8" s="59">
        <f t="shared" si="20"/>
        <v>270.64843075702942</v>
      </c>
      <c r="EO8" s="59">
        <f ca="1">AVERAGE(OFFSET($EN$3,0,0,'Données projet'!$E$15+1,1))-AVERAGE(OFFSET($H$3,0,0,'Données projet'!$E$15+1,1))</f>
        <v>355.72173590705142</v>
      </c>
      <c r="EP8" s="59">
        <f t="shared" si="46"/>
        <v>346.30980704469363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2.703098366055197</v>
      </c>
      <c r="FG8" s="13">
        <f t="shared" si="47"/>
        <v>1.1095457022222992</v>
      </c>
      <c r="FH8" s="20">
        <f t="shared" si="22"/>
        <v>6.6403550855833053</v>
      </c>
      <c r="FI8" s="59">
        <f t="shared" si="23"/>
        <v>269.41813286336105</v>
      </c>
      <c r="FJ8" s="59">
        <f ca="1">AVERAGE(OFFSET($FI$3,0,0,'Données projet'!$E$16+1,1))-AVERAGE(OFFSET($H$3,0,0,'Données projet'!$E$16+1,1))</f>
        <v>304.26232113495314</v>
      </c>
      <c r="FK8" s="59">
        <f t="shared" si="48"/>
        <v>297.47246687305056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3.5</v>
      </c>
      <c r="N9" s="13">
        <f>IF('Données projet'!$A$36&gt;35,N8+M9-V8,IF(A9&lt;'Données projet'!$A$36,$K$205^A9,IF(A9='Données projet'!$A$36,'Données projet'!$B$36,N8+M9-V8)))</f>
        <v>8.4419121152979262</v>
      </c>
      <c r="O9" s="13">
        <f>N9*VLOOKUP('Données projet'!$B$9,Paramètres!$A$1:$I$89,3,0)*VLOOKUP('Données projet'!$B$9,Paramètres!$A$1:$I$89,5,0)</f>
        <v>7.3748544239242699</v>
      </c>
      <c r="P9" s="13">
        <f t="shared" si="33"/>
        <v>2.6933885840659002</v>
      </c>
      <c r="Q9" s="20">
        <f t="shared" si="2"/>
        <v>17.535523238916209</v>
      </c>
      <c r="R9" s="59">
        <f t="shared" si="0"/>
        <v>281.5355232389162</v>
      </c>
      <c r="S9" s="59">
        <f ca="1">AVERAGE(OFFSET($R$3,0,0,'Données projet'!$E$9+1,1))-AVERAGE(OFFSET($H$3,0,0,'Données projet'!$E$9+1,1))</f>
        <v>381.72225529388083</v>
      </c>
      <c r="T9" s="59">
        <f t="shared" si="34"/>
        <v>360.05900046417361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3.3454643638562565</v>
      </c>
      <c r="AJ9" s="13">
        <f>AI9*VLOOKUP('Données projet'!$B$10,Paramètres!$A$1:$I$89,3,0)*VLOOKUP('Données projet'!$B$10,Paramètres!$A$1:$I$89,5,0)</f>
        <v>2.4528944715794072</v>
      </c>
      <c r="AK9" s="13">
        <f t="shared" si="35"/>
        <v>1.0182919475019252</v>
      </c>
      <c r="AL9" s="20">
        <f t="shared" si="4"/>
        <v>6.045649679899987</v>
      </c>
      <c r="AM9" s="59">
        <f t="shared" si="5"/>
        <v>270.04564967990001</v>
      </c>
      <c r="AN9" s="59">
        <f ca="1">AVERAGE(OFFSET($AM$3,0,0,'Données projet'!$E$10+1,1))-AVERAGE(OFFSET($H$3,0,0,'Données projet'!$E$10+1,1))</f>
        <v>464.3681853739115</v>
      </c>
      <c r="AO9" s="59">
        <f t="shared" si="36"/>
        <v>272.97841038165217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3.3726825379800407</v>
      </c>
      <c r="BF9" s="13">
        <f t="shared" si="37"/>
        <v>1.3491840083541735</v>
      </c>
      <c r="BG9" s="20">
        <f t="shared" si="7"/>
        <v>8.2239175681987557</v>
      </c>
      <c r="BH9" s="59">
        <f t="shared" si="8"/>
        <v>272.22391756819877</v>
      </c>
      <c r="BI9" s="59">
        <f ca="1">AVERAGE(OFFSET($BH$3,0,0,'Données projet'!$E$11+1,1))-AVERAGE(OFFSET($H$3,0,0,'Données projet'!$E$11+1,1))</f>
        <v>299.10536994156814</v>
      </c>
      <c r="BJ9" s="59">
        <f t="shared" si="38"/>
        <v>292.57799203101769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272.22391756819877</v>
      </c>
      <c r="CD9" s="59">
        <f ca="1">AVERAGE(OFFSET($CC$3,0,0,'Données projet'!$E$12+1,1))-AVERAGE(OFFSET($H$3,0,0,'Données projet'!$E$12+1,1))</f>
        <v>299.10536994156814</v>
      </c>
      <c r="CE9" s="59">
        <f t="shared" si="40"/>
        <v>292.57799203101769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</v>
      </c>
      <c r="CT9" s="12">
        <f>IF('Données projet'!$A$140&gt;35,CT8+CS9-DB8,IF(A9&lt;'Données projet'!$A$140,$CQ$205^A9,IF(A9='Données projet'!$A$140,'Données projet'!$B$140,CT8+CS9-DB8)))</f>
        <v>24</v>
      </c>
      <c r="CU9" s="17">
        <f>CT9*VLOOKUP('Données projet'!$B$13,Paramètres!$A$1:$I$89,3,0)*VLOOKUP('Données projet'!$B$13,Paramètres!$A$1:$I$89,5,0)</f>
        <v>21.715199999999999</v>
      </c>
      <c r="CV9" s="13">
        <f t="shared" si="41"/>
        <v>6.9938544235075568</v>
      </c>
      <c r="CW9" s="20">
        <f t="shared" si="13"/>
        <v>50.00160312094232</v>
      </c>
      <c r="CX9" s="59">
        <f t="shared" si="14"/>
        <v>314.00160312094232</v>
      </c>
      <c r="CY9" s="59">
        <f ca="1">AVERAGE(OFFSET($CX$3,0,0,'Données projet'!$E$13+1,1))-AVERAGE(OFFSET($H$3,0,0,'Données projet'!$E$13+1,1))</f>
        <v>528.15559695545812</v>
      </c>
      <c r="CZ9" s="59">
        <f t="shared" si="42"/>
        <v>276.26988364830532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</v>
      </c>
      <c r="DO9" s="12">
        <f>IF('Données projet'!$A$166&gt;35,DO8+DN9-DW8,IF(A9&lt;'Données projet'!$A$166,$DL$205^A9,IF(A9='Données projet'!$A$166,'Données projet'!$B$166,DO8+DN9-DW8)))</f>
        <v>24</v>
      </c>
      <c r="DP9" s="17">
        <f>DO9*VLOOKUP('Données projet'!$B$14,Paramètres!$A$1:$I$89,3,0)*VLOOKUP('Données projet'!$B$14,Paramètres!$A$1:$I$89,5,0)</f>
        <v>24.336000000000002</v>
      </c>
      <c r="DQ9" s="13">
        <f t="shared" si="43"/>
        <v>7.7346711726299766</v>
      </c>
      <c r="DR9" s="20">
        <f t="shared" si="16"/>
        <v>55.85641895899721</v>
      </c>
      <c r="DS9" s="59">
        <f t="shared" si="17"/>
        <v>319.85641895899721</v>
      </c>
      <c r="DT9" s="59">
        <f ca="1">AVERAGE(OFFSET($DS$3,0,0,'Données projet'!$E$14+1,1))-AVERAGE(OFFSET($H$3,0,0,'Données projet'!$E$14+1,1))</f>
        <v>586.50020405958992</v>
      </c>
      <c r="DU9" s="59">
        <f t="shared" si="44"/>
        <v>304.44184537595294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2.4666666666666668</v>
      </c>
      <c r="EJ9" s="12">
        <f>IF('Données projet'!$A$192&gt;35,EJ8+EI9-ER8,IF(A9&lt;'Données projet'!$A$192,$EG$205^A9,IF(A9='Données projet'!$A$192,'Données projet'!$B$192,EJ8+EI9-ER8)))</f>
        <v>4.2391685997738069</v>
      </c>
      <c r="EK9" s="17">
        <f>EJ9*VLOOKUP('Données projet'!$B$15,Paramètres!$A$1:$I$89,3,0)*VLOOKUP('Données projet'!$B$15,Paramètres!$A$1:$I$89,5,0)</f>
        <v>4.1001238697012257</v>
      </c>
      <c r="EL9" s="13">
        <f t="shared" si="45"/>
        <v>1.6033172833235658</v>
      </c>
      <c r="EM9" s="20">
        <f t="shared" si="19"/>
        <v>9.9334933415181794</v>
      </c>
      <c r="EN9" s="59">
        <f t="shared" si="20"/>
        <v>273.93349334151816</v>
      </c>
      <c r="EO9" s="59">
        <f ca="1">AVERAGE(OFFSET($EN$3,0,0,'Données projet'!$E$15+1,1))-AVERAGE(OFFSET($H$3,0,0,'Données projet'!$E$15+1,1))</f>
        <v>355.72173590705142</v>
      </c>
      <c r="EP9" s="59">
        <f t="shared" si="46"/>
        <v>346.30980704469363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3.4388135681365122</v>
      </c>
      <c r="FG9" s="13">
        <f t="shared" si="47"/>
        <v>1.3725327999982246</v>
      </c>
      <c r="FH9" s="20">
        <f t="shared" si="22"/>
        <v>8.3797615911680001</v>
      </c>
      <c r="FI9" s="59">
        <f t="shared" si="23"/>
        <v>272.37976159116801</v>
      </c>
      <c r="FJ9" s="59">
        <f ca="1">AVERAGE(OFFSET($FI$3,0,0,'Données projet'!$E$16+1,1))-AVERAGE(OFFSET($H$3,0,0,'Données projet'!$E$16+1,1))</f>
        <v>304.26232113495314</v>
      </c>
      <c r="FK9" s="59">
        <f t="shared" si="48"/>
        <v>297.47246687305056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3.5</v>
      </c>
      <c r="N10" s="13">
        <f>IF('Données projet'!$A$36&gt;35,N9+M10-V9,IF(A10&lt;'Données projet'!$A$36,$K$205^A10,IF(A10='Données projet'!$A$36,'Données projet'!$B$36,N9+M10-V9)))</f>
        <v>12.04613236724734</v>
      </c>
      <c r="O10" s="13">
        <f>N10*VLOOKUP('Données projet'!$B$9,Paramètres!$A$1:$I$89,3,0)*VLOOKUP('Données projet'!$B$9,Paramètres!$A$1:$I$89,5,0)</f>
        <v>10.523501236027279</v>
      </c>
      <c r="P10" s="13">
        <f t="shared" si="33"/>
        <v>3.6875071190486755</v>
      </c>
      <c r="Q10" s="20">
        <f t="shared" si="2"/>
        <v>24.750839551757284</v>
      </c>
      <c r="R10" s="59">
        <f t="shared" si="0"/>
        <v>289.97306177397951</v>
      </c>
      <c r="S10" s="59">
        <f ca="1">AVERAGE(OFFSET($R$3,0,0,'Données projet'!$E$9+1,1))-AVERAGE(OFFSET($H$3,0,0,'Données projet'!$E$9+1,1))</f>
        <v>381.72225529388083</v>
      </c>
      <c r="T10" s="59">
        <f t="shared" si="34"/>
        <v>360.05900046417361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4.091342237960264</v>
      </c>
      <c r="AJ10" s="13">
        <f>AI10*VLOOKUP('Données projet'!$B$10,Paramètres!$A$1:$I$89,3,0)*VLOOKUP('Données projet'!$B$10,Paramètres!$A$1:$I$89,5,0)</f>
        <v>2.9997721288724652</v>
      </c>
      <c r="AK10" s="13">
        <f t="shared" si="35"/>
        <v>1.2164863957544558</v>
      </c>
      <c r="AL10" s="20">
        <f t="shared" si="4"/>
        <v>7.3433169303918868</v>
      </c>
      <c r="AM10" s="59">
        <f t="shared" si="5"/>
        <v>272.56553915261412</v>
      </c>
      <c r="AN10" s="59">
        <f ca="1">AVERAGE(OFFSET($AM$3,0,0,'Données projet'!$E$10+1,1))-AVERAGE(OFFSET($H$3,0,0,'Données projet'!$E$10+1,1))</f>
        <v>464.3681853739115</v>
      </c>
      <c r="AO10" s="59">
        <f t="shared" si="36"/>
        <v>272.97841038165217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4.2906416644942853</v>
      </c>
      <c r="BF10" s="13">
        <f t="shared" si="37"/>
        <v>1.6689707336887791</v>
      </c>
      <c r="BG10" s="20">
        <f t="shared" si="7"/>
        <v>10.379658260168837</v>
      </c>
      <c r="BH10" s="59">
        <f t="shared" si="8"/>
        <v>275.60188048239104</v>
      </c>
      <c r="BI10" s="59">
        <f ca="1">AVERAGE(OFFSET($BH$3,0,0,'Données projet'!$E$11+1,1))-AVERAGE(OFFSET($H$3,0,0,'Données projet'!$E$11+1,1))</f>
        <v>299.10536994156814</v>
      </c>
      <c r="BJ10" s="59">
        <f t="shared" si="38"/>
        <v>292.57799203101769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275.60188048239104</v>
      </c>
      <c r="CD10" s="59">
        <f ca="1">AVERAGE(OFFSET($CC$3,0,0,'Données projet'!$E$12+1,1))-AVERAGE(OFFSET($H$3,0,0,'Données projet'!$E$12+1,1))</f>
        <v>299.10536994156814</v>
      </c>
      <c r="CE10" s="59">
        <f t="shared" si="40"/>
        <v>292.57799203101769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</v>
      </c>
      <c r="CT10" s="12">
        <f>IF('Données projet'!$A$140&gt;35,CT9+CS10-DB9,IF(A10&lt;'Données projet'!$A$140,$CQ$205^A10,IF(A10='Données projet'!$A$140,'Données projet'!$B$140,CT9+CS10-DB9)))</f>
        <v>28</v>
      </c>
      <c r="CU10" s="17">
        <f>CT10*VLOOKUP('Données projet'!$B$13,Paramètres!$A$1:$I$89,3,0)*VLOOKUP('Données projet'!$B$13,Paramètres!$A$1:$I$89,5,0)</f>
        <v>25.334399999999999</v>
      </c>
      <c r="CV10" s="13">
        <f t="shared" si="41"/>
        <v>8.0143955200794572</v>
      </c>
      <c r="CW10" s="20">
        <f t="shared" si="13"/>
        <v>58.082485530805052</v>
      </c>
      <c r="CX10" s="59">
        <f t="shared" si="14"/>
        <v>323.30470775302729</v>
      </c>
      <c r="CY10" s="59">
        <f ca="1">AVERAGE(OFFSET($CX$3,0,0,'Données projet'!$E$13+1,1))-AVERAGE(OFFSET($H$3,0,0,'Données projet'!$E$13+1,1))</f>
        <v>528.15559695545812</v>
      </c>
      <c r="CZ10" s="59">
        <f t="shared" si="42"/>
        <v>276.26988364830532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</v>
      </c>
      <c r="DO10" s="12">
        <f>IF('Données projet'!$A$166&gt;35,DO9+DN10-DW9,IF(A10&lt;'Données projet'!$A$166,$DL$205^A10,IF(A10='Données projet'!$A$166,'Données projet'!$B$166,DO9+DN10-DW9)))</f>
        <v>28</v>
      </c>
      <c r="DP10" s="17">
        <f>DO10*VLOOKUP('Données projet'!$B$14,Paramètres!$A$1:$I$89,3,0)*VLOOKUP('Données projet'!$B$14,Paramètres!$A$1:$I$89,5,0)</f>
        <v>28.391999999999999</v>
      </c>
      <c r="DQ10" s="13">
        <f t="shared" si="43"/>
        <v>8.8633120224605495</v>
      </c>
      <c r="DR10" s="20">
        <f t="shared" si="16"/>
        <v>64.886335105785449</v>
      </c>
      <c r="DS10" s="59">
        <f t="shared" si="17"/>
        <v>330.10855732800769</v>
      </c>
      <c r="DT10" s="59">
        <f ca="1">AVERAGE(OFFSET($DS$3,0,0,'Données projet'!$E$14+1,1))-AVERAGE(OFFSET($H$3,0,0,'Données projet'!$E$14+1,1))</f>
        <v>586.50020405958992</v>
      </c>
      <c r="DU10" s="59">
        <f t="shared" si="44"/>
        <v>304.44184537595294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2.4666666666666668</v>
      </c>
      <c r="EJ10" s="12">
        <f>IF('Données projet'!$A$192&gt;35,EJ9+EI10-ER9,IF(A10&lt;'Données projet'!$A$192,$EG$205^A10,IF(A10='Données projet'!$A$192,'Données projet'!$B$192,EJ9+EI10-ER9)))</f>
        <v>5.3929633792034757</v>
      </c>
      <c r="EK10" s="17">
        <f>EJ10*VLOOKUP('Données projet'!$B$15,Paramètres!$A$1:$I$89,3,0)*VLOOKUP('Données projet'!$B$15,Paramètres!$A$1:$I$89,5,0)</f>
        <v>5.2160741803656014</v>
      </c>
      <c r="EL10" s="13">
        <f t="shared" si="45"/>
        <v>1.9833392673758889</v>
      </c>
      <c r="EM10" s="20">
        <f t="shared" si="19"/>
        <v>12.538978421483094</v>
      </c>
      <c r="EN10" s="59">
        <f t="shared" si="20"/>
        <v>277.76120064370531</v>
      </c>
      <c r="EO10" s="59">
        <f ca="1">AVERAGE(OFFSET($EN$3,0,0,'Données projet'!$E$15+1,1))-AVERAGE(OFFSET($H$3,0,0,'Données projet'!$E$15+1,1))</f>
        <v>355.72173590705142</v>
      </c>
      <c r="EP10" s="59">
        <f t="shared" si="46"/>
        <v>346.30980704469363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4.3747718932098598</v>
      </c>
      <c r="FG10" s="13">
        <f t="shared" si="47"/>
        <v>1.6978537101246285</v>
      </c>
      <c r="FH10" s="20">
        <f t="shared" si="22"/>
        <v>10.576489592474234</v>
      </c>
      <c r="FI10" s="59">
        <f t="shared" si="23"/>
        <v>275.79871181469645</v>
      </c>
      <c r="FJ10" s="59">
        <f ca="1">AVERAGE(OFFSET($FI$3,0,0,'Données projet'!$E$16+1,1))-AVERAGE(OFFSET($H$3,0,0,'Données projet'!$E$16+1,1))</f>
        <v>304.26232113495314</v>
      </c>
      <c r="FK10" s="59">
        <f t="shared" si="48"/>
        <v>297.47246687305056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3.5</v>
      </c>
      <c r="N11" s="13">
        <f>IF('Données projet'!$A$36&gt;35,N10+M11-V10,IF(A11&lt;'Données projet'!$A$36,$K$205^A11,IF(A11='Données projet'!$A$36,'Données projet'!$B$36,N10+M11-V10)))</f>
        <v>17.189151347155779</v>
      </c>
      <c r="O11" s="13">
        <f>N11*VLOOKUP('Données projet'!$B$9,Paramètres!$A$1:$I$89,3,0)*VLOOKUP('Données projet'!$B$9,Paramètres!$A$1:$I$89,5,0)</f>
        <v>15.01644261687529</v>
      </c>
      <c r="P11" s="13">
        <f t="shared" si="33"/>
        <v>5.0485506745958499</v>
      </c>
      <c r="Q11" s="20">
        <f t="shared" si="2"/>
        <v>34.946529982645565</v>
      </c>
      <c r="R11" s="59">
        <f t="shared" si="0"/>
        <v>301.39097442709004</v>
      </c>
      <c r="S11" s="59">
        <f ca="1">AVERAGE(OFFSET($R$3,0,0,'Données projet'!$E$9+1,1))-AVERAGE(OFFSET($H$3,0,0,'Données projet'!$E$9+1,1))</f>
        <v>381.72225529388083</v>
      </c>
      <c r="T11" s="59">
        <f t="shared" si="34"/>
        <v>360.05900046417361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5.0035150542816931</v>
      </c>
      <c r="AJ11" s="13">
        <f>AI11*VLOOKUP('Données projet'!$B$10,Paramètres!$A$1:$I$89,3,0)*VLOOKUP('Données projet'!$B$10,Paramètres!$A$1:$I$89,5,0)</f>
        <v>3.6685772377993371</v>
      </c>
      <c r="AK11" s="13">
        <f t="shared" si="35"/>
        <v>1.4532562637719066</v>
      </c>
      <c r="AL11" s="20">
        <f t="shared" si="4"/>
        <v>8.9205266819032492</v>
      </c>
      <c r="AM11" s="59">
        <f t="shared" si="5"/>
        <v>275.36497112634771</v>
      </c>
      <c r="AN11" s="59">
        <f ca="1">AVERAGE(OFFSET($AM$3,0,0,'Données projet'!$E$10+1,1))-AVERAGE(OFFSET($H$3,0,0,'Données projet'!$E$10+1,1))</f>
        <v>464.3681853739115</v>
      </c>
      <c r="AO11" s="59">
        <f t="shared" si="36"/>
        <v>272.97841038165217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5.4584461139707896</v>
      </c>
      <c r="BF11" s="13">
        <f t="shared" si="37"/>
        <v>2.0645540509389519</v>
      </c>
      <c r="BG11" s="20">
        <f t="shared" si="7"/>
        <v>13.102558620551131</v>
      </c>
      <c r="BH11" s="59">
        <f t="shared" si="8"/>
        <v>279.54700306499558</v>
      </c>
      <c r="BI11" s="59">
        <f ca="1">AVERAGE(OFFSET($BH$3,0,0,'Données projet'!$E$11+1,1))-AVERAGE(OFFSET($H$3,0,0,'Données projet'!$E$11+1,1))</f>
        <v>299.10536994156814</v>
      </c>
      <c r="BJ11" s="59">
        <f t="shared" si="38"/>
        <v>292.57799203101769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279.54700306499558</v>
      </c>
      <c r="CD11" s="59">
        <f ca="1">AVERAGE(OFFSET($CC$3,0,0,'Données projet'!$E$12+1,1))-AVERAGE(OFFSET($H$3,0,0,'Données projet'!$E$12+1,1))</f>
        <v>299.10536994156814</v>
      </c>
      <c r="CE11" s="59">
        <f t="shared" si="40"/>
        <v>292.57799203101769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</v>
      </c>
      <c r="CT11" s="12">
        <f>IF('Données projet'!$A$140&gt;35,CT10+CS11-DB10,IF(A11&lt;'Données projet'!$A$140,$CQ$205^A11,IF(A11='Données projet'!$A$140,'Données projet'!$B$140,CT10+CS11-DB10)))</f>
        <v>32</v>
      </c>
      <c r="CU11" s="17">
        <f>CT11*VLOOKUP('Données projet'!$B$13,Paramètres!$A$1:$I$89,3,0)*VLOOKUP('Données projet'!$B$13,Paramètres!$A$1:$I$89,5,0)</f>
        <v>28.953599999999998</v>
      </c>
      <c r="CV11" s="13">
        <f t="shared" si="41"/>
        <v>9.0180462007869302</v>
      </c>
      <c r="CW11" s="20">
        <f t="shared" si="13"/>
        <v>66.133950466370564</v>
      </c>
      <c r="CX11" s="59">
        <f t="shared" si="14"/>
        <v>332.57839491081501</v>
      </c>
      <c r="CY11" s="59">
        <f ca="1">AVERAGE(OFFSET($CX$3,0,0,'Données projet'!$E$13+1,1))-AVERAGE(OFFSET($H$3,0,0,'Données projet'!$E$13+1,1))</f>
        <v>528.15559695545812</v>
      </c>
      <c r="CZ11" s="59">
        <f t="shared" si="42"/>
        <v>276.26988364830532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</v>
      </c>
      <c r="DO11" s="12">
        <f>IF('Données projet'!$A$166&gt;35,DO10+DN11-DW10,IF(A11&lt;'Données projet'!$A$166,$DL$205^A11,IF(A11='Données projet'!$A$166,'Données projet'!$B$166,DO10+DN11-DW10)))</f>
        <v>32</v>
      </c>
      <c r="DP11" s="17">
        <f>DO11*VLOOKUP('Données projet'!$B$14,Paramètres!$A$1:$I$89,3,0)*VLOOKUP('Données projet'!$B$14,Paramètres!$A$1:$I$89,5,0)</f>
        <v>32.448</v>
      </c>
      <c r="DQ11" s="13">
        <f t="shared" si="43"/>
        <v>9.9732733567093899</v>
      </c>
      <c r="DR11" s="20">
        <f t="shared" si="16"/>
        <v>73.883717762935518</v>
      </c>
      <c r="DS11" s="59">
        <f t="shared" si="17"/>
        <v>340.32816220737999</v>
      </c>
      <c r="DT11" s="59">
        <f ca="1">AVERAGE(OFFSET($DS$3,0,0,'Données projet'!$E$14+1,1))-AVERAGE(OFFSET($H$3,0,0,'Données projet'!$E$14+1,1))</f>
        <v>586.50020405958992</v>
      </c>
      <c r="DU11" s="59">
        <f t="shared" si="44"/>
        <v>304.44184537595294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2.4666666666666668</v>
      </c>
      <c r="EJ11" s="12">
        <f>IF('Données projet'!$A$192&gt;35,EJ10+EI11-ER10,IF(A11&lt;'Données projet'!$A$192,$EG$205^A11,IF(A11='Données projet'!$A$192,'Données projet'!$B$192,EJ10+EI11-ER10)))</f>
        <v>6.8607919984549888</v>
      </c>
      <c r="EK11" s="17">
        <f>EJ11*VLOOKUP('Données projet'!$B$15,Paramètres!$A$1:$I$89,3,0)*VLOOKUP('Données projet'!$B$15,Paramètres!$A$1:$I$89,5,0)</f>
        <v>6.6357580209056657</v>
      </c>
      <c r="EL11" s="13">
        <f t="shared" si="45"/>
        <v>2.4534349441808394</v>
      </c>
      <c r="EM11" s="20">
        <f t="shared" si="19"/>
        <v>15.830344414192332</v>
      </c>
      <c r="EN11" s="59">
        <f t="shared" si="20"/>
        <v>282.27478885863678</v>
      </c>
      <c r="EO11" s="59">
        <f ca="1">AVERAGE(OFFSET($EN$3,0,0,'Données projet'!$E$15+1,1))-AVERAGE(OFFSET($H$3,0,0,'Données projet'!$E$15+1,1))</f>
        <v>355.72173590705142</v>
      </c>
      <c r="EP11" s="59">
        <f t="shared" si="46"/>
        <v>346.30980704469363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5.5654744691466869</v>
      </c>
      <c r="FG11" s="13">
        <f t="shared" si="47"/>
        <v>2.10028293749169</v>
      </c>
      <c r="FH11" s="20">
        <f t="shared" si="22"/>
        <v>13.351194149895173</v>
      </c>
      <c r="FI11" s="59">
        <f t="shared" si="23"/>
        <v>279.79563859433961</v>
      </c>
      <c r="FJ11" s="59">
        <f ca="1">AVERAGE(OFFSET($FI$3,0,0,'Données projet'!$E$16+1,1))-AVERAGE(OFFSET($H$3,0,0,'Données projet'!$E$16+1,1))</f>
        <v>304.26232113495314</v>
      </c>
      <c r="FK11" s="59">
        <f t="shared" si="48"/>
        <v>297.47246687305056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3.5</v>
      </c>
      <c r="N12" s="13">
        <f>IF('Données projet'!$A$36&gt;35,N11+M12-V11,IF(A12&lt;'Données projet'!$A$36,$K$205^A12,IF(A12='Données projet'!$A$36,'Données projet'!$B$36,N11+M12-V11)))</f>
        <v>24.527949305852133</v>
      </c>
      <c r="O12" s="13">
        <f>N12*VLOOKUP('Données projet'!$B$9,Paramètres!$A$1:$I$89,3,0)*VLOOKUP('Données projet'!$B$9,Paramètres!$A$1:$I$89,5,0)</f>
        <v>21.427616513592426</v>
      </c>
      <c r="P12" s="13">
        <f t="shared" si="33"/>
        <v>6.9119497511743733</v>
      </c>
      <c r="Q12" s="20">
        <f t="shared" si="2"/>
        <v>49.358077911135503</v>
      </c>
      <c r="R12" s="59">
        <f t="shared" si="0"/>
        <v>317.02474457780221</v>
      </c>
      <c r="S12" s="59">
        <f ca="1">AVERAGE(OFFSET($R$3,0,0,'Données projet'!$E$9+1,1))-AVERAGE(OFFSET($H$3,0,0,'Données projet'!$E$9+1,1))</f>
        <v>381.72225529388083</v>
      </c>
      <c r="T12" s="59">
        <f t="shared" si="34"/>
        <v>360.05900046417361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6.1190585979687659</v>
      </c>
      <c r="AJ12" s="13">
        <f>AI12*VLOOKUP('Données projet'!$B$10,Paramètres!$A$1:$I$89,3,0)*VLOOKUP('Données projet'!$B$10,Paramètres!$A$1:$I$89,5,0)</f>
        <v>4.4864937640306986</v>
      </c>
      <c r="AK12" s="13">
        <f t="shared" si="35"/>
        <v>1.7361096478867435</v>
      </c>
      <c r="AL12" s="20">
        <f t="shared" si="4"/>
        <v>10.837700942422877</v>
      </c>
      <c r="AM12" s="59">
        <f t="shared" si="5"/>
        <v>278.50436760908957</v>
      </c>
      <c r="AN12" s="59">
        <f ca="1">AVERAGE(OFFSET($AM$3,0,0,'Données projet'!$E$10+1,1))-AVERAGE(OFFSET($H$3,0,0,'Données projet'!$E$10+1,1))</f>
        <v>464.3681853739115</v>
      </c>
      <c r="AO12" s="59">
        <f t="shared" si="36"/>
        <v>272.97841038165217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6.9440974821267289</v>
      </c>
      <c r="BF12" s="13">
        <f t="shared" si="37"/>
        <v>2.5538994442566798</v>
      </c>
      <c r="BG12" s="20">
        <f t="shared" si="7"/>
        <v>16.542344646784436</v>
      </c>
      <c r="BH12" s="59">
        <f t="shared" si="8"/>
        <v>284.20901131345113</v>
      </c>
      <c r="BI12" s="59">
        <f ca="1">AVERAGE(OFFSET($BH$3,0,0,'Données projet'!$E$11+1,1))-AVERAGE(OFFSET($H$3,0,0,'Données projet'!$E$11+1,1))</f>
        <v>299.10536994156814</v>
      </c>
      <c r="BJ12" s="59">
        <f t="shared" si="38"/>
        <v>292.57799203101769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284.20901131345113</v>
      </c>
      <c r="CD12" s="59">
        <f ca="1">AVERAGE(OFFSET($CC$3,0,0,'Données projet'!$E$12+1,1))-AVERAGE(OFFSET($H$3,0,0,'Données projet'!$E$12+1,1))</f>
        <v>299.10536994156814</v>
      </c>
      <c r="CE12" s="59">
        <f t="shared" si="40"/>
        <v>292.57799203101769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</v>
      </c>
      <c r="CT12" s="12">
        <f>IF('Données projet'!$A$140&gt;35,CT11+CS12-DB11,IF(A12&lt;'Données projet'!$A$140,$CQ$205^A12,IF(A12='Données projet'!$A$140,'Données projet'!$B$140,CT11+CS12-DB11)))</f>
        <v>36</v>
      </c>
      <c r="CU12" s="17">
        <f>CT12*VLOOKUP('Données projet'!$B$13,Paramètres!$A$1:$I$89,3,0)*VLOOKUP('Données projet'!$B$13,Paramètres!$A$1:$I$89,5,0)</f>
        <v>32.572800000000001</v>
      </c>
      <c r="CV12" s="13">
        <f t="shared" si="41"/>
        <v>10.007159566468195</v>
      </c>
      <c r="CW12" s="20">
        <f t="shared" si="13"/>
        <v>74.160096244932106</v>
      </c>
      <c r="CX12" s="59">
        <f t="shared" si="14"/>
        <v>341.82676291159879</v>
      </c>
      <c r="CY12" s="59">
        <f ca="1">AVERAGE(OFFSET($CX$3,0,0,'Données projet'!$E$13+1,1))-AVERAGE(OFFSET($H$3,0,0,'Données projet'!$E$13+1,1))</f>
        <v>528.15559695545812</v>
      </c>
      <c r="CZ12" s="59">
        <f t="shared" si="42"/>
        <v>276.26988364830532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</v>
      </c>
      <c r="DO12" s="12">
        <f>IF('Données projet'!$A$166&gt;35,DO11+DN12-DW11,IF(A12&lt;'Données projet'!$A$166,$DL$205^A12,IF(A12='Données projet'!$A$166,'Données projet'!$B$166,DO11+DN12-DW11)))</f>
        <v>36</v>
      </c>
      <c r="DP12" s="17">
        <f>DO12*VLOOKUP('Données projet'!$B$14,Paramètres!$A$1:$I$89,3,0)*VLOOKUP('Données projet'!$B$14,Paramètres!$A$1:$I$89,5,0)</f>
        <v>36.504000000000005</v>
      </c>
      <c r="DQ12" s="13">
        <f t="shared" si="43"/>
        <v>11.067157525971377</v>
      </c>
      <c r="DR12" s="20">
        <f t="shared" si="16"/>
        <v>82.853099357733484</v>
      </c>
      <c r="DS12" s="59">
        <f t="shared" si="17"/>
        <v>350.51976602440016</v>
      </c>
      <c r="DT12" s="59">
        <f ca="1">AVERAGE(OFFSET($DS$3,0,0,'Données projet'!$E$14+1,1))-AVERAGE(OFFSET($H$3,0,0,'Données projet'!$E$14+1,1))</f>
        <v>586.50020405958992</v>
      </c>
      <c r="DU12" s="59">
        <f t="shared" si="44"/>
        <v>304.44184537595294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2.4666666666666668</v>
      </c>
      <c r="EJ12" s="12">
        <f>IF('Données projet'!$A$192&gt;35,EJ11+EI12-ER11,IF(A12&lt;'Données projet'!$A$192,$EG$205^A12,IF(A12='Données projet'!$A$192,'Données projet'!$B$192,EJ11+EI12-ER11)))</f>
        <v>8.7281265486761299</v>
      </c>
      <c r="EK12" s="17">
        <f>EJ12*VLOOKUP('Données projet'!$B$15,Paramètres!$A$1:$I$89,3,0)*VLOOKUP('Données projet'!$B$15,Paramètres!$A$1:$I$89,5,0)</f>
        <v>8.4418439978795536</v>
      </c>
      <c r="EL12" s="13">
        <f t="shared" si="45"/>
        <v>3.0349537894702676</v>
      </c>
      <c r="EM12" s="20">
        <f t="shared" si="19"/>
        <v>19.988756146300936</v>
      </c>
      <c r="EN12" s="59">
        <f t="shared" si="20"/>
        <v>287.65542281296763</v>
      </c>
      <c r="EO12" s="59">
        <f ca="1">AVERAGE(OFFSET($EN$3,0,0,'Données projet'!$E$15+1,1))-AVERAGE(OFFSET($H$3,0,0,'Données projet'!$E$15+1,1))</f>
        <v>355.72173590705142</v>
      </c>
      <c r="EP12" s="59">
        <f t="shared" si="46"/>
        <v>346.30980704469363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7.0802562562860771</v>
      </c>
      <c r="FG12" s="13">
        <f t="shared" si="47"/>
        <v>2.5980968744326778</v>
      </c>
      <c r="FH12" s="20">
        <f t="shared" si="22"/>
        <v>16.856465036001829</v>
      </c>
      <c r="FI12" s="59">
        <f t="shared" si="23"/>
        <v>284.52313170266854</v>
      </c>
      <c r="FJ12" s="59">
        <f ca="1">AVERAGE(OFFSET($FI$3,0,0,'Données projet'!$E$16+1,1))-AVERAGE(OFFSET($H$3,0,0,'Données projet'!$E$16+1,1))</f>
        <v>304.26232113495314</v>
      </c>
      <c r="FK12" s="59">
        <f t="shared" si="48"/>
        <v>297.47246687305056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35</v>
      </c>
      <c r="L13" s="12">
        <f>VLOOKUP(A13,'Données projet'!$A$35:$I$55,9,0)</f>
        <v>3.5</v>
      </c>
      <c r="M13" s="12">
        <f t="array" ref="M13">INDEX(L:L,MIN(IF(ISNUMBER(L13:L209),ROW(L13:L209),"")))</f>
        <v>3.5</v>
      </c>
      <c r="N13" s="13">
        <f>IF('Données projet'!$A$36&gt;35,N12+M13-V12,IF(A13&lt;'Données projet'!$A$36,$K$205^A13,IF(A13='Données projet'!$A$36,'Données projet'!$B$36,N12+M13-V12)))</f>
        <v>35</v>
      </c>
      <c r="O13" s="13">
        <f>N13*VLOOKUP('Données projet'!$B$9,Paramètres!$A$1:$I$89,3,0)*VLOOKUP('Données projet'!$B$9,Paramètres!$A$1:$I$89,5,0)</f>
        <v>30.576000000000004</v>
      </c>
      <c r="P13" s="13">
        <f t="shared" si="33"/>
        <v>9.4631216842413863</v>
      </c>
      <c r="Q13" s="20">
        <f t="shared" si="2"/>
        <v>69.734803600053766</v>
      </c>
      <c r="R13" s="59">
        <f t="shared" si="0"/>
        <v>338.62369248894265</v>
      </c>
      <c r="S13" s="59">
        <f ca="1">AVERAGE(OFFSET($R$3,0,0,'Données projet'!$E$9+1,1))-AVERAGE(OFFSET($H$3,0,0,'Données projet'!$E$9+1,1))</f>
        <v>381.72225529388083</v>
      </c>
      <c r="T13" s="59">
        <f t="shared" si="34"/>
        <v>360.05900046417361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7.4833147735478933</v>
      </c>
      <c r="AJ13" s="13">
        <f>AI13*VLOOKUP('Données projet'!$B$10,Paramètres!$A$1:$I$89,3,0)*VLOOKUP('Données projet'!$B$10,Paramètres!$A$1:$I$89,5,0)</f>
        <v>5.4867663919653147</v>
      </c>
      <c r="AK13" s="13">
        <f t="shared" si="35"/>
        <v>2.074015976826026</v>
      </c>
      <c r="AL13" s="20">
        <f t="shared" si="4"/>
        <v>13.168362625644917</v>
      </c>
      <c r="AM13" s="59">
        <f t="shared" si="5"/>
        <v>282.05725151453379</v>
      </c>
      <c r="AN13" s="59">
        <f ca="1">AVERAGE(OFFSET($AM$3,0,0,'Données projet'!$E$10+1,1))-AVERAGE(OFFSET($H$3,0,0,'Données projet'!$E$10+1,1))</f>
        <v>464.3681853739115</v>
      </c>
      <c r="AO13" s="59">
        <f t="shared" si="36"/>
        <v>272.97841038165217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8.8341056840076444</v>
      </c>
      <c r="BF13" s="13">
        <f t="shared" si="37"/>
        <v>3.1592306185484516</v>
      </c>
      <c r="BG13" s="20">
        <f t="shared" si="7"/>
        <v>20.888394060285197</v>
      </c>
      <c r="BH13" s="59">
        <f t="shared" si="8"/>
        <v>289.77728294917404</v>
      </c>
      <c r="BI13" s="59">
        <f ca="1">AVERAGE(OFFSET($BH$3,0,0,'Données projet'!$E$11+1,1))-AVERAGE(OFFSET($H$3,0,0,'Données projet'!$E$11+1,1))</f>
        <v>299.10536994156814</v>
      </c>
      <c r="BJ13" s="59">
        <f t="shared" si="38"/>
        <v>292.57799203101769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289.77728294917404</v>
      </c>
      <c r="CD13" s="59">
        <f ca="1">AVERAGE(OFFSET($CC$3,0,0,'Données projet'!$E$12+1,1))-AVERAGE(OFFSET($H$3,0,0,'Données projet'!$E$12+1,1))</f>
        <v>299.10536994156814</v>
      </c>
      <c r="CE13" s="59">
        <f t="shared" si="40"/>
        <v>292.57799203101769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</v>
      </c>
      <c r="CT13" s="12">
        <f>IF('Données projet'!$A$140&gt;35,CT12+CS13-DB12,IF(A13&lt;'Données projet'!$A$140,$CQ$205^A13,IF(A13='Données projet'!$A$140,'Données projet'!$B$140,CT12+CS13-DB12)))</f>
        <v>40</v>
      </c>
      <c r="CU13" s="17">
        <f>CT13*VLOOKUP('Données projet'!$B$13,Paramètres!$A$1:$I$89,3,0)*VLOOKUP('Données projet'!$B$13,Paramètres!$A$1:$I$89,5,0)</f>
        <v>36.192</v>
      </c>
      <c r="CV13" s="13">
        <f t="shared" si="41"/>
        <v>10.98353513000465</v>
      </c>
      <c r="CW13" s="20">
        <f t="shared" si="13"/>
        <v>82.164057018091427</v>
      </c>
      <c r="CX13" s="59">
        <f t="shared" si="14"/>
        <v>351.05294590698031</v>
      </c>
      <c r="CY13" s="59">
        <f ca="1">AVERAGE(OFFSET($CX$3,0,0,'Données projet'!$E$13+1,1))-AVERAGE(OFFSET($H$3,0,0,'Données projet'!$E$13+1,1))</f>
        <v>528.15559695545812</v>
      </c>
      <c r="CZ13" s="59">
        <f t="shared" si="42"/>
        <v>276.26988364830532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</v>
      </c>
      <c r="DO13" s="12">
        <f>IF('Données projet'!$A$166&gt;35,DO12+DN13-DW12,IF(A13&lt;'Données projet'!$A$166,$DL$205^A13,IF(A13='Données projet'!$A$166,'Données projet'!$B$166,DO12+DN13-DW12)))</f>
        <v>40</v>
      </c>
      <c r="DP13" s="17">
        <f>DO13*VLOOKUP('Données projet'!$B$14,Paramètres!$A$1:$I$89,3,0)*VLOOKUP('Données projet'!$B$14,Paramètres!$A$1:$I$89,5,0)</f>
        <v>40.56</v>
      </c>
      <c r="DQ13" s="13">
        <f t="shared" si="43"/>
        <v>12.146954654656581</v>
      </c>
      <c r="DR13" s="20">
        <f t="shared" si="16"/>
        <v>91.797946023526876</v>
      </c>
      <c r="DS13" s="59">
        <f t="shared" si="17"/>
        <v>360.68683491241575</v>
      </c>
      <c r="DT13" s="59">
        <f ca="1">AVERAGE(OFFSET($DS$3,0,0,'Données projet'!$E$14+1,1))-AVERAGE(OFFSET($H$3,0,0,'Données projet'!$E$14+1,1))</f>
        <v>586.50020405958992</v>
      </c>
      <c r="DU13" s="59">
        <f t="shared" si="44"/>
        <v>304.44184537595294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2.4666666666666668</v>
      </c>
      <c r="EJ13" s="12">
        <f>IF('Données projet'!$A$192&gt;35,EJ12+EI13-ER12,IF(A13&lt;'Données projet'!$A$192,$EG$205^A13,IF(A13='Données projet'!$A$192,'Données projet'!$B$192,EJ12+EI13-ER12)))</f>
        <v>11.103702468586782</v>
      </c>
      <c r="EK13" s="17">
        <f>EJ13*VLOOKUP('Données projet'!$B$15,Paramètres!$A$1:$I$89,3,0)*VLOOKUP('Données projet'!$B$15,Paramètres!$A$1:$I$89,5,0)</f>
        <v>10.739501027617136</v>
      </c>
      <c r="EL13" s="13">
        <f t="shared" si="45"/>
        <v>3.7543055812695765</v>
      </c>
      <c r="EM13" s="20">
        <f t="shared" si="19"/>
        <v>25.243379843811024</v>
      </c>
      <c r="EN13" s="59">
        <f t="shared" si="20"/>
        <v>294.13226873269986</v>
      </c>
      <c r="EO13" s="59">
        <f ca="1">AVERAGE(OFFSET($EN$3,0,0,'Données projet'!$E$15+1,1))-AVERAGE(OFFSET($H$3,0,0,'Données projet'!$E$15+1,1))</f>
        <v>355.72173590705142</v>
      </c>
      <c r="EP13" s="59">
        <f t="shared" si="46"/>
        <v>346.30980704469363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9.007323442517599</v>
      </c>
      <c r="FG13" s="13">
        <f t="shared" si="47"/>
        <v>3.2139038262141559</v>
      </c>
      <c r="FH13" s="20">
        <f t="shared" si="22"/>
        <v>21.285304159707806</v>
      </c>
      <c r="FI13" s="59">
        <f t="shared" si="23"/>
        <v>290.17419304859663</v>
      </c>
      <c r="FJ13" s="59">
        <f ca="1">AVERAGE(OFFSET($FI$3,0,0,'Données projet'!$E$16+1,1))-AVERAGE(OFFSET($H$3,0,0,'Données projet'!$E$16+1,1))</f>
        <v>304.26232113495314</v>
      </c>
      <c r="FK13" s="59">
        <f t="shared" si="48"/>
        <v>297.47246687305056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10.6</v>
      </c>
      <c r="N14" s="13">
        <f>IF('Données projet'!$A$36&gt;35,N13+M14-V13,IF(A14&lt;'Données projet'!$A$36,$K$205^A14,IF(A14='Données projet'!$A$36,'Données projet'!$B$36,N13+M14-V13)))</f>
        <v>45.6</v>
      </c>
      <c r="O14" s="13">
        <f>N14*VLOOKUP('Données projet'!$B$9,Paramètres!$A$1:$I$89,3,0)*VLOOKUP('Données projet'!$B$9,Paramètres!$A$1:$I$89,5,0)</f>
        <v>39.836160000000007</v>
      </c>
      <c r="P14" s="13">
        <f t="shared" si="33"/>
        <v>11.955210728675533</v>
      </c>
      <c r="Q14" s="20">
        <f t="shared" si="2"/>
        <v>90.203304019109893</v>
      </c>
      <c r="R14" s="59">
        <f t="shared" si="0"/>
        <v>360.31441513022105</v>
      </c>
      <c r="S14" s="59">
        <f ca="1">AVERAGE(OFFSET($R$3,0,0,'Données projet'!$E$9+1,1))-AVERAGE(OFFSET($H$3,0,0,'Données projet'!$E$9+1,1))</f>
        <v>381.72225529388083</v>
      </c>
      <c r="T14" s="59">
        <f t="shared" si="34"/>
        <v>360.05900046417361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9.1517345525322273</v>
      </c>
      <c r="AJ14" s="13">
        <f>AI14*VLOOKUP('Données projet'!$B$10,Paramètres!$A$1:$I$89,3,0)*VLOOKUP('Données projet'!$B$10,Paramètres!$A$1:$I$89,5,0)</f>
        <v>6.7100517739166285</v>
      </c>
      <c r="AK14" s="13">
        <f t="shared" si="35"/>
        <v>2.4776904369868635</v>
      </c>
      <c r="AL14" s="20">
        <f t="shared" si="4"/>
        <v>16.001984350656915</v>
      </c>
      <c r="AM14" s="59">
        <f t="shared" si="5"/>
        <v>286.11309546176807</v>
      </c>
      <c r="AN14" s="59">
        <f ca="1">AVERAGE(OFFSET($AM$3,0,0,'Données projet'!$E$10+1,1))-AVERAGE(OFFSET($H$3,0,0,'Données projet'!$E$10+1,1))</f>
        <v>464.3681853739115</v>
      </c>
      <c r="AO14" s="59">
        <f t="shared" si="36"/>
        <v>272.97841038165217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11.238526451721825</v>
      </c>
      <c r="BF14" s="13">
        <f t="shared" si="37"/>
        <v>3.9080387928425129</v>
      </c>
      <c r="BG14" s="20">
        <f t="shared" si="7"/>
        <v>26.380267800949554</v>
      </c>
      <c r="BH14" s="59">
        <f t="shared" si="8"/>
        <v>296.49137891206067</v>
      </c>
      <c r="BI14" s="59">
        <f ca="1">AVERAGE(OFFSET($BH$3,0,0,'Données projet'!$E$11+1,1))-AVERAGE(OFFSET($H$3,0,0,'Données projet'!$E$11+1,1))</f>
        <v>299.10536994156814</v>
      </c>
      <c r="BJ14" s="59">
        <f t="shared" si="38"/>
        <v>292.57799203101769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296.49137891206067</v>
      </c>
      <c r="CD14" s="59">
        <f ca="1">AVERAGE(OFFSET($CC$3,0,0,'Données projet'!$E$12+1,1))-AVERAGE(OFFSET($H$3,0,0,'Données projet'!$E$12+1,1))</f>
        <v>299.10536994156814</v>
      </c>
      <c r="CE14" s="59">
        <f t="shared" si="40"/>
        <v>292.57799203101769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</v>
      </c>
      <c r="CT14" s="12">
        <f>IF('Données projet'!$A$140&gt;35,CT13+CS14-DB13,IF(A14&lt;'Données projet'!$A$140,$CQ$205^A14,IF(A14='Données projet'!$A$140,'Données projet'!$B$140,CT13+CS14-DB13)))</f>
        <v>44</v>
      </c>
      <c r="CU14" s="17">
        <f>CT14*VLOOKUP('Données projet'!$B$13,Paramètres!$A$1:$I$89,3,0)*VLOOKUP('Données projet'!$B$13,Paramètres!$A$1:$I$89,5,0)</f>
        <v>39.811199999999999</v>
      </c>
      <c r="CV14" s="13">
        <f t="shared" si="41"/>
        <v>11.948591675101238</v>
      </c>
      <c r="CW14" s="20">
        <f t="shared" si="13"/>
        <v>90.148303834134651</v>
      </c>
      <c r="CX14" s="59">
        <f t="shared" si="14"/>
        <v>360.25941494524579</v>
      </c>
      <c r="CY14" s="59">
        <f ca="1">AVERAGE(OFFSET($CX$3,0,0,'Données projet'!$E$13+1,1))-AVERAGE(OFFSET($H$3,0,0,'Données projet'!$E$13+1,1))</f>
        <v>528.15559695545812</v>
      </c>
      <c r="CZ14" s="59">
        <f t="shared" si="42"/>
        <v>276.26988364830532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</v>
      </c>
      <c r="DO14" s="12">
        <f>IF('Données projet'!$A$166&gt;35,DO13+DN14-DW13,IF(A14&lt;'Données projet'!$A$166,$DL$205^A14,IF(A14='Données projet'!$A$166,'Données projet'!$B$166,DO13+DN14-DW13)))</f>
        <v>44</v>
      </c>
      <c r="DP14" s="17">
        <f>DO14*VLOOKUP('Données projet'!$B$14,Paramètres!$A$1:$I$89,3,0)*VLOOKUP('Données projet'!$B$14,Paramètres!$A$1:$I$89,5,0)</f>
        <v>44.616000000000007</v>
      </c>
      <c r="DQ14" s="13">
        <f t="shared" si="43"/>
        <v>13.214233809656909</v>
      </c>
      <c r="DR14" s="20">
        <f t="shared" si="16"/>
        <v>100.72099055181911</v>
      </c>
      <c r="DS14" s="59">
        <f t="shared" si="17"/>
        <v>370.83210166293026</v>
      </c>
      <c r="DT14" s="59">
        <f ca="1">AVERAGE(OFFSET($DS$3,0,0,'Données projet'!$E$14+1,1))-AVERAGE(OFFSET($H$3,0,0,'Données projet'!$E$14+1,1))</f>
        <v>586.50020405958992</v>
      </c>
      <c r="DU14" s="59">
        <f t="shared" si="44"/>
        <v>304.44184537595294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2.4666666666666668</v>
      </c>
      <c r="EJ14" s="12">
        <f>IF('Données projet'!$A$192&gt;35,EJ13+EI14-ER13,IF(A14&lt;'Données projet'!$A$192,$EG$205^A14,IF(A14='Données projet'!$A$192,'Données projet'!$B$192,EJ13+EI14-ER13)))</f>
        <v>14.125850240977657</v>
      </c>
      <c r="EK14" s="17">
        <f>EJ14*VLOOKUP('Données projet'!$B$15,Paramètres!$A$1:$I$89,3,0)*VLOOKUP('Données projet'!$B$15,Paramètres!$A$1:$I$89,5,0)</f>
        <v>13.662522353073591</v>
      </c>
      <c r="EL14" s="13">
        <f t="shared" si="45"/>
        <v>4.6441598044931194</v>
      </c>
      <c r="EM14" s="20">
        <f t="shared" si="19"/>
        <v>31.884138091095355</v>
      </c>
      <c r="EN14" s="59">
        <f t="shared" si="20"/>
        <v>301.99524920220648</v>
      </c>
      <c r="EO14" s="59">
        <f ca="1">AVERAGE(OFFSET($EN$3,0,0,'Données projet'!$E$15+1,1))-AVERAGE(OFFSET($H$3,0,0,'Données projet'!$E$15+1,1))</f>
        <v>355.72173590705142</v>
      </c>
      <c r="EP14" s="59">
        <f t="shared" si="46"/>
        <v>346.30980704469363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11.458889715481076</v>
      </c>
      <c r="FG14" s="13">
        <f t="shared" si="47"/>
        <v>3.9756707710945065</v>
      </c>
      <c r="FH14" s="20">
        <f t="shared" si="22"/>
        <v>26.881859514119139</v>
      </c>
      <c r="FI14" s="59">
        <f t="shared" si="23"/>
        <v>296.99297062523027</v>
      </c>
      <c r="FJ14" s="59">
        <f ca="1">AVERAGE(OFFSET($FI$3,0,0,'Données projet'!$E$16+1,1))-AVERAGE(OFFSET($H$3,0,0,'Données projet'!$E$16+1,1))</f>
        <v>304.26232113495314</v>
      </c>
      <c r="FK14" s="59">
        <f t="shared" si="48"/>
        <v>297.47246687305056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10.6</v>
      </c>
      <c r="N15" s="13">
        <f>IF('Données projet'!$A$36&gt;35,N14+M15-V14,IF(A15&lt;'Données projet'!$A$36,$K$205^A15,IF(A15='Données projet'!$A$36,'Données projet'!$B$36,N14+M15-V14)))</f>
        <v>56.2</v>
      </c>
      <c r="O15" s="13">
        <f>N15*VLOOKUP('Données projet'!$B$9,Paramètres!$A$1:$I$89,3,0)*VLOOKUP('Données projet'!$B$9,Paramètres!$A$1:$I$89,5,0)</f>
        <v>49.096320000000006</v>
      </c>
      <c r="P15" s="13">
        <f t="shared" si="33"/>
        <v>14.380133207801931</v>
      </c>
      <c r="Q15" s="20">
        <f t="shared" si="2"/>
        <v>110.55482267025504</v>
      </c>
      <c r="R15" s="59">
        <f t="shared" si="0"/>
        <v>381.88815600358834</v>
      </c>
      <c r="S15" s="59">
        <f ca="1">AVERAGE(OFFSET($R$3,0,0,'Données projet'!$E$9+1,1))-AVERAGE(OFFSET($H$3,0,0,'Données projet'!$E$9+1,1))</f>
        <v>381.72225529388083</v>
      </c>
      <c r="T15" s="59">
        <f t="shared" si="34"/>
        <v>360.05900046417361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11.19213180983215</v>
      </c>
      <c r="AJ15" s="13">
        <f>AI15*VLOOKUP('Données projet'!$B$10,Paramètres!$A$1:$I$89,3,0)*VLOOKUP('Données projet'!$B$10,Paramètres!$A$1:$I$89,5,0)</f>
        <v>8.2060710429689312</v>
      </c>
      <c r="AK15" s="13">
        <f t="shared" si="35"/>
        <v>2.9599337566005186</v>
      </c>
      <c r="AL15" s="20">
        <f t="shared" si="4"/>
        <v>19.447458359250124</v>
      </c>
      <c r="AM15" s="59">
        <f t="shared" si="5"/>
        <v>290.78079169258342</v>
      </c>
      <c r="AN15" s="59">
        <f ca="1">AVERAGE(OFFSET($AM$3,0,0,'Données projet'!$E$10+1,1))-AVERAGE(OFFSET($H$3,0,0,'Données projet'!$E$10+1,1))</f>
        <v>464.3681853739115</v>
      </c>
      <c r="AO15" s="59">
        <f t="shared" si="36"/>
        <v>272.97841038165217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14.297369912010421</v>
      </c>
      <c r="BF15" s="13">
        <f t="shared" si="37"/>
        <v>4.8343312187127445</v>
      </c>
      <c r="BG15" s="20">
        <f t="shared" si="7"/>
        <v>33.321046136009507</v>
      </c>
      <c r="BH15" s="59">
        <f t="shared" si="8"/>
        <v>304.65437946934281</v>
      </c>
      <c r="BI15" s="59">
        <f ca="1">AVERAGE(OFFSET($BH$3,0,0,'Données projet'!$E$11+1,1))-AVERAGE(OFFSET($H$3,0,0,'Données projet'!$E$11+1,1))</f>
        <v>299.10536994156814</v>
      </c>
      <c r="BJ15" s="59">
        <f t="shared" si="38"/>
        <v>292.57799203101769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304.65437946934281</v>
      </c>
      <c r="CD15" s="59">
        <f ca="1">AVERAGE(OFFSET($CC$3,0,0,'Données projet'!$E$12+1,1))-AVERAGE(OFFSET($H$3,0,0,'Données projet'!$E$12+1,1))</f>
        <v>299.10536994156814</v>
      </c>
      <c r="CE15" s="59">
        <f t="shared" si="40"/>
        <v>292.57799203101769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</v>
      </c>
      <c r="CT15" s="12">
        <f>IF('Données projet'!$A$140&gt;35,CT14+CS15-DB14,IF(A15&lt;'Données projet'!$A$140,$CQ$205^A15,IF(A15='Données projet'!$A$140,'Données projet'!$B$140,CT14+CS15-DB14)))</f>
        <v>48</v>
      </c>
      <c r="CU15" s="17">
        <f>CT15*VLOOKUP('Données projet'!$B$13,Paramètres!$A$1:$I$89,3,0)*VLOOKUP('Données projet'!$B$13,Paramètres!$A$1:$I$89,5,0)</f>
        <v>43.430399999999999</v>
      </c>
      <c r="CV15" s="13">
        <f t="shared" si="41"/>
        <v>12.903475229013621</v>
      </c>
      <c r="CW15" s="20">
        <f t="shared" si="13"/>
        <v>98.114832690532054</v>
      </c>
      <c r="CX15" s="59">
        <f t="shared" si="14"/>
        <v>369.44816602386538</v>
      </c>
      <c r="CY15" s="59">
        <f ca="1">AVERAGE(OFFSET($CX$3,0,0,'Données projet'!$E$13+1,1))-AVERAGE(OFFSET($H$3,0,0,'Données projet'!$E$13+1,1))</f>
        <v>528.15559695545812</v>
      </c>
      <c r="CZ15" s="59">
        <f t="shared" si="42"/>
        <v>276.26988364830532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</v>
      </c>
      <c r="DO15" s="12">
        <f>IF('Données projet'!$A$166&gt;35,DO14+DN15-DW14,IF(A15&lt;'Données projet'!$A$166,$DL$205^A15,IF(A15='Données projet'!$A$166,'Données projet'!$B$166,DO14+DN15-DW14)))</f>
        <v>48</v>
      </c>
      <c r="DP15" s="17">
        <f>DO15*VLOOKUP('Données projet'!$B$14,Paramètres!$A$1:$I$89,3,0)*VLOOKUP('Données projet'!$B$14,Paramètres!$A$1:$I$89,5,0)</f>
        <v>48.672000000000004</v>
      </c>
      <c r="DQ15" s="13">
        <f t="shared" si="43"/>
        <v>14.270262409972053</v>
      </c>
      <c r="DR15" s="20">
        <f t="shared" si="16"/>
        <v>109.62444036403467</v>
      </c>
      <c r="DS15" s="59">
        <f t="shared" si="17"/>
        <v>380.957773697368</v>
      </c>
      <c r="DT15" s="59">
        <f ca="1">AVERAGE(OFFSET($DS$3,0,0,'Données projet'!$E$14+1,1))-AVERAGE(OFFSET($H$3,0,0,'Données projet'!$E$14+1,1))</f>
        <v>586.50020405958992</v>
      </c>
      <c r="DU15" s="59">
        <f t="shared" si="44"/>
        <v>304.44184537595294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2.4666666666666668</v>
      </c>
      <c r="EJ15" s="12">
        <f>IF('Données projet'!$A$192&gt;35,EJ14+EI15-ER14,IF(A15&lt;'Données projet'!$A$192,$EG$205^A15,IF(A15='Données projet'!$A$192,'Données projet'!$B$192,EJ14+EI15-ER14)))</f>
        <v>17.970550417308221</v>
      </c>
      <c r="EK15" s="17">
        <f>EJ15*VLOOKUP('Données projet'!$B$15,Paramètres!$A$1:$I$89,3,0)*VLOOKUP('Données projet'!$B$15,Paramètres!$A$1:$I$89,5,0)</f>
        <v>17.38111636362051</v>
      </c>
      <c r="EL15" s="13">
        <f t="shared" si="45"/>
        <v>5.7449293412008142</v>
      </c>
      <c r="EM15" s="20">
        <f t="shared" si="19"/>
        <v>40.277862935897133</v>
      </c>
      <c r="EN15" s="59">
        <f t="shared" si="20"/>
        <v>311.61119626923045</v>
      </c>
      <c r="EO15" s="59">
        <f ca="1">AVERAGE(OFFSET($EN$3,0,0,'Données projet'!$E$15+1,1))-AVERAGE(OFFSET($H$3,0,0,'Données projet'!$E$15+1,1))</f>
        <v>355.72173590705142</v>
      </c>
      <c r="EP15" s="59">
        <f t="shared" si="46"/>
        <v>346.30980704469363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14.57771049852043</v>
      </c>
      <c r="FG15" s="13">
        <f t="shared" si="47"/>
        <v>4.9179934854347964</v>
      </c>
      <c r="FH15" s="20">
        <f t="shared" si="22"/>
        <v>33.955017772055356</v>
      </c>
      <c r="FI15" s="59">
        <f t="shared" si="23"/>
        <v>305.28835110538864</v>
      </c>
      <c r="FJ15" s="59">
        <f ca="1">AVERAGE(OFFSET($FI$3,0,0,'Données projet'!$E$16+1,1))-AVERAGE(OFFSET($H$3,0,0,'Données projet'!$E$16+1,1))</f>
        <v>304.26232113495314</v>
      </c>
      <c r="FK15" s="59">
        <f t="shared" si="48"/>
        <v>297.47246687305056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10.6</v>
      </c>
      <c r="N16" s="13">
        <f>IF('Données projet'!$A$36&gt;35,N15+M16-V15,IF(A16&lt;'Données projet'!$A$36,$K$205^A16,IF(A16='Données projet'!$A$36,'Données projet'!$B$36,N15+M16-V15)))</f>
        <v>66.8</v>
      </c>
      <c r="O16" s="13">
        <f>N16*VLOOKUP('Données projet'!$B$9,Paramètres!$A$1:$I$89,3,0)*VLOOKUP('Données projet'!$B$9,Paramètres!$A$1:$I$89,5,0)</f>
        <v>58.356480000000005</v>
      </c>
      <c r="P16" s="13">
        <f t="shared" si="33"/>
        <v>16.75206628947662</v>
      </c>
      <c r="Q16" s="20">
        <f t="shared" si="2"/>
        <v>130.81405145417179</v>
      </c>
      <c r="R16" s="59">
        <f t="shared" si="0"/>
        <v>403.36960700972736</v>
      </c>
      <c r="S16" s="59">
        <f ca="1">AVERAGE(OFFSET($R$3,0,0,'Données projet'!$E$9+1,1))-AVERAGE(OFFSET($H$3,0,0,'Données projet'!$E$9+1,1))</f>
        <v>381.72225529388083</v>
      </c>
      <c r="T16" s="59">
        <f t="shared" si="34"/>
        <v>360.05900046417361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13.687439657435972</v>
      </c>
      <c r="AJ16" s="13">
        <f>AI16*VLOOKUP('Données projet'!$B$10,Paramètres!$A$1:$I$89,3,0)*VLOOKUP('Données projet'!$B$10,Paramètres!$A$1:$I$89,5,0)</f>
        <v>10.035630756832054</v>
      </c>
      <c r="AK16" s="13">
        <f t="shared" si="35"/>
        <v>3.5360381235187024</v>
      </c>
      <c r="AL16" s="20">
        <f t="shared" si="4"/>
        <v>23.637323299944232</v>
      </c>
      <c r="AM16" s="59">
        <f t="shared" si="5"/>
        <v>296.19287885549977</v>
      </c>
      <c r="AN16" s="59">
        <f ca="1">AVERAGE(OFFSET($AM$3,0,0,'Données projet'!$E$10+1,1))-AVERAGE(OFFSET($H$3,0,0,'Données projet'!$E$10+1,1))</f>
        <v>464.3681853739115</v>
      </c>
      <c r="AO16" s="59">
        <f t="shared" si="36"/>
        <v>272.97841038165217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18.188753417005401</v>
      </c>
      <c r="BF16" s="13">
        <f t="shared" si="37"/>
        <v>5.9801756254374139</v>
      </c>
      <c r="BG16" s="20">
        <f t="shared" si="7"/>
        <v>42.094218082254564</v>
      </c>
      <c r="BH16" s="59">
        <f t="shared" si="8"/>
        <v>314.64977363781009</v>
      </c>
      <c r="BI16" s="59">
        <f ca="1">AVERAGE(OFFSET($BH$3,0,0,'Données projet'!$E$11+1,1))-AVERAGE(OFFSET($H$3,0,0,'Données projet'!$E$11+1,1))</f>
        <v>299.10536994156814</v>
      </c>
      <c r="BJ16" s="59">
        <f t="shared" si="38"/>
        <v>292.57799203101769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314.64977363781009</v>
      </c>
      <c r="CD16" s="59">
        <f ca="1">AVERAGE(OFFSET($CC$3,0,0,'Données projet'!$E$12+1,1))-AVERAGE(OFFSET($H$3,0,0,'Données projet'!$E$12+1,1))</f>
        <v>299.10536994156814</v>
      </c>
      <c r="CE16" s="59">
        <f t="shared" si="40"/>
        <v>292.57799203101769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</v>
      </c>
      <c r="CT16" s="12">
        <f>IF('Données projet'!$A$140&gt;35,CT15+CS16-DB15,IF(A16&lt;'Données projet'!$A$140,$CQ$205^A16,IF(A16='Données projet'!$A$140,'Données projet'!$B$140,CT15+CS16-DB15)))</f>
        <v>52</v>
      </c>
      <c r="CU16" s="17">
        <f>CT16*VLOOKUP('Données projet'!$B$13,Paramètres!$A$1:$I$89,3,0)*VLOOKUP('Données projet'!$B$13,Paramètres!$A$1:$I$89,5,0)</f>
        <v>47.049599999999998</v>
      </c>
      <c r="CV16" s="13">
        <f t="shared" si="41"/>
        <v>13.849129922569936</v>
      </c>
      <c r="CW16" s="20">
        <f t="shared" si="13"/>
        <v>106.06528794847596</v>
      </c>
      <c r="CX16" s="59">
        <f t="shared" si="14"/>
        <v>378.62084350403148</v>
      </c>
      <c r="CY16" s="59">
        <f ca="1">AVERAGE(OFFSET($CX$3,0,0,'Données projet'!$E$13+1,1))-AVERAGE(OFFSET($H$3,0,0,'Données projet'!$E$13+1,1))</f>
        <v>528.15559695545812</v>
      </c>
      <c r="CZ16" s="59">
        <f t="shared" si="42"/>
        <v>276.26988364830532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</v>
      </c>
      <c r="DO16" s="12">
        <f>IF('Données projet'!$A$166&gt;35,DO15+DN16-DW15,IF(A16&lt;'Données projet'!$A$166,$DL$205^A16,IF(A16='Données projet'!$A$166,'Données projet'!$B$166,DO15+DN16-DW15)))</f>
        <v>52</v>
      </c>
      <c r="DP16" s="17">
        <f>DO16*VLOOKUP('Données projet'!$B$14,Paramètres!$A$1:$I$89,3,0)*VLOOKUP('Données projet'!$B$14,Paramètres!$A$1:$I$89,5,0)</f>
        <v>52.728000000000009</v>
      </c>
      <c r="DQ16" s="13">
        <f t="shared" si="43"/>
        <v>15.316084592505286</v>
      </c>
      <c r="DR16" s="20">
        <f t="shared" si="16"/>
        <v>118.51011399861339</v>
      </c>
      <c r="DS16" s="59">
        <f t="shared" si="17"/>
        <v>391.06566955416895</v>
      </c>
      <c r="DT16" s="59">
        <f ca="1">AVERAGE(OFFSET($DS$3,0,0,'Données projet'!$E$14+1,1))-AVERAGE(OFFSET($H$3,0,0,'Données projet'!$E$14+1,1))</f>
        <v>586.50020405958992</v>
      </c>
      <c r="DU16" s="59">
        <f t="shared" si="44"/>
        <v>304.44184537595294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2.4666666666666668</v>
      </c>
      <c r="EJ16" s="12">
        <f>IF('Données projet'!$A$192&gt;35,EJ15+EI16-ER15,IF(A16&lt;'Données projet'!$A$192,$EG$205^A16,IF(A16='Données projet'!$A$192,'Données projet'!$B$192,EJ15+EI16-ER15)))</f>
        <v>22.86168101684942</v>
      </c>
      <c r="EK16" s="17">
        <f>EJ16*VLOOKUP('Données projet'!$B$15,Paramètres!$A$1:$I$89,3,0)*VLOOKUP('Données projet'!$B$15,Paramètres!$A$1:$I$89,5,0)</f>
        <v>22.111817879496762</v>
      </c>
      <c r="EL16" s="13">
        <f t="shared" si="45"/>
        <v>7.1066058285632661</v>
      </c>
      <c r="EM16" s="20">
        <f t="shared" si="19"/>
        <v>50.888754624871218</v>
      </c>
      <c r="EN16" s="59">
        <f t="shared" si="20"/>
        <v>323.44431018042678</v>
      </c>
      <c r="EO16" s="59">
        <f ca="1">AVERAGE(OFFSET($EN$3,0,0,'Données projet'!$E$15+1,1))-AVERAGE(OFFSET($H$3,0,0,'Données projet'!$E$15+1,1))</f>
        <v>355.72173590705142</v>
      </c>
      <c r="EP16" s="59">
        <f t="shared" si="46"/>
        <v>346.30980704469363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18.545395640868254</v>
      </c>
      <c r="FG16" s="13">
        <f t="shared" si="47"/>
        <v>6.0836677168115934</v>
      </c>
      <c r="FH16" s="20">
        <f t="shared" si="22"/>
        <v>42.895618681292397</v>
      </c>
      <c r="FI16" s="59">
        <f t="shared" si="23"/>
        <v>315.45117423684792</v>
      </c>
      <c r="FJ16" s="59">
        <f ca="1">AVERAGE(OFFSET($FI$3,0,0,'Données projet'!$E$16+1,1))-AVERAGE(OFFSET($H$3,0,0,'Données projet'!$E$16+1,1))</f>
        <v>304.26232113495314</v>
      </c>
      <c r="FK16" s="59">
        <f t="shared" si="48"/>
        <v>297.47246687305056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10.6</v>
      </c>
      <c r="N17" s="13">
        <f>IF('Données projet'!$A$36&gt;35,N16+M17-V16,IF(A17&lt;'Données projet'!$A$36,$K$205^A17,IF(A17='Données projet'!$A$36,'Données projet'!$B$36,N16+M17-V16)))</f>
        <v>77.399999999999991</v>
      </c>
      <c r="O17" s="13">
        <f>N17*VLOOKUP('Données projet'!$B$9,Paramètres!$A$1:$I$89,3,0)*VLOOKUP('Données projet'!$B$9,Paramètres!$A$1:$I$89,5,0)</f>
        <v>67.616640000000004</v>
      </c>
      <c r="P17" s="13">
        <f t="shared" si="33"/>
        <v>19.080397298873443</v>
      </c>
      <c r="Q17" s="20">
        <f t="shared" si="2"/>
        <v>150.99733996220459</v>
      </c>
      <c r="R17" s="59">
        <f t="shared" si="0"/>
        <v>424.77511773998236</v>
      </c>
      <c r="S17" s="59">
        <f ca="1">AVERAGE(OFFSET($R$3,0,0,'Données projet'!$E$9+1,1))-AVERAGE(OFFSET($H$3,0,0,'Données projet'!$E$9+1,1))</f>
        <v>381.72225529388083</v>
      </c>
      <c r="T17" s="59">
        <f t="shared" si="34"/>
        <v>360.05900046417361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16.739081308117708</v>
      </c>
      <c r="AJ17" s="13">
        <f>AI17*VLOOKUP('Données projet'!$B$10,Paramètres!$A$1:$I$89,3,0)*VLOOKUP('Données projet'!$B$10,Paramètres!$A$1:$I$89,5,0)</f>
        <v>12.273094415111903</v>
      </c>
      <c r="AK17" s="13">
        <f t="shared" si="35"/>
        <v>4.2242721084873178</v>
      </c>
      <c r="AL17" s="20">
        <f t="shared" si="4"/>
        <v>28.732913361935303</v>
      </c>
      <c r="AM17" s="59">
        <f t="shared" si="5"/>
        <v>302.51069113971306</v>
      </c>
      <c r="AN17" s="59">
        <f ca="1">AVERAGE(OFFSET($AM$3,0,0,'Données projet'!$E$10+1,1))-AVERAGE(OFFSET($H$3,0,0,'Données projet'!$E$10+1,1))</f>
        <v>464.3681853739115</v>
      </c>
      <c r="AO17" s="59">
        <f t="shared" si="36"/>
        <v>272.97841038165217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23.13927336990233</v>
      </c>
      <c r="BF17" s="13">
        <f t="shared" si="37"/>
        <v>7.3976107331343286</v>
      </c>
      <c r="BG17" s="20">
        <f t="shared" si="7"/>
        <v>53.185073146122171</v>
      </c>
      <c r="BH17" s="59">
        <f t="shared" si="8"/>
        <v>326.96285092389996</v>
      </c>
      <c r="BI17" s="59">
        <f ca="1">AVERAGE(OFFSET($BH$3,0,0,'Données projet'!$E$11+1,1))-AVERAGE(OFFSET($H$3,0,0,'Données projet'!$E$11+1,1))</f>
        <v>299.10536994156814</v>
      </c>
      <c r="BJ17" s="59">
        <f t="shared" si="38"/>
        <v>292.57799203101769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326.96285092389996</v>
      </c>
      <c r="CD17" s="59">
        <f ca="1">AVERAGE(OFFSET($CC$3,0,0,'Données projet'!$E$12+1,1))-AVERAGE(OFFSET($H$3,0,0,'Données projet'!$E$12+1,1))</f>
        <v>299.10536994156814</v>
      </c>
      <c r="CE17" s="59">
        <f t="shared" si="40"/>
        <v>292.57799203101769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</v>
      </c>
      <c r="CT17" s="12">
        <f>IF('Données projet'!$A$140&gt;35,CT16+CS17-DB16,IF(A17&lt;'Données projet'!$A$140,$CQ$205^A17,IF(A17='Données projet'!$A$140,'Données projet'!$B$140,CT16+CS17-DB16)))</f>
        <v>56</v>
      </c>
      <c r="CU17" s="17">
        <f>CT17*VLOOKUP('Données projet'!$B$13,Paramètres!$A$1:$I$89,3,0)*VLOOKUP('Données projet'!$B$13,Paramètres!$A$1:$I$89,5,0)</f>
        <v>50.668799999999997</v>
      </c>
      <c r="CV17" s="13">
        <f t="shared" si="41"/>
        <v>14.786346384516113</v>
      </c>
      <c r="CW17" s="20">
        <f t="shared" si="13"/>
        <v>114.0010466196989</v>
      </c>
      <c r="CX17" s="59">
        <f t="shared" si="14"/>
        <v>387.77882439747668</v>
      </c>
      <c r="CY17" s="59">
        <f ca="1">AVERAGE(OFFSET($CX$3,0,0,'Données projet'!$E$13+1,1))-AVERAGE(OFFSET($H$3,0,0,'Données projet'!$E$13+1,1))</f>
        <v>528.15559695545812</v>
      </c>
      <c r="CZ17" s="59">
        <f t="shared" si="42"/>
        <v>276.26988364830532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</v>
      </c>
      <c r="DO17" s="12">
        <f>IF('Données projet'!$A$166&gt;35,DO16+DN17-DW16,IF(A17&lt;'Données projet'!$A$166,$DL$205^A17,IF(A17='Données projet'!$A$166,'Données projet'!$B$166,DO16+DN17-DW16)))</f>
        <v>56</v>
      </c>
      <c r="DP17" s="17">
        <f>DO17*VLOOKUP('Données projet'!$B$14,Paramètres!$A$1:$I$89,3,0)*VLOOKUP('Données projet'!$B$14,Paramètres!$A$1:$I$89,5,0)</f>
        <v>56.783999999999999</v>
      </c>
      <c r="DQ17" s="13">
        <f t="shared" si="43"/>
        <v>16.352574732529362</v>
      </c>
      <c r="DR17" s="20">
        <f t="shared" si="16"/>
        <v>127.37953432582198</v>
      </c>
      <c r="DS17" s="59">
        <f t="shared" si="17"/>
        <v>401.15731210359974</v>
      </c>
      <c r="DT17" s="59">
        <f ca="1">AVERAGE(OFFSET($DS$3,0,0,'Données projet'!$E$14+1,1))-AVERAGE(OFFSET($H$3,0,0,'Données projet'!$E$14+1,1))</f>
        <v>586.50020405958992</v>
      </c>
      <c r="DU17" s="59">
        <f t="shared" si="44"/>
        <v>304.44184537595294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2.4666666666666668</v>
      </c>
      <c r="EJ17" s="12">
        <f>IF('Données projet'!$A$192&gt;35,EJ16+EI17-ER16,IF(A17&lt;'Données projet'!$A$192,$EG$205^A17,IF(A17='Données projet'!$A$192,'Données projet'!$B$192,EJ16+EI17-ER16)))</f>
        <v>29.084054009429774</v>
      </c>
      <c r="EK17" s="17">
        <f>EJ17*VLOOKUP('Données projet'!$B$15,Paramètres!$A$1:$I$89,3,0)*VLOOKUP('Données projet'!$B$15,Paramètres!$A$1:$I$89,5,0)</f>
        <v>28.130097037920478</v>
      </c>
      <c r="EL17" s="13">
        <f t="shared" si="45"/>
        <v>8.7910300376319253</v>
      </c>
      <c r="EM17" s="20">
        <f t="shared" si="19"/>
        <v>64.30429632325378</v>
      </c>
      <c r="EN17" s="59">
        <f t="shared" si="20"/>
        <v>338.08207410103154</v>
      </c>
      <c r="EO17" s="59">
        <f ca="1">AVERAGE(OFFSET($EN$3,0,0,'Données projet'!$E$15+1,1))-AVERAGE(OFFSET($H$3,0,0,'Données projet'!$E$15+1,1))</f>
        <v>355.72173590705142</v>
      </c>
      <c r="EP17" s="59">
        <f t="shared" si="46"/>
        <v>346.30980704469363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23.592984612449435</v>
      </c>
      <c r="FG17" s="13">
        <f t="shared" si="47"/>
        <v>7.5256327602279143</v>
      </c>
      <c r="FH17" s="20">
        <f t="shared" si="22"/>
        <v>54.198258590746377</v>
      </c>
      <c r="FI17" s="59">
        <f t="shared" si="23"/>
        <v>327.97603636852415</v>
      </c>
      <c r="FJ17" s="59">
        <f ca="1">AVERAGE(OFFSET($FI$3,0,0,'Données projet'!$E$16+1,1))-AVERAGE(OFFSET($H$3,0,0,'Données projet'!$E$16+1,1))</f>
        <v>304.26232113495314</v>
      </c>
      <c r="FK17" s="59">
        <f t="shared" si="48"/>
        <v>297.47246687305056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88</v>
      </c>
      <c r="L18" s="12">
        <f>VLOOKUP(A18,'Données projet'!$A$35:$I$55,9,0)</f>
        <v>10.6</v>
      </c>
      <c r="M18" s="12">
        <f t="array" ref="M18">INDEX(L:L,MIN(IF(ISNUMBER(L18:L214),ROW(L18:L214),"")))</f>
        <v>10.6</v>
      </c>
      <c r="N18" s="13">
        <f>IF('Données projet'!$A$36&gt;35,N17+M18-V17,IF(A18&lt;'Données projet'!$A$36,$K$205^A18,IF(A18='Données projet'!$A$36,'Données projet'!$B$36,N17+M18-V17)))</f>
        <v>87.999999999999986</v>
      </c>
      <c r="O18" s="13">
        <f>N18*VLOOKUP('Données projet'!$B$9,Paramètres!$A$1:$I$89,3,0)*VLOOKUP('Données projet'!$B$9,Paramètres!$A$1:$I$89,5,0)</f>
        <v>76.876799999999989</v>
      </c>
      <c r="P18" s="13">
        <f t="shared" si="33"/>
        <v>21.371784666185118</v>
      </c>
      <c r="Q18" s="20">
        <f t="shared" si="2"/>
        <v>171.1162849602724</v>
      </c>
      <c r="R18" s="59">
        <f t="shared" si="0"/>
        <v>446.11628496027242</v>
      </c>
      <c r="S18" s="59">
        <f ca="1">AVERAGE(OFFSET($R$3,0,0,'Données projet'!$E$9+1,1))-AVERAGE(OFFSET($H$3,0,0,'Données projet'!$E$9+1,1))</f>
        <v>381.72225529388083</v>
      </c>
      <c r="T18" s="59">
        <f t="shared" si="34"/>
        <v>360.05900046417361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20.471092479852732</v>
      </c>
      <c r="AJ18" s="13">
        <f>AI18*VLOOKUP('Données projet'!$B$10,Paramètres!$A$1:$I$89,3,0)*VLOOKUP('Données projet'!$B$10,Paramètres!$A$1:$I$89,5,0)</f>
        <v>15.009405006228024</v>
      </c>
      <c r="AK18" s="13">
        <f t="shared" si="35"/>
        <v>5.0464599710782805</v>
      </c>
      <c r="AL18" s="20">
        <f t="shared" si="4"/>
        <v>34.930631502141807</v>
      </c>
      <c r="AM18" s="59">
        <f t="shared" si="5"/>
        <v>309.93063150214181</v>
      </c>
      <c r="AN18" s="59">
        <f ca="1">AVERAGE(OFFSET($AM$3,0,0,'Données projet'!$E$10+1,1))-AVERAGE(OFFSET($H$3,0,0,'Données projet'!$E$10+1,1))</f>
        <v>464.3681853739115</v>
      </c>
      <c r="AO18" s="59">
        <f t="shared" si="36"/>
        <v>272.97841038165217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29.437200000000004</v>
      </c>
      <c r="BF18" s="13">
        <f t="shared" si="37"/>
        <v>9.1510096001539196</v>
      </c>
      <c r="BG18" s="20">
        <f t="shared" si="7"/>
        <v>67.207798386934755</v>
      </c>
      <c r="BH18" s="59">
        <f t="shared" si="8"/>
        <v>342.20779838693477</v>
      </c>
      <c r="BI18" s="59">
        <f ca="1">AVERAGE(OFFSET($BH$3,0,0,'Données projet'!$E$11+1,1))-AVERAGE(OFFSET($H$3,0,0,'Données projet'!$E$11+1,1))</f>
        <v>299.10536994156814</v>
      </c>
      <c r="BJ18" s="59">
        <f t="shared" si="38"/>
        <v>292.57799203101769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342.20779838693477</v>
      </c>
      <c r="CD18" s="59">
        <f ca="1">AVERAGE(OFFSET($CC$3,0,0,'Données projet'!$E$12+1,1))-AVERAGE(OFFSET($H$3,0,0,'Données projet'!$E$12+1,1))</f>
        <v>299.10536994156814</v>
      </c>
      <c r="CE18" s="59">
        <f t="shared" si="40"/>
        <v>292.57799203101769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</v>
      </c>
      <c r="CT18" s="12">
        <f>IF('Données projet'!$A$140&gt;35,CT17+CS18-DB17,IF(A18&lt;'Données projet'!$A$140,$CQ$205^A18,IF(A18='Données projet'!$A$140,'Données projet'!$B$140,CT17+CS18-DB17)))</f>
        <v>60</v>
      </c>
      <c r="CU18" s="17">
        <f>CT18*VLOOKUP('Données projet'!$B$13,Paramètres!$A$1:$I$89,3,0)*VLOOKUP('Données projet'!$B$13,Paramètres!$A$1:$I$89,5,0)</f>
        <v>54.287999999999997</v>
      </c>
      <c r="CV18" s="13">
        <f t="shared" si="41"/>
        <v>15.715795896526746</v>
      </c>
      <c r="CW18" s="20">
        <f t="shared" si="13"/>
        <v>121.9232778531174</v>
      </c>
      <c r="CX18" s="59">
        <f t="shared" si="14"/>
        <v>396.92327785311738</v>
      </c>
      <c r="CY18" s="59">
        <f ca="1">AVERAGE(OFFSET($CX$3,0,0,'Données projet'!$E$13+1,1))-AVERAGE(OFFSET($H$3,0,0,'Données projet'!$E$13+1,1))</f>
        <v>528.15559695545812</v>
      </c>
      <c r="CZ18" s="59">
        <f t="shared" si="42"/>
        <v>276.26988364830532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</v>
      </c>
      <c r="DO18" s="12">
        <f>IF('Données projet'!$A$166&gt;35,DO17+DN18-DW17,IF(A18&lt;'Données projet'!$A$166,$DL$205^A18,IF(A18='Données projet'!$A$166,'Données projet'!$B$166,DO17+DN18-DW17)))</f>
        <v>60</v>
      </c>
      <c r="DP18" s="17">
        <f>DO18*VLOOKUP('Données projet'!$B$14,Paramètres!$A$1:$I$89,3,0)*VLOOKUP('Données projet'!$B$14,Paramètres!$A$1:$I$89,5,0)</f>
        <v>60.84</v>
      </c>
      <c r="DQ18" s="13">
        <f t="shared" si="43"/>
        <v>17.380475216531455</v>
      </c>
      <c r="DR18" s="20">
        <f t="shared" si="16"/>
        <v>136.23399433545893</v>
      </c>
      <c r="DS18" s="59">
        <f t="shared" si="17"/>
        <v>411.23399433545893</v>
      </c>
      <c r="DT18" s="59">
        <f ca="1">AVERAGE(OFFSET($DS$3,0,0,'Données projet'!$E$14+1,1))-AVERAGE(OFFSET($H$3,0,0,'Données projet'!$E$14+1,1))</f>
        <v>586.50020405958992</v>
      </c>
      <c r="DU18" s="59">
        <f t="shared" si="44"/>
        <v>304.44184537595294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37</v>
      </c>
      <c r="EH18" s="12">
        <f>VLOOKUP(A18,'Données projet'!$A$191:$I$211,9,0)</f>
        <v>2.4666666666666668</v>
      </c>
      <c r="EI18" s="12">
        <f t="array" ref="EI18">INDEX(EH:EH,MIN(IF(ISNUMBER(EH18:EH214),ROW(EH18:EH214),"")))</f>
        <v>2.4666666666666668</v>
      </c>
      <c r="EJ18" s="12">
        <f>IF('Données projet'!$A$192&gt;35,EJ17+EI18-ER17,IF(A18&lt;'Données projet'!$A$192,$EG$205^A18,IF(A18='Données projet'!$A$192,'Données projet'!$B$192,EJ17+EI18-ER17)))</f>
        <v>37</v>
      </c>
      <c r="EK18" s="17">
        <f>EJ18*VLOOKUP('Données projet'!$B$15,Paramètres!$A$1:$I$89,3,0)*VLOOKUP('Données projet'!$B$15,Paramètres!$A$1:$I$89,5,0)</f>
        <v>35.7864</v>
      </c>
      <c r="EL18" s="13">
        <f t="shared" si="45"/>
        <v>10.874700382555321</v>
      </c>
      <c r="EM18" s="20">
        <f t="shared" si="19"/>
        <v>81.26808316628383</v>
      </c>
      <c r="EN18" s="59">
        <f t="shared" si="20"/>
        <v>356.26808316628382</v>
      </c>
      <c r="EO18" s="59">
        <f ca="1">AVERAGE(OFFSET($EN$3,0,0,'Données projet'!$E$15+1,1))-AVERAGE(OFFSET($H$3,0,0,'Données projet'!$E$15+1,1))</f>
        <v>355.72173590705142</v>
      </c>
      <c r="EP18" s="59">
        <f t="shared" si="46"/>
        <v>346.30980704469363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15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30.014400000000006</v>
      </c>
      <c r="FG18" s="13">
        <f t="shared" si="47"/>
        <v>9.309375705269078</v>
      </c>
      <c r="FH18" s="20">
        <f t="shared" si="22"/>
        <v>68.488909353343658</v>
      </c>
      <c r="FI18" s="59">
        <f t="shared" si="23"/>
        <v>343.48890935334367</v>
      </c>
      <c r="FJ18" s="59">
        <f ca="1">AVERAGE(OFFSET($FI$3,0,0,'Données projet'!$E$16+1,1))-AVERAGE(OFFSET($H$3,0,0,'Données projet'!$E$16+1,1))</f>
        <v>304.26232113495314</v>
      </c>
      <c r="FK18" s="59">
        <f t="shared" si="48"/>
        <v>297.47246687305056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11.8</v>
      </c>
      <c r="N19" s="13">
        <f>IF('Données projet'!$A$36&gt;35,N18+M19-V18,IF(A19&lt;'Données projet'!$A$36,$K$205^A19,IF(A19='Données projet'!$A$36,'Données projet'!$B$36,N18+M19-V18)))</f>
        <v>69.799999999999983</v>
      </c>
      <c r="O19" s="13">
        <f>N19*VLOOKUP('Données projet'!$B$9,Paramètres!$A$1:$I$89,3,0)*VLOOKUP('Données projet'!$B$9,Paramètres!$A$1:$I$89,5,0)</f>
        <v>60.977279999999993</v>
      </c>
      <c r="P19" s="13">
        <f t="shared" si="33"/>
        <v>17.415123237238468</v>
      </c>
      <c r="Q19" s="20">
        <f t="shared" si="2"/>
        <v>136.5334356381903</v>
      </c>
      <c r="R19" s="59">
        <f t="shared" si="0"/>
        <v>412.7556578604125</v>
      </c>
      <c r="S19" s="59">
        <f ca="1">AVERAGE(OFFSET($R$3,0,0,'Données projet'!$E$9+1,1))-AVERAGE(OFFSET($H$3,0,0,'Données projet'!$E$9+1,1))</f>
        <v>381.72225529388083</v>
      </c>
      <c r="T19" s="59">
        <f t="shared" si="34"/>
        <v>360.05900046417361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25.035162898423533</v>
      </c>
      <c r="AJ19" s="13">
        <f>AI19*VLOOKUP('Données projet'!$B$10,Paramètres!$A$1:$I$89,3,0)*VLOOKUP('Données projet'!$B$10,Paramètres!$A$1:$I$89,5,0)</f>
        <v>18.355781437124133</v>
      </c>
      <c r="AK19" s="13">
        <f t="shared" si="35"/>
        <v>6.0286737183734314</v>
      </c>
      <c r="AL19" s="20">
        <f t="shared" si="4"/>
        <v>42.469592729158251</v>
      </c>
      <c r="AM19" s="59">
        <f t="shared" si="5"/>
        <v>318.69181495138048</v>
      </c>
      <c r="AN19" s="59">
        <f ca="1">AVERAGE(OFFSET($AM$3,0,0,'Données projet'!$E$10+1,1))-AVERAGE(OFFSET($H$3,0,0,'Données projet'!$E$10+1,1))</f>
        <v>464.3681853739115</v>
      </c>
      <c r="AO19" s="59">
        <f t="shared" si="36"/>
        <v>272.97841038165217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26.732160000000004</v>
      </c>
      <c r="BF19" s="13">
        <f t="shared" si="37"/>
        <v>8.4038705306032053</v>
      </c>
      <c r="BG19" s="20">
        <f t="shared" si="7"/>
        <v>61.195253174133917</v>
      </c>
      <c r="BH19" s="59">
        <f t="shared" si="8"/>
        <v>337.41747539635617</v>
      </c>
      <c r="BI19" s="59">
        <f ca="1">AVERAGE(OFFSET($BH$3,0,0,'Données projet'!$E$11+1,1))-AVERAGE(OFFSET($H$3,0,0,'Données projet'!$E$11+1,1))</f>
        <v>299.10536994156814</v>
      </c>
      <c r="BJ19" s="59">
        <f t="shared" si="38"/>
        <v>292.57799203101769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337.41747539635617</v>
      </c>
      <c r="CD19" s="59">
        <f ca="1">AVERAGE(OFFSET($CC$3,0,0,'Données projet'!$E$12+1,1))-AVERAGE(OFFSET($H$3,0,0,'Données projet'!$E$12+1,1))</f>
        <v>299.10536994156814</v>
      </c>
      <c r="CE19" s="59">
        <f t="shared" si="40"/>
        <v>292.57799203101769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</v>
      </c>
      <c r="CT19" s="12">
        <f>IF('Données projet'!$A$140&gt;35,CT18+CS19-DB18,IF(A19&lt;'Données projet'!$A$140,$CQ$205^A19,IF(A19='Données projet'!$A$140,'Données projet'!$B$140,CT18+CS19-DB18)))</f>
        <v>64</v>
      </c>
      <c r="CU19" s="17">
        <f>CT19*VLOOKUP('Données projet'!$B$13,Paramètres!$A$1:$I$89,3,0)*VLOOKUP('Données projet'!$B$13,Paramètres!$A$1:$I$89,5,0)</f>
        <v>57.907199999999996</v>
      </c>
      <c r="CV19" s="13">
        <f t="shared" si="41"/>
        <v>16.638055172386</v>
      </c>
      <c r="CW19" s="20">
        <f t="shared" si="13"/>
        <v>129.83298609190561</v>
      </c>
      <c r="CX19" s="59">
        <f t="shared" si="14"/>
        <v>406.05520831412787</v>
      </c>
      <c r="CY19" s="59">
        <f ca="1">AVERAGE(OFFSET($CX$3,0,0,'Données projet'!$E$13+1,1))-AVERAGE(OFFSET($H$3,0,0,'Données projet'!$E$13+1,1))</f>
        <v>528.15559695545812</v>
      </c>
      <c r="CZ19" s="59">
        <f t="shared" si="42"/>
        <v>276.26988364830532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</v>
      </c>
      <c r="DO19" s="12">
        <f>IF('Données projet'!$A$166&gt;35,DO18+DN19-DW18,IF(A19&lt;'Données projet'!$A$166,$DL$205^A19,IF(A19='Données projet'!$A$166,'Données projet'!$B$166,DO18+DN19-DW18)))</f>
        <v>64</v>
      </c>
      <c r="DP19" s="17">
        <f>DO19*VLOOKUP('Données projet'!$B$14,Paramètres!$A$1:$I$89,3,0)*VLOOKUP('Données projet'!$B$14,Paramètres!$A$1:$I$89,5,0)</f>
        <v>64.896000000000001</v>
      </c>
      <c r="DQ19" s="13">
        <f t="shared" si="43"/>
        <v>18.400423846102964</v>
      </c>
      <c r="DR19" s="20">
        <f t="shared" si="16"/>
        <v>145.07460486529598</v>
      </c>
      <c r="DS19" s="59">
        <f t="shared" si="17"/>
        <v>421.29682708751818</v>
      </c>
      <c r="DT19" s="59">
        <f ca="1">AVERAGE(OFFSET($DS$3,0,0,'Données projet'!$E$14+1,1))-AVERAGE(OFFSET($H$3,0,0,'Données projet'!$E$14+1,1))</f>
        <v>586.50020405958992</v>
      </c>
      <c r="DU19" s="59">
        <f t="shared" si="44"/>
        <v>304.44184537595294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11.6</v>
      </c>
      <c r="EJ19" s="12">
        <f>IF('Données projet'!$A$192&gt;35,EJ18+EI19-ER18,IF(A19&lt;'Données projet'!$A$192,$EG$205^A19,IF(A19='Données projet'!$A$192,'Données projet'!$B$192,EJ18+EI19-ER18)))</f>
        <v>33.6</v>
      </c>
      <c r="EK19" s="17">
        <f>EJ19*VLOOKUP('Données projet'!$B$15,Paramètres!$A$1:$I$89,3,0)*VLOOKUP('Données projet'!$B$15,Paramètres!$A$1:$I$89,5,0)</f>
        <v>32.497920000000001</v>
      </c>
      <c r="EL19" s="13">
        <f t="shared" si="45"/>
        <v>9.9868296578509597</v>
      </c>
      <c r="EM19" s="20">
        <f t="shared" si="19"/>
        <v>73.994272320757076</v>
      </c>
      <c r="EN19" s="59">
        <f t="shared" si="20"/>
        <v>350.21649454297932</v>
      </c>
      <c r="EO19" s="59">
        <f ca="1">AVERAGE(OFFSET($EN$3,0,0,'Données projet'!$E$15+1,1))-AVERAGE(OFFSET($H$3,0,0,'Données projet'!$E$15+1,1))</f>
        <v>355.72173590705142</v>
      </c>
      <c r="EP19" s="59">
        <f t="shared" si="46"/>
        <v>346.30980704469363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33.6</v>
      </c>
      <c r="FF19" s="17">
        <f>FE19*VLOOKUP('Données projet'!$B$16,Paramètres!$A$1:$I$89,3,0)*VLOOKUP('Données projet'!$B$16,Paramètres!$A$1:$I$89,5,0)</f>
        <v>27.256320000000002</v>
      </c>
      <c r="FG19" s="13">
        <f t="shared" si="47"/>
        <v>8.5493067504276556</v>
      </c>
      <c r="FH19" s="20">
        <f t="shared" si="22"/>
        <v>62.361466590328156</v>
      </c>
      <c r="FI19" s="59">
        <f t="shared" si="23"/>
        <v>338.58368881255041</v>
      </c>
      <c r="FJ19" s="59">
        <f ca="1">AVERAGE(OFFSET($FI$3,0,0,'Données projet'!$E$16+1,1))-AVERAGE(OFFSET($H$3,0,0,'Données projet'!$E$16+1,1))</f>
        <v>304.26232113495314</v>
      </c>
      <c r="FK19" s="59">
        <f t="shared" si="48"/>
        <v>297.47246687305056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11.8</v>
      </c>
      <c r="N20" s="13">
        <f>IF('Données projet'!$A$36&gt;35,N19+M20-V19,IF(A20&lt;'Données projet'!$A$36,$K$205^A20,IF(A20='Données projet'!$A$36,'Données projet'!$B$36,N19+M20-V19)))</f>
        <v>81.59999999999998</v>
      </c>
      <c r="O20" s="13">
        <f>N20*VLOOKUP('Données projet'!$B$9,Paramètres!$A$1:$I$89,3,0)*VLOOKUP('Données projet'!$B$9,Paramètres!$A$1:$I$89,5,0)</f>
        <v>71.285759999999982</v>
      </c>
      <c r="P20" s="13">
        <f t="shared" si="33"/>
        <v>19.992418069182566</v>
      </c>
      <c r="Q20" s="20">
        <f t="shared" si="2"/>
        <v>158.97616013715958</v>
      </c>
      <c r="R20" s="59">
        <f t="shared" si="0"/>
        <v>436.42060458160404</v>
      </c>
      <c r="S20" s="59">
        <f ca="1">AVERAGE(OFFSET($R$3,0,0,'Données projet'!$E$9+1,1))-AVERAGE(OFFSET($H$3,0,0,'Données projet'!$E$9+1,1))</f>
        <v>381.72225529388083</v>
      </c>
      <c r="T20" s="59">
        <f t="shared" si="34"/>
        <v>360.05900046417361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30.61680181296855</v>
      </c>
      <c r="AJ20" s="13">
        <f>AI20*VLOOKUP('Données projet'!$B$10,Paramètres!$A$1:$I$89,3,0)*VLOOKUP('Données projet'!$B$10,Paramètres!$A$1:$I$89,5,0)</f>
        <v>22.44823908926854</v>
      </c>
      <c r="AK20" s="13">
        <f t="shared" si="35"/>
        <v>7.2020598619433178</v>
      </c>
      <c r="AL20" s="20">
        <f t="shared" si="4"/>
        <v>51.640937340027314</v>
      </c>
      <c r="AM20" s="59">
        <f t="shared" si="5"/>
        <v>329.08538178447179</v>
      </c>
      <c r="AN20" s="59">
        <f ca="1">AVERAGE(OFFSET($AM$3,0,0,'Données projet'!$E$10+1,1))-AVERAGE(OFFSET($H$3,0,0,'Données projet'!$E$10+1,1))</f>
        <v>464.3681853739115</v>
      </c>
      <c r="AO20" s="59">
        <f t="shared" si="36"/>
        <v>272.97841038165217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35.961120000000008</v>
      </c>
      <c r="BF20" s="13">
        <f t="shared" si="37"/>
        <v>10.921600552662685</v>
      </c>
      <c r="BG20" s="20">
        <f t="shared" si="7"/>
        <v>81.654071629220851</v>
      </c>
      <c r="BH20" s="59">
        <f t="shared" si="8"/>
        <v>359.09851607366534</v>
      </c>
      <c r="BI20" s="59">
        <f ca="1">AVERAGE(OFFSET($BH$3,0,0,'Données projet'!$E$11+1,1))-AVERAGE(OFFSET($H$3,0,0,'Données projet'!$E$11+1,1))</f>
        <v>299.10536994156814</v>
      </c>
      <c r="BJ20" s="59">
        <f t="shared" si="38"/>
        <v>292.57799203101769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359.09851607366534</v>
      </c>
      <c r="CD20" s="59">
        <f ca="1">AVERAGE(OFFSET($CC$3,0,0,'Données projet'!$E$12+1,1))-AVERAGE(OFFSET($H$3,0,0,'Données projet'!$E$12+1,1))</f>
        <v>299.10536994156814</v>
      </c>
      <c r="CE20" s="59">
        <f t="shared" si="40"/>
        <v>292.57799203101769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</v>
      </c>
      <c r="CT20" s="12">
        <f>IF('Données projet'!$A$140&gt;35,CT19+CS20-DB19,IF(A20&lt;'Données projet'!$A$140,$CQ$205^A20,IF(A20='Données projet'!$A$140,'Données projet'!$B$140,CT19+CS20-DB19)))</f>
        <v>68</v>
      </c>
      <c r="CU20" s="17">
        <f>CT20*VLOOKUP('Données projet'!$B$13,Paramètres!$A$1:$I$89,3,0)*VLOOKUP('Données projet'!$B$13,Paramètres!$A$1:$I$89,5,0)</f>
        <v>61.526399999999995</v>
      </c>
      <c r="CV20" s="13">
        <f t="shared" si="41"/>
        <v>17.553624762159014</v>
      </c>
      <c r="CW20" s="20">
        <f t="shared" si="13"/>
        <v>137.73104312742694</v>
      </c>
      <c r="CX20" s="59">
        <f t="shared" si="14"/>
        <v>415.17548757187137</v>
      </c>
      <c r="CY20" s="59">
        <f ca="1">AVERAGE(OFFSET($CX$3,0,0,'Données projet'!$E$13+1,1))-AVERAGE(OFFSET($H$3,0,0,'Données projet'!$E$13+1,1))</f>
        <v>528.15559695545812</v>
      </c>
      <c r="CZ20" s="59">
        <f t="shared" si="42"/>
        <v>276.26988364830532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</v>
      </c>
      <c r="DO20" s="12">
        <f>IF('Données projet'!$A$166&gt;35,DO19+DN20-DW19,IF(A20&lt;'Données projet'!$A$166,$DL$205^A20,IF(A20='Données projet'!$A$166,'Données projet'!$B$166,DO19+DN20-DW19)))</f>
        <v>68</v>
      </c>
      <c r="DP20" s="17">
        <f>DO20*VLOOKUP('Données projet'!$B$14,Paramètres!$A$1:$I$89,3,0)*VLOOKUP('Données projet'!$B$14,Paramètres!$A$1:$I$89,5,0)</f>
        <v>68.952000000000012</v>
      </c>
      <c r="DQ20" s="13">
        <f t="shared" si="43"/>
        <v>19.412974191553594</v>
      </c>
      <c r="DR20" s="20">
        <f t="shared" si="16"/>
        <v>153.90233005028921</v>
      </c>
      <c r="DS20" s="59">
        <f t="shared" si="17"/>
        <v>431.34677449473367</v>
      </c>
      <c r="DT20" s="59">
        <f ca="1">AVERAGE(OFFSET($DS$3,0,0,'Données projet'!$E$14+1,1))-AVERAGE(OFFSET($H$3,0,0,'Données projet'!$E$14+1,1))</f>
        <v>586.50020405958992</v>
      </c>
      <c r="DU20" s="59">
        <f t="shared" si="44"/>
        <v>304.44184537595294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11.6</v>
      </c>
      <c r="EJ20" s="12">
        <f>IF('Données projet'!$A$192&gt;35,EJ19+EI20-ER19,IF(A20&lt;'Données projet'!$A$192,$EG$205^A20,IF(A20='Données projet'!$A$192,'Données projet'!$B$192,EJ19+EI20-ER19)))</f>
        <v>45.2</v>
      </c>
      <c r="EK20" s="17">
        <f>EJ20*VLOOKUP('Données projet'!$B$15,Paramètres!$A$1:$I$89,3,0)*VLOOKUP('Données projet'!$B$15,Paramètres!$A$1:$I$89,5,0)</f>
        <v>43.717440000000003</v>
      </c>
      <c r="EL20" s="13">
        <f t="shared" si="45"/>
        <v>12.978801126616625</v>
      </c>
      <c r="EM20" s="20">
        <f t="shared" si="19"/>
        <v>98.745953295523961</v>
      </c>
      <c r="EN20" s="59">
        <f t="shared" si="20"/>
        <v>376.19039773996843</v>
      </c>
      <c r="EO20" s="59">
        <f ca="1">AVERAGE(OFFSET($EN$3,0,0,'Données projet'!$E$15+1,1))-AVERAGE(OFFSET($H$3,0,0,'Données projet'!$E$15+1,1))</f>
        <v>355.72173590705142</v>
      </c>
      <c r="EP20" s="59">
        <f t="shared" si="46"/>
        <v>346.30980704469363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45.2</v>
      </c>
      <c r="FF20" s="17">
        <f>FE20*VLOOKUP('Données projet'!$B$16,Paramètres!$A$1:$I$89,3,0)*VLOOKUP('Données projet'!$B$16,Paramètres!$A$1:$I$89,5,0)</f>
        <v>36.666240000000002</v>
      </c>
      <c r="FG20" s="13">
        <f t="shared" si="47"/>
        <v>11.110608259650514</v>
      </c>
      <c r="FH20" s="20">
        <f t="shared" si="22"/>
        <v>83.211344052224646</v>
      </c>
      <c r="FI20" s="59">
        <f t="shared" si="23"/>
        <v>360.65578849666912</v>
      </c>
      <c r="FJ20" s="59">
        <f ca="1">AVERAGE(OFFSET($FI$3,0,0,'Données projet'!$E$16+1,1))-AVERAGE(OFFSET($H$3,0,0,'Données projet'!$E$16+1,1))</f>
        <v>304.26232113495314</v>
      </c>
      <c r="FK20" s="59">
        <f t="shared" si="48"/>
        <v>297.47246687305056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11.8</v>
      </c>
      <c r="N21" s="13">
        <f>IF('Données projet'!$A$36&gt;35,N20+M21-V20,IF(A21&lt;'Données projet'!$A$36,$K$205^A21,IF(A21='Données projet'!$A$36,'Données projet'!$B$36,N20+M21-V20)))</f>
        <v>93.399999999999977</v>
      </c>
      <c r="O21" s="13">
        <f>N21*VLOOKUP('Données projet'!$B$9,Paramètres!$A$1:$I$89,3,0)*VLOOKUP('Données projet'!$B$9,Paramètres!$A$1:$I$89,5,0)</f>
        <v>81.594239999999999</v>
      </c>
      <c r="P21" s="13">
        <f t="shared" si="33"/>
        <v>22.526535320646335</v>
      </c>
      <c r="Q21" s="20">
        <f t="shared" si="2"/>
        <v>181.34368368345903</v>
      </c>
      <c r="R21" s="59">
        <f t="shared" si="0"/>
        <v>460.01035035012569</v>
      </c>
      <c r="S21" s="59">
        <f ca="1">AVERAGE(OFFSET($R$3,0,0,'Données projet'!$E$9+1,1))-AVERAGE(OFFSET($H$3,0,0,'Données projet'!$E$9+1,1))</f>
        <v>381.72225529388083</v>
      </c>
      <c r="T21" s="59">
        <f t="shared" si="34"/>
        <v>360.05900046417361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37.442878125375486</v>
      </c>
      <c r="AJ21" s="13">
        <f>AI21*VLOOKUP('Données projet'!$B$10,Paramètres!$A$1:$I$89,3,0)*VLOOKUP('Données projet'!$B$10,Paramètres!$A$1:$I$89,5,0)</f>
        <v>27.453118241525306</v>
      </c>
      <c r="AK21" s="13">
        <f t="shared" si="35"/>
        <v>8.6038270900170275</v>
      </c>
      <c r="AL21" s="20">
        <f t="shared" si="4"/>
        <v>62.799179785769574</v>
      </c>
      <c r="AM21" s="59">
        <f t="shared" si="5"/>
        <v>341.46584645243627</v>
      </c>
      <c r="AN21" s="59">
        <f ca="1">AVERAGE(OFFSET($AM$3,0,0,'Données projet'!$E$10+1,1))-AVERAGE(OFFSET($H$3,0,0,'Données projet'!$E$10+1,1))</f>
        <v>464.3681853739115</v>
      </c>
      <c r="AO21" s="59">
        <f t="shared" si="36"/>
        <v>272.97841038165217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45.190080000000009</v>
      </c>
      <c r="BF21" s="13">
        <f t="shared" si="37"/>
        <v>13.364359727915414</v>
      </c>
      <c r="BG21" s="20">
        <f t="shared" si="7"/>
        <v>101.98231585945268</v>
      </c>
      <c r="BH21" s="59">
        <f t="shared" si="8"/>
        <v>380.64898252611937</v>
      </c>
      <c r="BI21" s="59">
        <f ca="1">AVERAGE(OFFSET($BH$3,0,0,'Données projet'!$E$11+1,1))-AVERAGE(OFFSET($H$3,0,0,'Données projet'!$E$11+1,1))</f>
        <v>299.10536994156814</v>
      </c>
      <c r="BJ21" s="59">
        <f t="shared" si="38"/>
        <v>292.57799203101769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380.64898252611937</v>
      </c>
      <c r="CD21" s="59">
        <f ca="1">AVERAGE(OFFSET($CC$3,0,0,'Données projet'!$E$12+1,1))-AVERAGE(OFFSET($H$3,0,0,'Données projet'!$E$12+1,1))</f>
        <v>299.10536994156814</v>
      </c>
      <c r="CE21" s="59">
        <f t="shared" si="40"/>
        <v>292.57799203101769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</v>
      </c>
      <c r="CT21" s="12">
        <f>IF('Données projet'!$A$140&gt;35,CT20+CS21-DB20,IF(A21&lt;'Données projet'!$A$140,$CQ$205^A21,IF(A21='Données projet'!$A$140,'Données projet'!$B$140,CT20+CS21-DB20)))</f>
        <v>72</v>
      </c>
      <c r="CU21" s="17">
        <f>CT21*VLOOKUP('Données projet'!$B$13,Paramètres!$A$1:$I$89,3,0)*VLOOKUP('Données projet'!$B$13,Paramètres!$A$1:$I$89,5,0)</f>
        <v>65.145600000000002</v>
      </c>
      <c r="CV21" s="13">
        <f t="shared" si="41"/>
        <v>18.462943001028204</v>
      </c>
      <c r="CW21" s="20">
        <f t="shared" si="13"/>
        <v>145.61821239345747</v>
      </c>
      <c r="CX21" s="59">
        <f t="shared" si="14"/>
        <v>424.28487906012413</v>
      </c>
      <c r="CY21" s="59">
        <f ca="1">AVERAGE(OFFSET($CX$3,0,0,'Données projet'!$E$13+1,1))-AVERAGE(OFFSET($H$3,0,0,'Données projet'!$E$13+1,1))</f>
        <v>528.15559695545812</v>
      </c>
      <c r="CZ21" s="59">
        <f t="shared" si="42"/>
        <v>276.26988364830532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</v>
      </c>
      <c r="DO21" s="12">
        <f>IF('Données projet'!$A$166&gt;35,DO20+DN21-DW20,IF(A21&lt;'Données projet'!$A$166,$DL$205^A21,IF(A21='Données projet'!$A$166,'Données projet'!$B$166,DO20+DN21-DW20)))</f>
        <v>72</v>
      </c>
      <c r="DP21" s="17">
        <f>DO21*VLOOKUP('Données projet'!$B$14,Paramètres!$A$1:$I$89,3,0)*VLOOKUP('Données projet'!$B$14,Paramètres!$A$1:$I$89,5,0)</f>
        <v>73.00800000000001</v>
      </c>
      <c r="DQ21" s="13">
        <f t="shared" si="43"/>
        <v>20.418611018263636</v>
      </c>
      <c r="DR21" s="20">
        <f t="shared" si="16"/>
        <v>162.7180141901425</v>
      </c>
      <c r="DS21" s="59">
        <f t="shared" si="17"/>
        <v>441.38468085680915</v>
      </c>
      <c r="DT21" s="59">
        <f ca="1">AVERAGE(OFFSET($DS$3,0,0,'Données projet'!$E$14+1,1))-AVERAGE(OFFSET($H$3,0,0,'Données projet'!$E$14+1,1))</f>
        <v>586.50020405958992</v>
      </c>
      <c r="DU21" s="59">
        <f t="shared" si="44"/>
        <v>304.44184537595294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11.6</v>
      </c>
      <c r="EJ21" s="12">
        <f>IF('Données projet'!$A$192&gt;35,EJ20+EI21-ER20,IF(A21&lt;'Données projet'!$A$192,$EG$205^A21,IF(A21='Données projet'!$A$192,'Données projet'!$B$192,EJ20+EI21-ER20)))</f>
        <v>56.800000000000004</v>
      </c>
      <c r="EK21" s="17">
        <f>EJ21*VLOOKUP('Données projet'!$B$15,Paramètres!$A$1:$I$89,3,0)*VLOOKUP('Données projet'!$B$15,Paramètres!$A$1:$I$89,5,0)</f>
        <v>54.936960000000006</v>
      </c>
      <c r="EL21" s="13">
        <f t="shared" si="45"/>
        <v>15.88168018568401</v>
      </c>
      <c r="EM21" s="20">
        <f t="shared" si="19"/>
        <v>123.34246499006633</v>
      </c>
      <c r="EN21" s="59">
        <f t="shared" si="20"/>
        <v>402.00913165673302</v>
      </c>
      <c r="EO21" s="59">
        <f ca="1">AVERAGE(OFFSET($EN$3,0,0,'Données projet'!$E$15+1,1))-AVERAGE(OFFSET($H$3,0,0,'Données projet'!$E$15+1,1))</f>
        <v>355.72173590705142</v>
      </c>
      <c r="EP21" s="59">
        <f t="shared" si="46"/>
        <v>346.30980704469363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56.800000000000004</v>
      </c>
      <c r="FF21" s="17">
        <f>FE21*VLOOKUP('Données projet'!$B$16,Paramètres!$A$1:$I$89,3,0)*VLOOKUP('Données projet'!$B$16,Paramètres!$A$1:$I$89,5,0)</f>
        <v>46.076160000000009</v>
      </c>
      <c r="FG21" s="13">
        <f t="shared" si="47"/>
        <v>13.595641486972058</v>
      </c>
      <c r="FH21" s="20">
        <f t="shared" si="22"/>
        <v>103.92838758980967</v>
      </c>
      <c r="FI21" s="59">
        <f t="shared" si="23"/>
        <v>382.59505425647637</v>
      </c>
      <c r="FJ21" s="59">
        <f ca="1">AVERAGE(OFFSET($FI$3,0,0,'Données projet'!$E$16+1,1))-AVERAGE(OFFSET($H$3,0,0,'Données projet'!$E$16+1,1))</f>
        <v>304.26232113495314</v>
      </c>
      <c r="FK21" s="59">
        <f t="shared" si="48"/>
        <v>297.47246687305056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11.8</v>
      </c>
      <c r="N22" s="13">
        <f>IF('Données projet'!$A$36&gt;35,N21+M22-V21,IF(A22&lt;'Données projet'!$A$36,$K$205^A22,IF(A22='Données projet'!$A$36,'Données projet'!$B$36,N21+M22-V21)))</f>
        <v>105.19999999999997</v>
      </c>
      <c r="O22" s="13">
        <f>N22*VLOOKUP('Données projet'!$B$9,Paramètres!$A$1:$I$89,3,0)*VLOOKUP('Données projet'!$B$9,Paramètres!$A$1:$I$89,5,0)</f>
        <v>91.902719999999988</v>
      </c>
      <c r="P22" s="13">
        <f t="shared" si="33"/>
        <v>25.023555003327861</v>
      </c>
      <c r="Q22" s="20">
        <f t="shared" si="2"/>
        <v>203.64659563079599</v>
      </c>
      <c r="R22" s="59">
        <f t="shared" si="0"/>
        <v>483.53548451968481</v>
      </c>
      <c r="S22" s="59">
        <f ca="1">AVERAGE(OFFSET($R$3,0,0,'Données projet'!$E$9+1,1))-AVERAGE(OFFSET($H$3,0,0,'Données projet'!$E$9+1,1))</f>
        <v>381.72225529388083</v>
      </c>
      <c r="T22" s="59">
        <f t="shared" si="34"/>
        <v>360.05900046417361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45.79084160638493</v>
      </c>
      <c r="AJ22" s="13">
        <f>AI22*VLOOKUP('Données projet'!$B$10,Paramètres!$A$1:$I$89,3,0)*VLOOKUP('Données projet'!$B$10,Paramètres!$A$1:$I$89,5,0)</f>
        <v>33.573845065801436</v>
      </c>
      <c r="AK22" s="13">
        <f t="shared" si="35"/>
        <v>10.27842617444402</v>
      </c>
      <c r="AL22" s="20">
        <f t="shared" si="4"/>
        <v>76.376039076760833</v>
      </c>
      <c r="AM22" s="59">
        <f t="shared" si="5"/>
        <v>356.26492796564969</v>
      </c>
      <c r="AN22" s="59">
        <f ca="1">AVERAGE(OFFSET($AM$3,0,0,'Données projet'!$E$10+1,1))-AVERAGE(OFFSET($H$3,0,0,'Données projet'!$E$10+1,1))</f>
        <v>464.3681853739115</v>
      </c>
      <c r="AO22" s="59">
        <f t="shared" si="36"/>
        <v>272.97841038165217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54.419040000000003</v>
      </c>
      <c r="BF22" s="13">
        <f t="shared" si="37"/>
        <v>15.749310274925152</v>
      </c>
      <c r="BG22" s="20">
        <f t="shared" si="7"/>
        <v>122.20987672882796</v>
      </c>
      <c r="BH22" s="59">
        <f t="shared" si="8"/>
        <v>402.09876561771682</v>
      </c>
      <c r="BI22" s="59">
        <f ca="1">AVERAGE(OFFSET($BH$3,0,0,'Données projet'!$E$11+1,1))-AVERAGE(OFFSET($H$3,0,0,'Données projet'!$E$11+1,1))</f>
        <v>299.10536994156814</v>
      </c>
      <c r="BJ22" s="59">
        <f t="shared" si="38"/>
        <v>292.57799203101769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402.09876561771682</v>
      </c>
      <c r="CD22" s="59">
        <f ca="1">AVERAGE(OFFSET($CC$3,0,0,'Données projet'!$E$12+1,1))-AVERAGE(OFFSET($H$3,0,0,'Données projet'!$E$12+1,1))</f>
        <v>299.10536994156814</v>
      </c>
      <c r="CE22" s="59">
        <f t="shared" si="40"/>
        <v>292.57799203101769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</v>
      </c>
      <c r="CT22" s="12">
        <f>IF('Données projet'!$A$140&gt;35,CT21+CS22-DB21,IF(A22&lt;'Données projet'!$A$140,$CQ$205^A22,IF(A22='Données projet'!$A$140,'Données projet'!$B$140,CT21+CS22-DB21)))</f>
        <v>76</v>
      </c>
      <c r="CU22" s="17">
        <f>CT22*VLOOKUP('Données projet'!$B$13,Paramètres!$A$1:$I$89,3,0)*VLOOKUP('Données projet'!$B$13,Paramètres!$A$1:$I$89,5,0)</f>
        <v>68.764799999999994</v>
      </c>
      <c r="CV22" s="13">
        <f t="shared" si="41"/>
        <v>19.366396769521369</v>
      </c>
      <c r="CW22" s="20">
        <f t="shared" si="13"/>
        <v>153.49516770691636</v>
      </c>
      <c r="CX22" s="59">
        <f t="shared" si="14"/>
        <v>433.38405659580519</v>
      </c>
      <c r="CY22" s="59">
        <f ca="1">AVERAGE(OFFSET($CX$3,0,0,'Données projet'!$E$13+1,1))-AVERAGE(OFFSET($H$3,0,0,'Données projet'!$E$13+1,1))</f>
        <v>528.15559695545812</v>
      </c>
      <c r="CZ22" s="59">
        <f t="shared" si="42"/>
        <v>276.26988364830532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</v>
      </c>
      <c r="DO22" s="12">
        <f>IF('Données projet'!$A$166&gt;35,DO21+DN22-DW21,IF(A22&lt;'Données projet'!$A$166,$DL$205^A22,IF(A22='Données projet'!$A$166,'Données projet'!$B$166,DO21+DN22-DW21)))</f>
        <v>76</v>
      </c>
      <c r="DP22" s="17">
        <f>DO22*VLOOKUP('Données projet'!$B$14,Paramètres!$A$1:$I$89,3,0)*VLOOKUP('Données projet'!$B$14,Paramètres!$A$1:$I$89,5,0)</f>
        <v>77.064000000000007</v>
      </c>
      <c r="DQ22" s="13">
        <f t="shared" si="43"/>
        <v>21.417762186678065</v>
      </c>
      <c r="DR22" s="20">
        <f t="shared" si="16"/>
        <v>171.52240247513097</v>
      </c>
      <c r="DS22" s="59">
        <f t="shared" si="17"/>
        <v>451.4112913640198</v>
      </c>
      <c r="DT22" s="59">
        <f ca="1">AVERAGE(OFFSET($DS$3,0,0,'Données projet'!$E$14+1,1))-AVERAGE(OFFSET($H$3,0,0,'Données projet'!$E$14+1,1))</f>
        <v>586.50020405958992</v>
      </c>
      <c r="DU22" s="59">
        <f t="shared" si="44"/>
        <v>304.44184537595294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11.6</v>
      </c>
      <c r="EJ22" s="12">
        <f>IF('Données projet'!$A$192&gt;35,EJ21+EI22-ER21,IF(A22&lt;'Données projet'!$A$192,$EG$205^A22,IF(A22='Données projet'!$A$192,'Données projet'!$B$192,EJ21+EI22-ER21)))</f>
        <v>68.400000000000006</v>
      </c>
      <c r="EK22" s="17">
        <f>EJ22*VLOOKUP('Données projet'!$B$15,Paramètres!$A$1:$I$89,3,0)*VLOOKUP('Données projet'!$B$15,Paramètres!$A$1:$I$89,5,0)</f>
        <v>66.156480000000002</v>
      </c>
      <c r="EL22" s="13">
        <f t="shared" si="45"/>
        <v>18.71586174150994</v>
      </c>
      <c r="EM22" s="20">
        <f t="shared" si="19"/>
        <v>147.81932853312981</v>
      </c>
      <c r="EN22" s="59">
        <f t="shared" si="20"/>
        <v>427.70821742201866</v>
      </c>
      <c r="EO22" s="59">
        <f ca="1">AVERAGE(OFFSET($EN$3,0,0,'Données projet'!$E$15+1,1))-AVERAGE(OFFSET($H$3,0,0,'Données projet'!$E$15+1,1))</f>
        <v>355.72173590705142</v>
      </c>
      <c r="EP22" s="59">
        <f t="shared" si="46"/>
        <v>346.30980704469363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68.400000000000006</v>
      </c>
      <c r="FF22" s="17">
        <f>FE22*VLOOKUP('Données projet'!$B$16,Paramètres!$A$1:$I$89,3,0)*VLOOKUP('Données projet'!$B$16,Paramètres!$A$1:$I$89,5,0)</f>
        <v>55.486080000000008</v>
      </c>
      <c r="FG22" s="13">
        <f t="shared" si="47"/>
        <v>16.021865657934267</v>
      </c>
      <c r="FH22" s="20">
        <f t="shared" si="22"/>
        <v>124.54300535423552</v>
      </c>
      <c r="FI22" s="59">
        <f t="shared" si="23"/>
        <v>404.43189424312436</v>
      </c>
      <c r="FJ22" s="59">
        <f ca="1">AVERAGE(OFFSET($FI$3,0,0,'Données projet'!$E$16+1,1))-AVERAGE(OFFSET($H$3,0,0,'Données projet'!$E$16+1,1))</f>
        <v>304.26232113495314</v>
      </c>
      <c r="FK22" s="59">
        <f t="shared" si="48"/>
        <v>297.47246687305056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117</v>
      </c>
      <c r="L23" s="12">
        <f>VLOOKUP(A23,'Données projet'!$A$35:$I$55,9,0)</f>
        <v>11.8</v>
      </c>
      <c r="M23" s="12">
        <f t="array" ref="M23">INDEX(L:L,MIN(IF(ISNUMBER(L23:L219),ROW(L23:L219),"")))</f>
        <v>11.8</v>
      </c>
      <c r="N23" s="13">
        <f>IF('Données projet'!$A$36&gt;35,N22+M23-V22,IF(A23&lt;'Données projet'!$A$36,$K$205^A23,IF(A23='Données projet'!$A$36,'Données projet'!$B$36,N22+M23-V22)))</f>
        <v>116.99999999999997</v>
      </c>
      <c r="O23" s="13">
        <f>N23*VLOOKUP('Données projet'!$B$9,Paramètres!$A$1:$I$89,3,0)*VLOOKUP('Données projet'!$B$9,Paramètres!$A$1:$I$89,5,0)</f>
        <v>102.21119999999999</v>
      </c>
      <c r="P23" s="13">
        <f t="shared" si="33"/>
        <v>27.488113037666018</v>
      </c>
      <c r="Q23" s="20">
        <f t="shared" si="2"/>
        <v>225.89297020726829</v>
      </c>
      <c r="R23" s="59">
        <f t="shared" si="0"/>
        <v>507.00408131837946</v>
      </c>
      <c r="S23" s="59">
        <f ca="1">AVERAGE(OFFSET($R$3,0,0,'Données projet'!$E$9+1,1))-AVERAGE(OFFSET($H$3,0,0,'Données projet'!$E$9+1,1))</f>
        <v>381.72225529388083</v>
      </c>
      <c r="T23" s="59">
        <f t="shared" si="34"/>
        <v>360.05900046417361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29</v>
      </c>
      <c r="W23" s="16">
        <f>IF(ISNA(VLOOKUP(A23,'Données projet'!$A$35:$I$55,5,0)),0%,VLOOKUP(A23,'Données projet'!$A$35:$I$55,5,0)*VLOOKUP('Données projet'!$B$9,Paramètres!$A$1:$I$89,7,0))</f>
        <v>8.6000000000000007E-2</v>
      </c>
      <c r="X23" s="16">
        <f>IF(ISNA(VLOOKUP(A23,'Données projet'!$A$35:$I$55,6,0)),0%,VLOOKUP(A23,'Données projet'!$A$35:$I$55,6,0)*VLOOKUP('Données projet'!$B$9,Paramètres!$A$1:$I$89,7,0))</f>
        <v>0.129</v>
      </c>
      <c r="Y23" s="16">
        <f>IF(ISNA(VLOOKUP(A23,'Données projet'!$A$35:$I$55,7,0)),0%,VLOOKUP(A23,'Données projet'!$A$35:$I$55,7,0))</f>
        <v>0.3</v>
      </c>
      <c r="Z23" s="21">
        <f>EXP(-LN(2)/35)*Z22+(1-EXP(-LN(2)/35))/(LN(2)/35)*V23*W23*VLOOKUP('Données projet'!$B$9,Paramètres!$A$1:$I$89,3,0)*0.475*44/12</f>
        <v>2.4085528753586036</v>
      </c>
      <c r="AA23" s="21">
        <f>EXP(-LN(2)/25)*AA22+(1-EXP(-LN(2)/25))/(LN(2)/25)*Calculateur!V23*Calculateur!X23*VLOOKUP('Données projet'!$B$9,Paramètres!$A$1:$I$89,3,0)*0.475*44/12</f>
        <v>3.5986042274365833</v>
      </c>
      <c r="AB23" s="21">
        <f>EXP(-LN(2)/2)*AB22+(1-EXP(-LN(2)/2))/(LN(2)/2)*V23*Y23*VLOOKUP('Données projet'!$B$9,Paramètres!$A$1:$I$89,3,0)*0.475*44/12</f>
        <v>7.1711064796136244</v>
      </c>
      <c r="AC23" s="22">
        <f t="shared" si="3"/>
        <v>13.17826358240881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56</v>
      </c>
      <c r="AG23" s="12">
        <f>VLOOKUP(A23,'Données projet'!$A$61:$I$81,9,0)</f>
        <v>2.8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56</v>
      </c>
      <c r="AJ23" s="13">
        <f>AI23*VLOOKUP('Données projet'!$B$10,Paramètres!$A$1:$I$89,3,0)*VLOOKUP('Données projet'!$B$10,Paramètres!$A$1:$I$89,5,0)</f>
        <v>41.059200000000004</v>
      </c>
      <c r="AK23" s="13">
        <f t="shared" si="35"/>
        <v>12.278959527914743</v>
      </c>
      <c r="AL23" s="20">
        <f t="shared" si="4"/>
        <v>92.897294511118176</v>
      </c>
      <c r="AM23" s="59">
        <f t="shared" si="5"/>
        <v>374.0084056222293</v>
      </c>
      <c r="AN23" s="59">
        <f ca="1">AVERAGE(OFFSET($AM$3,0,0,'Données projet'!$E$10+1,1))-AVERAGE(OFFSET($H$3,0,0,'Données projet'!$E$10+1,1))</f>
        <v>464.3681853739115</v>
      </c>
      <c r="AO23" s="59">
        <f t="shared" si="36"/>
        <v>272.97841038165217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63.647999999999996</v>
      </c>
      <c r="BF23" s="13">
        <f t="shared" si="37"/>
        <v>18.087405707268363</v>
      </c>
      <c r="BG23" s="20">
        <f t="shared" si="7"/>
        <v>142.35583160682572</v>
      </c>
      <c r="BH23" s="59">
        <f t="shared" si="8"/>
        <v>423.46694271793683</v>
      </c>
      <c r="BI23" s="59">
        <f ca="1">AVERAGE(OFFSET($BH$3,0,0,'Données projet'!$E$11+1,1))-AVERAGE(OFFSET($H$3,0,0,'Données projet'!$E$11+1,1))</f>
        <v>299.10536994156814</v>
      </c>
      <c r="BJ23" s="59">
        <f t="shared" si="38"/>
        <v>292.57799203101769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423.46694271793683</v>
      </c>
      <c r="CD23" s="59">
        <f ca="1">AVERAGE(OFFSET($CC$3,0,0,'Données projet'!$E$12+1,1))-AVERAGE(OFFSET($H$3,0,0,'Données projet'!$E$12+1,1))</f>
        <v>299.10536994156814</v>
      </c>
      <c r="CE23" s="59">
        <f t="shared" si="40"/>
        <v>292.57799203101769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72.384</v>
      </c>
      <c r="CV23" s="13">
        <f t="shared" si="41"/>
        <v>20.264329923804397</v>
      </c>
      <c r="CW23" s="20">
        <f t="shared" si="13"/>
        <v>161.362507950626</v>
      </c>
      <c r="CX23" s="59">
        <f t="shared" si="14"/>
        <v>442.47361906173717</v>
      </c>
      <c r="CY23" s="59">
        <f ca="1">AVERAGE(OFFSET($CX$3,0,0,'Données projet'!$E$13+1,1))-AVERAGE(OFFSET($H$3,0,0,'Données projet'!$E$13+1,1))</f>
        <v>528.15559695545812</v>
      </c>
      <c r="CZ23" s="59">
        <f t="shared" si="42"/>
        <v>276.26988364830532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81.12</v>
      </c>
      <c r="DQ23" s="13">
        <f t="shared" si="43"/>
        <v>22.410807975569174</v>
      </c>
      <c r="DR23" s="20">
        <f t="shared" si="16"/>
        <v>180.31615722411632</v>
      </c>
      <c r="DS23" s="59">
        <f t="shared" si="17"/>
        <v>461.4272683352275</v>
      </c>
      <c r="DT23" s="59">
        <f ca="1">AVERAGE(OFFSET($DS$3,0,0,'Données projet'!$E$14+1,1))-AVERAGE(OFFSET($H$3,0,0,'Données projet'!$E$14+1,1))</f>
        <v>586.50020405958992</v>
      </c>
      <c r="DU23" s="59">
        <f t="shared" si="44"/>
        <v>304.44184537595294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80</v>
      </c>
      <c r="EH23" s="12">
        <f>VLOOKUP(A23,'Données projet'!$A$191:$I$211,9,0)</f>
        <v>11.6</v>
      </c>
      <c r="EI23" s="12">
        <f t="array" ref="EI23">INDEX(EH:EH,MIN(IF(ISNUMBER(EH23:EH219),ROW(EH23:EH219),"")))</f>
        <v>11.6</v>
      </c>
      <c r="EJ23" s="12">
        <f>IF('Données projet'!$A$192&gt;35,EJ22+EI23-ER22,IF(A23&lt;'Données projet'!$A$192,$EG$205^A23,IF(A23='Données projet'!$A$192,'Données projet'!$B$192,EJ22+EI23-ER22)))</f>
        <v>80</v>
      </c>
      <c r="EK23" s="17">
        <f>EJ23*VLOOKUP('Données projet'!$B$15,Paramètres!$A$1:$I$89,3,0)*VLOOKUP('Données projet'!$B$15,Paramètres!$A$1:$I$89,5,0)</f>
        <v>77.376000000000005</v>
      </c>
      <c r="EL23" s="13">
        <f t="shared" si="45"/>
        <v>21.494362519405076</v>
      </c>
      <c r="EM23" s="20">
        <f t="shared" si="19"/>
        <v>172.19921472129715</v>
      </c>
      <c r="EN23" s="59">
        <f t="shared" si="20"/>
        <v>453.3103258324083</v>
      </c>
      <c r="EO23" s="59">
        <f ca="1">AVERAGE(OFFSET($EN$3,0,0,'Données projet'!$E$15+1,1))-AVERAGE(OFFSET($H$3,0,0,'Données projet'!$E$15+1,1))</f>
        <v>355.72173590705142</v>
      </c>
      <c r="EP23" s="59">
        <f t="shared" si="46"/>
        <v>346.30980704469363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80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80</v>
      </c>
      <c r="FF23" s="17">
        <f>FE23*VLOOKUP('Données projet'!$B$16,Paramètres!$A$1:$I$89,3,0)*VLOOKUP('Données projet'!$B$16,Paramètres!$A$1:$I$89,5,0)</f>
        <v>64.896000000000001</v>
      </c>
      <c r="FG23" s="13">
        <f t="shared" si="47"/>
        <v>18.400423846102964</v>
      </c>
      <c r="FH23" s="20">
        <f t="shared" si="22"/>
        <v>145.07460486529598</v>
      </c>
      <c r="FI23" s="59">
        <f t="shared" si="23"/>
        <v>426.1857159764071</v>
      </c>
      <c r="FJ23" s="59">
        <f ca="1">AVERAGE(OFFSET($FI$3,0,0,'Données projet'!$E$16+1,1))-AVERAGE(OFFSET($H$3,0,0,'Données projet'!$E$16+1,1))</f>
        <v>304.26232113495314</v>
      </c>
      <c r="FK23" s="59">
        <f t="shared" si="48"/>
        <v>297.47246687305056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11.4</v>
      </c>
      <c r="N24" s="13">
        <f>IF('Données projet'!$A$36&gt;35,N23+M24-V23,IF(A24&lt;'Données projet'!$A$36,$K$205^A24,IF(A24='Données projet'!$A$36,'Données projet'!$B$36,N23+M24-V23)))</f>
        <v>99.399999999999977</v>
      </c>
      <c r="O24" s="13">
        <f>N24*VLOOKUP('Données projet'!$B$9,Paramètres!$A$1:$I$89,3,0)*VLOOKUP('Données projet'!$B$9,Paramètres!$A$1:$I$89,5,0)</f>
        <v>86.83583999999999</v>
      </c>
      <c r="P24" s="13">
        <f t="shared" si="33"/>
        <v>23.800523515695954</v>
      </c>
      <c r="Q24" s="20">
        <f t="shared" si="2"/>
        <v>192.69166645650375</v>
      </c>
      <c r="R24" s="59">
        <f t="shared" si="0"/>
        <v>475.02499978983707</v>
      </c>
      <c r="S24" s="59">
        <f ca="1">AVERAGE(OFFSET($R$3,0,0,'Données projet'!$E$9+1,1))-AVERAGE(OFFSET($H$3,0,0,'Données projet'!$E$9+1,1))</f>
        <v>381.72225529388083</v>
      </c>
      <c r="T24" s="59">
        <f t="shared" si="34"/>
        <v>360.05900046417361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2.3613226225450163</v>
      </c>
      <c r="AA24" s="21">
        <f>EXP(-LN(2)/25)*AA23+(1-EXP(-LN(2)/25))/(LN(2)/25)*Calculateur!V24*Calculateur!X24*VLOOKUP('Données projet'!$B$9,Paramètres!$A$1:$I$89,3,0)*0.475*44/12</f>
        <v>3.5002002055949584</v>
      </c>
      <c r="AB24" s="21">
        <f>EXP(-LN(2)/2)*AB23+(1-EXP(-LN(2)/2))/(LN(2)/2)*V24*Y24*VLOOKUP('Données projet'!$B$9,Paramètres!$A$1:$I$89,3,0)*0.475*44/12</f>
        <v>5.0707380203455843</v>
      </c>
      <c r="AC24" s="22">
        <f t="shared" si="3"/>
        <v>10.932260848485559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67</v>
      </c>
      <c r="AJ24" s="13">
        <f>AI24*VLOOKUP('Données projet'!$B$10,Paramètres!$A$1:$I$89,3,0)*VLOOKUP('Données projet'!$B$10,Paramètres!$A$1:$I$89,5,0)</f>
        <v>49.124400000000001</v>
      </c>
      <c r="AK24" s="13">
        <f t="shared" si="35"/>
        <v>14.38740016036772</v>
      </c>
      <c r="AL24" s="20">
        <f t="shared" si="4"/>
        <v>110.61638527930711</v>
      </c>
      <c r="AM24" s="59">
        <f t="shared" si="5"/>
        <v>392.94971861264042</v>
      </c>
      <c r="AN24" s="59">
        <f ca="1">AVERAGE(OFFSET($AM$3,0,0,'Données projet'!$E$10+1,1))-AVERAGE(OFFSET($H$3,0,0,'Données projet'!$E$10+1,1))</f>
        <v>464.3681853739115</v>
      </c>
      <c r="AO24" s="59">
        <f t="shared" si="36"/>
        <v>272.97841038165217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51.395759999999996</v>
      </c>
      <c r="BF24" s="13">
        <f t="shared" si="37"/>
        <v>14.973641136922506</v>
      </c>
      <c r="BG24" s="20">
        <f t="shared" si="7"/>
        <v>115.59337364680668</v>
      </c>
      <c r="BH24" s="59">
        <f t="shared" si="8"/>
        <v>397.92670698014001</v>
      </c>
      <c r="BI24" s="59">
        <f ca="1">AVERAGE(OFFSET($BH$3,0,0,'Données projet'!$E$11+1,1))-AVERAGE(OFFSET($H$3,0,0,'Données projet'!$E$11+1,1))</f>
        <v>299.10536994156814</v>
      </c>
      <c r="BJ24" s="59">
        <f t="shared" si="38"/>
        <v>292.57799203101769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397.92670698014001</v>
      </c>
      <c r="CD24" s="59">
        <f ca="1">AVERAGE(OFFSET($CC$3,0,0,'Données projet'!$E$12+1,1))-AVERAGE(OFFSET($H$3,0,0,'Données projet'!$E$12+1,1))</f>
        <v>299.10536994156814</v>
      </c>
      <c r="CE24" s="59">
        <f t="shared" si="40"/>
        <v>292.57799203101769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</v>
      </c>
      <c r="CT24" s="12">
        <f>IF('Données projet'!$A$140&gt;35,CT23+CS24-DB23,IF(A24&lt;'Données projet'!$A$140,$CQ$205^A24,IF(A24='Données projet'!$A$140,'Données projet'!$B$140,CT23+CS24-DB23)))</f>
        <v>84</v>
      </c>
      <c r="CU24" s="17">
        <f>CT24*VLOOKUP('Données projet'!$B$13,Paramètres!$A$1:$I$89,3,0)*VLOOKUP('Données projet'!$B$13,Paramètres!$A$1:$I$89,5,0)</f>
        <v>76.003200000000007</v>
      </c>
      <c r="CV24" s="13">
        <f t="shared" si="41"/>
        <v>21.157049992000456</v>
      </c>
      <c r="CW24" s="20">
        <f t="shared" si="13"/>
        <v>169.22076873606747</v>
      </c>
      <c r="CX24" s="59">
        <f t="shared" si="14"/>
        <v>451.55410206940076</v>
      </c>
      <c r="CY24" s="59">
        <f ca="1">AVERAGE(OFFSET($CX$3,0,0,'Données projet'!$E$13+1,1))-AVERAGE(OFFSET($H$3,0,0,'Données projet'!$E$13+1,1))</f>
        <v>528.15559695545812</v>
      </c>
      <c r="CZ24" s="59">
        <f t="shared" si="42"/>
        <v>276.26988364830532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</v>
      </c>
      <c r="DO24" s="12">
        <f>IF('Données projet'!$A$166&gt;35,DO23+DN24-DW23,IF(A24&lt;'Données projet'!$A$166,$DL$205^A24,IF(A24='Données projet'!$A$166,'Données projet'!$B$166,DO23+DN24-DW23)))</f>
        <v>84</v>
      </c>
      <c r="DP24" s="17">
        <f>DO24*VLOOKUP('Données projet'!$B$14,Paramètres!$A$1:$I$89,3,0)*VLOOKUP('Données projet'!$B$14,Paramètres!$A$1:$I$89,5,0)</f>
        <v>85.176000000000002</v>
      </c>
      <c r="DQ24" s="13">
        <f t="shared" si="43"/>
        <v>23.398088487656441</v>
      </c>
      <c r="DR24" s="20">
        <f t="shared" si="16"/>
        <v>189.09987078266829</v>
      </c>
      <c r="DS24" s="59">
        <f t="shared" si="17"/>
        <v>471.4332041160016</v>
      </c>
      <c r="DT24" s="59">
        <f ca="1">AVERAGE(OFFSET($DS$3,0,0,'Données projet'!$E$14+1,1))-AVERAGE(OFFSET($H$3,0,0,'Données projet'!$E$14+1,1))</f>
        <v>586.50020405958992</v>
      </c>
      <c r="DU24" s="59">
        <f t="shared" si="44"/>
        <v>304.44184537595294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12.6</v>
      </c>
      <c r="EJ24" s="12">
        <f>IF('Données projet'!$A$192&gt;35,EJ23+EI24-ER23,IF(A24&lt;'Données projet'!$A$192,$EG$205^A24,IF(A24='Données projet'!$A$192,'Données projet'!$B$192,EJ23+EI24-ER23)))</f>
        <v>64.599999999999994</v>
      </c>
      <c r="EK24" s="17">
        <f>EJ24*VLOOKUP('Données projet'!$B$15,Paramètres!$A$1:$I$89,3,0)*VLOOKUP('Données projet'!$B$15,Paramètres!$A$1:$I$89,5,0)</f>
        <v>62.481120000000004</v>
      </c>
      <c r="EL24" s="13">
        <f t="shared" si="45"/>
        <v>17.794087004039255</v>
      </c>
      <c r="EM24" s="20">
        <f t="shared" si="19"/>
        <v>139.81265219870173</v>
      </c>
      <c r="EN24" s="59">
        <f t="shared" si="20"/>
        <v>422.14598553203507</v>
      </c>
      <c r="EO24" s="59">
        <f ca="1">AVERAGE(OFFSET($EN$3,0,0,'Données projet'!$E$15+1,1))-AVERAGE(OFFSET($H$3,0,0,'Données projet'!$E$15+1,1))</f>
        <v>355.72173590705142</v>
      </c>
      <c r="EP24" s="59">
        <f t="shared" si="46"/>
        <v>346.30980704469363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64.599999999999994</v>
      </c>
      <c r="FF24" s="17">
        <f>FE24*VLOOKUP('Données projet'!$B$16,Paramètres!$A$1:$I$89,3,0)*VLOOKUP('Données projet'!$B$16,Paramètres!$A$1:$I$89,5,0)</f>
        <v>52.40352</v>
      </c>
      <c r="FG24" s="13">
        <f t="shared" si="47"/>
        <v>15.232772897226488</v>
      </c>
      <c r="FH24" s="20">
        <f t="shared" si="22"/>
        <v>117.79987679600281</v>
      </c>
      <c r="FI24" s="59">
        <f t="shared" si="23"/>
        <v>400.13321012933613</v>
      </c>
      <c r="FJ24" s="59">
        <f ca="1">AVERAGE(OFFSET($FI$3,0,0,'Données projet'!$E$16+1,1))-AVERAGE(OFFSET($H$3,0,0,'Données projet'!$E$16+1,1))</f>
        <v>304.26232113495314</v>
      </c>
      <c r="FK24" s="59">
        <f t="shared" si="48"/>
        <v>297.47246687305056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11.4</v>
      </c>
      <c r="N25" s="13">
        <f>IF('Données projet'!$A$36&gt;35,N24+M25-V24,IF(A25&lt;'Données projet'!$A$36,$K$205^A25,IF(A25='Données projet'!$A$36,'Données projet'!$B$36,N24+M25-V24)))</f>
        <v>110.79999999999998</v>
      </c>
      <c r="O25" s="13">
        <f>N25*VLOOKUP('Données projet'!$B$9,Paramètres!$A$1:$I$89,3,0)*VLOOKUP('Données projet'!$B$9,Paramètres!$A$1:$I$89,5,0)</f>
        <v>96.794879999999992</v>
      </c>
      <c r="P25" s="13">
        <f t="shared" si="33"/>
        <v>26.196980264498734</v>
      </c>
      <c r="Q25" s="20">
        <f t="shared" si="2"/>
        <v>214.21082329400193</v>
      </c>
      <c r="R25" s="59">
        <f t="shared" si="0"/>
        <v>497.76637884955744</v>
      </c>
      <c r="S25" s="59">
        <f ca="1">AVERAGE(OFFSET($R$3,0,0,'Données projet'!$E$9+1,1))-AVERAGE(OFFSET($H$3,0,0,'Données projet'!$E$9+1,1))</f>
        <v>381.72225529388083</v>
      </c>
      <c r="T25" s="59">
        <f t="shared" si="34"/>
        <v>360.05900046417361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2.3150185261814942</v>
      </c>
      <c r="AA25" s="21">
        <f>EXP(-LN(2)/25)*AA24+(1-EXP(-LN(2)/25))/(LN(2)/25)*Calculateur!V25*Calculateur!X25*VLOOKUP('Données projet'!$B$9,Paramètres!$A$1:$I$89,3,0)*0.475*44/12</f>
        <v>3.4044870469054351</v>
      </c>
      <c r="AB25" s="21">
        <f>EXP(-LN(2)/2)*AB24+(1-EXP(-LN(2)/2))/(LN(2)/2)*V25*Y25*VLOOKUP('Données projet'!$B$9,Paramètres!$A$1:$I$89,3,0)*0.475*44/12</f>
        <v>3.5855532398068126</v>
      </c>
      <c r="AC25" s="22">
        <f t="shared" si="3"/>
        <v>9.3050588128937406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78</v>
      </c>
      <c r="AJ25" s="13">
        <f>AI25*VLOOKUP('Données projet'!$B$10,Paramètres!$A$1:$I$89,3,0)*VLOOKUP('Données projet'!$B$10,Paramètres!$A$1:$I$89,5,0)</f>
        <v>57.189599999999999</v>
      </c>
      <c r="AK25" s="13">
        <f t="shared" si="35"/>
        <v>16.455740048444721</v>
      </c>
      <c r="AL25" s="20">
        <f t="shared" si="4"/>
        <v>128.2656339177079</v>
      </c>
      <c r="AM25" s="59">
        <f t="shared" si="5"/>
        <v>411.82118947326342</v>
      </c>
      <c r="AN25" s="59">
        <f ca="1">AVERAGE(OFFSET($AM$3,0,0,'Données projet'!$E$10+1,1))-AVERAGE(OFFSET($H$3,0,0,'Données projet'!$E$10+1,1))</f>
        <v>464.3681853739115</v>
      </c>
      <c r="AO25" s="59">
        <f t="shared" si="36"/>
        <v>272.97841038165217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61.42031999999999</v>
      </c>
      <c r="BF25" s="13">
        <f t="shared" si="37"/>
        <v>17.526880037631354</v>
      </c>
      <c r="BG25" s="20">
        <f t="shared" si="7"/>
        <v>137.4997067322079</v>
      </c>
      <c r="BH25" s="59">
        <f t="shared" si="8"/>
        <v>421.05526228776341</v>
      </c>
      <c r="BI25" s="59">
        <f ca="1">AVERAGE(OFFSET($BH$3,0,0,'Données projet'!$E$11+1,1))-AVERAGE(OFFSET($H$3,0,0,'Données projet'!$E$11+1,1))</f>
        <v>299.10536994156814</v>
      </c>
      <c r="BJ25" s="59">
        <f t="shared" si="38"/>
        <v>292.57799203101769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421.05526228776341</v>
      </c>
      <c r="CD25" s="59">
        <f ca="1">AVERAGE(OFFSET($CC$3,0,0,'Données projet'!$E$12+1,1))-AVERAGE(OFFSET($H$3,0,0,'Données projet'!$E$12+1,1))</f>
        <v>299.10536994156814</v>
      </c>
      <c r="CE25" s="59">
        <f t="shared" si="40"/>
        <v>292.57799203101769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</v>
      </c>
      <c r="CT25" s="12">
        <f>IF('Données projet'!$A$140&gt;35,CT24+CS25-DB24,IF(A25&lt;'Données projet'!$A$140,$CQ$205^A25,IF(A25='Données projet'!$A$140,'Données projet'!$B$140,CT24+CS25-DB24)))</f>
        <v>88</v>
      </c>
      <c r="CU25" s="17">
        <f>CT25*VLOOKUP('Données projet'!$B$13,Paramètres!$A$1:$I$89,3,0)*VLOOKUP('Données projet'!$B$13,Paramètres!$A$1:$I$89,5,0)</f>
        <v>79.622399999999999</v>
      </c>
      <c r="CV25" s="13">
        <f t="shared" si="41"/>
        <v>22.044833558880924</v>
      </c>
      <c r="CW25" s="20">
        <f t="shared" si="13"/>
        <v>177.07043178171759</v>
      </c>
      <c r="CX25" s="59">
        <f t="shared" si="14"/>
        <v>460.62598733727316</v>
      </c>
      <c r="CY25" s="59">
        <f ca="1">AVERAGE(OFFSET($CX$3,0,0,'Données projet'!$E$13+1,1))-AVERAGE(OFFSET($H$3,0,0,'Données projet'!$E$13+1,1))</f>
        <v>528.15559695545812</v>
      </c>
      <c r="CZ25" s="59">
        <f t="shared" si="42"/>
        <v>276.26988364830532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</v>
      </c>
      <c r="DO25" s="12">
        <f>IF('Données projet'!$A$166&gt;35,DO24+DN25-DW24,IF(A25&lt;'Données projet'!$A$166,$DL$205^A25,IF(A25='Données projet'!$A$166,'Données projet'!$B$166,DO24+DN25-DW24)))</f>
        <v>88</v>
      </c>
      <c r="DP25" s="17">
        <f>DO25*VLOOKUP('Données projet'!$B$14,Paramètres!$A$1:$I$89,3,0)*VLOOKUP('Données projet'!$B$14,Paramètres!$A$1:$I$89,5,0)</f>
        <v>89.232000000000014</v>
      </c>
      <c r="DQ25" s="13">
        <f t="shared" si="43"/>
        <v>24.379909604665222</v>
      </c>
      <c r="DR25" s="20">
        <f t="shared" si="16"/>
        <v>197.87407589479196</v>
      </c>
      <c r="DS25" s="59">
        <f t="shared" si="17"/>
        <v>481.42963145034753</v>
      </c>
      <c r="DT25" s="59">
        <f ca="1">AVERAGE(OFFSET($DS$3,0,0,'Données projet'!$E$14+1,1))-AVERAGE(OFFSET($H$3,0,0,'Données projet'!$E$14+1,1))</f>
        <v>586.50020405958992</v>
      </c>
      <c r="DU25" s="59">
        <f t="shared" si="44"/>
        <v>304.44184537595294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12.6</v>
      </c>
      <c r="EJ25" s="12">
        <f>IF('Données projet'!$A$192&gt;35,EJ24+EI25-ER24,IF(A25&lt;'Données projet'!$A$192,$EG$205^A25,IF(A25='Données projet'!$A$192,'Données projet'!$B$192,EJ24+EI25-ER24)))</f>
        <v>77.199999999999989</v>
      </c>
      <c r="EK25" s="17">
        <f>EJ25*VLOOKUP('Données projet'!$B$15,Paramètres!$A$1:$I$89,3,0)*VLOOKUP('Données projet'!$B$15,Paramètres!$A$1:$I$89,5,0)</f>
        <v>74.667839999999984</v>
      </c>
      <c r="EL25" s="13">
        <f t="shared" si="45"/>
        <v>20.8282558295016</v>
      </c>
      <c r="EM25" s="20">
        <f t="shared" si="19"/>
        <v>166.32236690304859</v>
      </c>
      <c r="EN25" s="59">
        <f t="shared" si="20"/>
        <v>449.87792245860413</v>
      </c>
      <c r="EO25" s="59">
        <f ca="1">AVERAGE(OFFSET($EN$3,0,0,'Données projet'!$E$15+1,1))-AVERAGE(OFFSET($H$3,0,0,'Données projet'!$E$15+1,1))</f>
        <v>355.72173590705142</v>
      </c>
      <c r="EP25" s="59">
        <f t="shared" si="46"/>
        <v>346.30980704469363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77.199999999999989</v>
      </c>
      <c r="FF25" s="17">
        <f>FE25*VLOOKUP('Données projet'!$B$16,Paramètres!$A$1:$I$89,3,0)*VLOOKUP('Données projet'!$B$16,Paramètres!$A$1:$I$89,5,0)</f>
        <v>62.624639999999999</v>
      </c>
      <c r="FG25" s="13">
        <f t="shared" si="47"/>
        <v>17.830197796836153</v>
      </c>
      <c r="FH25" s="20">
        <f t="shared" si="22"/>
        <v>140.12550916282296</v>
      </c>
      <c r="FI25" s="59">
        <f t="shared" si="23"/>
        <v>423.68106471837848</v>
      </c>
      <c r="FJ25" s="59">
        <f ca="1">AVERAGE(OFFSET($FI$3,0,0,'Données projet'!$E$16+1,1))-AVERAGE(OFFSET($H$3,0,0,'Données projet'!$E$16+1,1))</f>
        <v>304.26232113495314</v>
      </c>
      <c r="FK25" s="59">
        <f t="shared" si="48"/>
        <v>297.47246687305056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11.4</v>
      </c>
      <c r="N26" s="13">
        <f>IF('Données projet'!$A$36&gt;35,N25+M26-V25,IF(A26&lt;'Données projet'!$A$36,$K$205^A26,IF(A26='Données projet'!$A$36,'Données projet'!$B$36,N25+M26-V25)))</f>
        <v>122.19999999999999</v>
      </c>
      <c r="O26" s="13">
        <f>N26*VLOOKUP('Données projet'!$B$9,Paramètres!$A$1:$I$89,3,0)*VLOOKUP('Données projet'!$B$9,Paramètres!$A$1:$I$89,5,0)</f>
        <v>106.75392000000001</v>
      </c>
      <c r="P26" s="13">
        <f t="shared" si="33"/>
        <v>28.564854626855976</v>
      </c>
      <c r="Q26" s="20">
        <f t="shared" si="2"/>
        <v>235.68019914177421</v>
      </c>
      <c r="R26" s="59">
        <f t="shared" si="0"/>
        <v>520.45797691955204</v>
      </c>
      <c r="S26" s="59">
        <f ca="1">AVERAGE(OFFSET($R$3,0,0,'Données projet'!$E$9+1,1))-AVERAGE(OFFSET($H$3,0,0,'Données projet'!$E$9+1,1))</f>
        <v>381.72225529388083</v>
      </c>
      <c r="T26" s="59">
        <f t="shared" si="34"/>
        <v>360.05900046417361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2.2696224249049504</v>
      </c>
      <c r="AA26" s="21">
        <f>EXP(-LN(2)/25)*AA25+(1-EXP(-LN(2)/25))/(LN(2)/25)*Calculateur!V26*Calculateur!X26*VLOOKUP('Données projet'!$B$9,Paramètres!$A$1:$I$89,3,0)*0.475*44/12</f>
        <v>3.3113911695736133</v>
      </c>
      <c r="AB26" s="21">
        <f>EXP(-LN(2)/2)*AB25+(1-EXP(-LN(2)/2))/(LN(2)/2)*V26*Y26*VLOOKUP('Données projet'!$B$9,Paramètres!$A$1:$I$89,3,0)*0.475*44/12</f>
        <v>2.5353690101727926</v>
      </c>
      <c r="AC26" s="22">
        <f t="shared" si="3"/>
        <v>8.1163826046513563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89</v>
      </c>
      <c r="AJ26" s="13">
        <f>AI26*VLOOKUP('Données projet'!$B$10,Paramètres!$A$1:$I$89,3,0)*VLOOKUP('Données projet'!$B$10,Paramètres!$A$1:$I$89,5,0)</f>
        <v>65.254800000000003</v>
      </c>
      <c r="AK26" s="13">
        <f t="shared" si="35"/>
        <v>18.490286358600809</v>
      </c>
      <c r="AL26" s="20">
        <f t="shared" si="4"/>
        <v>145.85602540789642</v>
      </c>
      <c r="AM26" s="59">
        <f t="shared" si="5"/>
        <v>430.6338031856742</v>
      </c>
      <c r="AN26" s="59">
        <f ca="1">AVERAGE(OFFSET($AM$3,0,0,'Données projet'!$E$10+1,1))-AVERAGE(OFFSET($H$3,0,0,'Données projet'!$E$10+1,1))</f>
        <v>464.3681853739115</v>
      </c>
      <c r="AO26" s="59">
        <f t="shared" si="36"/>
        <v>272.97841038165217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71.444879999999998</v>
      </c>
      <c r="BF26" s="13">
        <f t="shared" si="37"/>
        <v>20.03184442542841</v>
      </c>
      <c r="BG26" s="20">
        <f t="shared" si="7"/>
        <v>159.32196170762117</v>
      </c>
      <c r="BH26" s="59">
        <f t="shared" si="8"/>
        <v>444.09973948539891</v>
      </c>
      <c r="BI26" s="59">
        <f ca="1">AVERAGE(OFFSET($BH$3,0,0,'Données projet'!$E$11+1,1))-AVERAGE(OFFSET($H$3,0,0,'Données projet'!$E$11+1,1))</f>
        <v>299.10536994156814</v>
      </c>
      <c r="BJ26" s="59">
        <f t="shared" si="38"/>
        <v>292.57799203101769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444.09973948539891</v>
      </c>
      <c r="CD26" s="59">
        <f ca="1">AVERAGE(OFFSET($CC$3,0,0,'Données projet'!$E$12+1,1))-AVERAGE(OFFSET($H$3,0,0,'Données projet'!$E$12+1,1))</f>
        <v>299.10536994156814</v>
      </c>
      <c r="CE26" s="59">
        <f t="shared" si="40"/>
        <v>292.57799203101769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</v>
      </c>
      <c r="CT26" s="12">
        <f>IF('Données projet'!$A$140&gt;35,CT25+CS26-DB25,IF(A26&lt;'Données projet'!$A$140,$CQ$205^A26,IF(A26='Données projet'!$A$140,'Données projet'!$B$140,CT25+CS26-DB25)))</f>
        <v>92</v>
      </c>
      <c r="CU26" s="17">
        <f>CT26*VLOOKUP('Données projet'!$B$13,Paramètres!$A$1:$I$89,3,0)*VLOOKUP('Données projet'!$B$13,Paramètres!$A$1:$I$89,5,0)</f>
        <v>83.241600000000005</v>
      </c>
      <c r="CV26" s="13">
        <f t="shared" si="41"/>
        <v>22.927930643846508</v>
      </c>
      <c r="CW26" s="20">
        <f t="shared" si="13"/>
        <v>184.91193253803269</v>
      </c>
      <c r="CX26" s="59">
        <f t="shared" si="14"/>
        <v>469.68971031581043</v>
      </c>
      <c r="CY26" s="59">
        <f ca="1">AVERAGE(OFFSET($CX$3,0,0,'Données projet'!$E$13+1,1))-AVERAGE(OFFSET($H$3,0,0,'Données projet'!$E$13+1,1))</f>
        <v>528.15559695545812</v>
      </c>
      <c r="CZ26" s="59">
        <f t="shared" si="42"/>
        <v>276.26988364830532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</v>
      </c>
      <c r="DO26" s="12">
        <f>IF('Données projet'!$A$166&gt;35,DO25+DN26-DW25,IF(A26&lt;'Données projet'!$A$166,$DL$205^A26,IF(A26='Données projet'!$A$166,'Données projet'!$B$166,DO25+DN26-DW25)))</f>
        <v>92</v>
      </c>
      <c r="DP26" s="17">
        <f>DO26*VLOOKUP('Données projet'!$B$14,Paramètres!$A$1:$I$89,3,0)*VLOOKUP('Données projet'!$B$14,Paramètres!$A$1:$I$89,5,0)</f>
        <v>93.288000000000011</v>
      </c>
      <c r="DQ26" s="13">
        <f t="shared" si="43"/>
        <v>25.356547829040977</v>
      </c>
      <c r="DR26" s="20">
        <f t="shared" si="16"/>
        <v>206.63925413557971</v>
      </c>
      <c r="DS26" s="59">
        <f t="shared" si="17"/>
        <v>491.4170319133575</v>
      </c>
      <c r="DT26" s="59">
        <f ca="1">AVERAGE(OFFSET($DS$3,0,0,'Données projet'!$E$14+1,1))-AVERAGE(OFFSET($H$3,0,0,'Données projet'!$E$14+1,1))</f>
        <v>586.50020405958992</v>
      </c>
      <c r="DU26" s="59">
        <f t="shared" si="44"/>
        <v>304.44184537595294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12.6</v>
      </c>
      <c r="EJ26" s="12">
        <f>IF('Données projet'!$A$192&gt;35,EJ25+EI26-ER25,IF(A26&lt;'Données projet'!$A$192,$EG$205^A26,IF(A26='Données projet'!$A$192,'Données projet'!$B$192,EJ25+EI26-ER25)))</f>
        <v>89.799999999999983</v>
      </c>
      <c r="EK26" s="17">
        <f>EJ26*VLOOKUP('Données projet'!$B$15,Paramètres!$A$1:$I$89,3,0)*VLOOKUP('Données projet'!$B$15,Paramètres!$A$1:$I$89,5,0)</f>
        <v>86.854559999999978</v>
      </c>
      <c r="EL26" s="13">
        <f t="shared" si="45"/>
        <v>23.805057119908486</v>
      </c>
      <c r="EM26" s="20">
        <f t="shared" si="19"/>
        <v>192.73216648384053</v>
      </c>
      <c r="EN26" s="59">
        <f t="shared" si="20"/>
        <v>477.50994426161833</v>
      </c>
      <c r="EO26" s="59">
        <f ca="1">AVERAGE(OFFSET($EN$3,0,0,'Données projet'!$E$15+1,1))-AVERAGE(OFFSET($H$3,0,0,'Données projet'!$E$15+1,1))</f>
        <v>355.72173590705142</v>
      </c>
      <c r="EP26" s="59">
        <f t="shared" si="46"/>
        <v>346.30980704469363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89.799999999999983</v>
      </c>
      <c r="FF26" s="17">
        <f>FE26*VLOOKUP('Données projet'!$B$16,Paramètres!$A$1:$I$89,3,0)*VLOOKUP('Données projet'!$B$16,Paramètres!$A$1:$I$89,5,0)</f>
        <v>72.845759999999984</v>
      </c>
      <c r="FG26" s="13">
        <f t="shared" si="47"/>
        <v>20.378512751497539</v>
      </c>
      <c r="FH26" s="20">
        <f t="shared" si="22"/>
        <v>162.36560837552486</v>
      </c>
      <c r="FI26" s="59">
        <f t="shared" si="23"/>
        <v>447.14338615330263</v>
      </c>
      <c r="FJ26" s="59">
        <f ca="1">AVERAGE(OFFSET($FI$3,0,0,'Données projet'!$E$16+1,1))-AVERAGE(OFFSET($H$3,0,0,'Données projet'!$E$16+1,1))</f>
        <v>304.26232113495314</v>
      </c>
      <c r="FK26" s="59">
        <f t="shared" si="48"/>
        <v>297.47246687305056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11.4</v>
      </c>
      <c r="N27" s="13">
        <f>IF('Données projet'!$A$36&gt;35,N26+M27-V26,IF(A27&lt;'Données projet'!$A$36,$K$205^A27,IF(A27='Données projet'!$A$36,'Données projet'!$B$36,N26+M27-V26)))</f>
        <v>133.6</v>
      </c>
      <c r="O27" s="13">
        <f>N27*VLOOKUP('Données projet'!$B$9,Paramètres!$A$1:$I$89,3,0)*VLOOKUP('Données projet'!$B$9,Paramètres!$A$1:$I$89,5,0)</f>
        <v>116.71296000000001</v>
      </c>
      <c r="P27" s="13">
        <f t="shared" si="33"/>
        <v>30.90711634982064</v>
      </c>
      <c r="Q27" s="20">
        <f t="shared" si="2"/>
        <v>257.10496630927094</v>
      </c>
      <c r="R27" s="59">
        <f t="shared" si="0"/>
        <v>543.10496630927094</v>
      </c>
      <c r="S27" s="59">
        <f ca="1">AVERAGE(OFFSET($R$3,0,0,'Données projet'!$E$9+1,1))-AVERAGE(OFFSET($H$3,0,0,'Données projet'!$E$9+1,1))</f>
        <v>381.72225529388083</v>
      </c>
      <c r="T27" s="59">
        <f t="shared" si="34"/>
        <v>360.05900046417361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2.2251165134855522</v>
      </c>
      <c r="AA27" s="21">
        <f>EXP(-LN(2)/25)*AA26+(1-EXP(-LN(2)/25))/(LN(2)/25)*Calculateur!V27*Calculateur!X27*VLOOKUP('Données projet'!$B$9,Paramètres!$A$1:$I$89,3,0)*0.475*44/12</f>
        <v>3.2208410039031294</v>
      </c>
      <c r="AB27" s="21">
        <f>EXP(-LN(2)/2)*AB26+(1-EXP(-LN(2)/2))/(LN(2)/2)*V27*Y27*VLOOKUP('Données projet'!$B$9,Paramètres!$A$1:$I$89,3,0)*0.475*44/12</f>
        <v>1.7927766199034065</v>
      </c>
      <c r="AC27" s="22">
        <f t="shared" si="3"/>
        <v>7.2387341372920879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100</v>
      </c>
      <c r="AJ27" s="13">
        <f>AI27*VLOOKUP('Données projet'!$B$10,Paramètres!$A$1:$I$89,3,0)*VLOOKUP('Données projet'!$B$10,Paramètres!$A$1:$I$89,5,0)</f>
        <v>73.320000000000007</v>
      </c>
      <c r="AK27" s="13">
        <f t="shared" si="35"/>
        <v>20.495693943372068</v>
      </c>
      <c r="AL27" s="20">
        <f t="shared" si="4"/>
        <v>163.39566695137304</v>
      </c>
      <c r="AM27" s="59">
        <f t="shared" si="5"/>
        <v>449.39566695137307</v>
      </c>
      <c r="AN27" s="59">
        <f ca="1">AVERAGE(OFFSET($AM$3,0,0,'Données projet'!$E$10+1,1))-AVERAGE(OFFSET($H$3,0,0,'Données projet'!$E$10+1,1))</f>
        <v>464.3681853739115</v>
      </c>
      <c r="AO27" s="59">
        <f t="shared" si="36"/>
        <v>272.97841038165217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81.469439999999992</v>
      </c>
      <c r="BF27" s="13">
        <f t="shared" si="37"/>
        <v>22.496088365195678</v>
      </c>
      <c r="BG27" s="20">
        <f t="shared" si="7"/>
        <v>181.07329523604912</v>
      </c>
      <c r="BH27" s="59">
        <f t="shared" si="8"/>
        <v>467.07329523604915</v>
      </c>
      <c r="BI27" s="59">
        <f ca="1">AVERAGE(OFFSET($BH$3,0,0,'Données projet'!$E$11+1,1))-AVERAGE(OFFSET($H$3,0,0,'Données projet'!$E$11+1,1))</f>
        <v>299.10536994156814</v>
      </c>
      <c r="BJ27" s="59">
        <f t="shared" si="38"/>
        <v>292.57799203101769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467.07329523604915</v>
      </c>
      <c r="CD27" s="59">
        <f ca="1">AVERAGE(OFFSET($CC$3,0,0,'Données projet'!$E$12+1,1))-AVERAGE(OFFSET($H$3,0,0,'Données projet'!$E$12+1,1))</f>
        <v>299.10536994156814</v>
      </c>
      <c r="CE27" s="59">
        <f t="shared" si="40"/>
        <v>292.57799203101769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</v>
      </c>
      <c r="CT27" s="12">
        <f>IF('Données projet'!$A$140&gt;35,CT26+CS27-DB26,IF(A27&lt;'Données projet'!$A$140,$CQ$205^A27,IF(A27='Données projet'!$A$140,'Données projet'!$B$140,CT26+CS27-DB26)))</f>
        <v>96</v>
      </c>
      <c r="CU27" s="17">
        <f>CT27*VLOOKUP('Données projet'!$B$13,Paramètres!$A$1:$I$89,3,0)*VLOOKUP('Données projet'!$B$13,Paramètres!$A$1:$I$89,5,0)</f>
        <v>86.860799999999998</v>
      </c>
      <c r="CV27" s="13">
        <f t="shared" si="41"/>
        <v>23.806568296036275</v>
      </c>
      <c r="CW27" s="20">
        <f t="shared" si="13"/>
        <v>192.74566644892982</v>
      </c>
      <c r="CX27" s="59">
        <f t="shared" si="14"/>
        <v>478.7456664489298</v>
      </c>
      <c r="CY27" s="59">
        <f ca="1">AVERAGE(OFFSET($CX$3,0,0,'Données projet'!$E$13+1,1))-AVERAGE(OFFSET($H$3,0,0,'Données projet'!$E$13+1,1))</f>
        <v>528.15559695545812</v>
      </c>
      <c r="CZ27" s="59">
        <f t="shared" si="42"/>
        <v>276.26988364830532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</v>
      </c>
      <c r="DO27" s="12">
        <f>IF('Données projet'!$A$166&gt;35,DO26+DN27-DW26,IF(A27&lt;'Données projet'!$A$166,$DL$205^A27,IF(A27='Données projet'!$A$166,'Données projet'!$B$166,DO26+DN27-DW26)))</f>
        <v>96</v>
      </c>
      <c r="DP27" s="17">
        <f>DO27*VLOOKUP('Données projet'!$B$14,Paramètres!$A$1:$I$89,3,0)*VLOOKUP('Données projet'!$B$14,Paramètres!$A$1:$I$89,5,0)</f>
        <v>97.344000000000008</v>
      </c>
      <c r="DQ27" s="13">
        <f t="shared" si="43"/>
        <v>26.328254259866473</v>
      </c>
      <c r="DR27" s="20">
        <f t="shared" si="16"/>
        <v>215.3958428359341</v>
      </c>
      <c r="DS27" s="59">
        <f t="shared" si="17"/>
        <v>501.3958428359341</v>
      </c>
      <c r="DT27" s="59">
        <f ca="1">AVERAGE(OFFSET($DS$3,0,0,'Données projet'!$E$14+1,1))-AVERAGE(OFFSET($H$3,0,0,'Données projet'!$E$14+1,1))</f>
        <v>586.50020405958992</v>
      </c>
      <c r="DU27" s="59">
        <f t="shared" si="44"/>
        <v>304.44184537595294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12.6</v>
      </c>
      <c r="EJ27" s="12">
        <f>IF('Données projet'!$A$192&gt;35,EJ26+EI27-ER26,IF(A27&lt;'Données projet'!$A$192,$EG$205^A27,IF(A27='Données projet'!$A$192,'Données projet'!$B$192,EJ26+EI27-ER26)))</f>
        <v>102.39999999999998</v>
      </c>
      <c r="EK27" s="17">
        <f>EJ27*VLOOKUP('Données projet'!$B$15,Paramètres!$A$1:$I$89,3,0)*VLOOKUP('Données projet'!$B$15,Paramètres!$A$1:$I$89,5,0)</f>
        <v>99.041279999999986</v>
      </c>
      <c r="EL27" s="13">
        <f t="shared" si="45"/>
        <v>26.733467829262995</v>
      </c>
      <c r="EM27" s="20">
        <f t="shared" si="19"/>
        <v>219.05768580263302</v>
      </c>
      <c r="EN27" s="59">
        <f t="shared" si="20"/>
        <v>505.05768580263305</v>
      </c>
      <c r="EO27" s="59">
        <f ca="1">AVERAGE(OFFSET($EN$3,0,0,'Données projet'!$E$15+1,1))-AVERAGE(OFFSET($H$3,0,0,'Données projet'!$E$15+1,1))</f>
        <v>355.72173590705142</v>
      </c>
      <c r="EP27" s="59">
        <f t="shared" si="46"/>
        <v>346.30980704469363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102.39999999999998</v>
      </c>
      <c r="FF27" s="17">
        <f>FE27*VLOOKUP('Données projet'!$B$16,Paramètres!$A$1:$I$89,3,0)*VLOOKUP('Données projet'!$B$16,Paramètres!$A$1:$I$89,5,0)</f>
        <v>83.066879999999983</v>
      </c>
      <c r="FG27" s="13">
        <f t="shared" si="47"/>
        <v>22.88540255569357</v>
      </c>
      <c r="FH27" s="20">
        <f t="shared" si="22"/>
        <v>184.5335587844996</v>
      </c>
      <c r="FI27" s="59">
        <f t="shared" si="23"/>
        <v>470.53355878449963</v>
      </c>
      <c r="FJ27" s="59">
        <f ca="1">AVERAGE(OFFSET($FI$3,0,0,'Données projet'!$E$16+1,1))-AVERAGE(OFFSET($H$3,0,0,'Données projet'!$E$16+1,1))</f>
        <v>304.26232113495314</v>
      </c>
      <c r="FK27" s="59">
        <f t="shared" si="48"/>
        <v>297.47246687305056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145</v>
      </c>
      <c r="L28" s="12">
        <f>VLOOKUP(A28,'Données projet'!$A$35:$I$55,9,0)</f>
        <v>11.4</v>
      </c>
      <c r="M28" s="12">
        <f t="array" ref="M28">INDEX(L:L,MIN(IF(ISNUMBER(L28:L224),ROW(L28:L224),"")))</f>
        <v>11.4</v>
      </c>
      <c r="N28" s="13">
        <f>IF('Données projet'!$A$36&gt;35,N27+M28-V27,IF(A28&lt;'Données projet'!$A$36,$K$205^A28,IF(A28='Données projet'!$A$36,'Données projet'!$B$36,N27+M28-V27)))</f>
        <v>145</v>
      </c>
      <c r="O28" s="13">
        <f>N28*VLOOKUP('Données projet'!$B$9,Paramètres!$A$1:$I$89,3,0)*VLOOKUP('Données projet'!$B$9,Paramètres!$A$1:$I$89,5,0)</f>
        <v>126.67200000000001</v>
      </c>
      <c r="P28" s="13">
        <f t="shared" si="33"/>
        <v>33.226199426361347</v>
      </c>
      <c r="Q28" s="20">
        <f t="shared" si="2"/>
        <v>278.48936400091276</v>
      </c>
      <c r="R28" s="59">
        <f t="shared" si="0"/>
        <v>565.71158622313499</v>
      </c>
      <c r="S28" s="59">
        <f ca="1">AVERAGE(OFFSET($R$3,0,0,'Données projet'!$E$9+1,1))-AVERAGE(OFFSET($H$3,0,0,'Données projet'!$E$9+1,1))</f>
        <v>381.72225529388083</v>
      </c>
      <c r="T28" s="59">
        <f t="shared" si="34"/>
        <v>360.05900046417361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31</v>
      </c>
      <c r="W28" s="16">
        <f>IF(ISNA(VLOOKUP(A28,'Données projet'!$A$35:$I$55,5,0)),0%,VLOOKUP(A28,'Données projet'!$A$35:$I$55,5,0)*VLOOKUP('Données projet'!$B$9,Paramètres!$A$1:$I$89,7,0))</f>
        <v>0.129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6.043473291159545</v>
      </c>
      <c r="AA28" s="21">
        <f>EXP(-LN(2)/25)*AA27+(1-EXP(-LN(2)/25))/(LN(2)/25)*Calculateur!V28*Calculateur!X28*VLOOKUP('Données projet'!$B$9,Paramètres!$A$1:$I$89,3,0)*0.475*44/12</f>
        <v>5.6972894901605731</v>
      </c>
      <c r="AB28" s="21">
        <f>EXP(-LN(2)/2)*AB27+(1-EXP(-LN(2)/2))/(LN(2)/2)*V28*Y28*VLOOKUP('Données projet'!$B$9,Paramètres!$A$1:$I$89,3,0)*0.475*44/12</f>
        <v>8.9333500522595806</v>
      </c>
      <c r="AC28" s="22">
        <f t="shared" si="3"/>
        <v>20.674112833579699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111</v>
      </c>
      <c r="AG28" s="12">
        <f>VLOOKUP(A28,'Données projet'!$A$61:$I$81,9,0)</f>
        <v>11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111</v>
      </c>
      <c r="AJ28" s="13">
        <f>AI28*VLOOKUP('Données projet'!$B$10,Paramètres!$A$1:$I$89,3,0)*VLOOKUP('Données projet'!$B$10,Paramètres!$A$1:$I$89,5,0)</f>
        <v>81.385199999999998</v>
      </c>
      <c r="AK28" s="13">
        <f t="shared" si="35"/>
        <v>22.475533601501123</v>
      </c>
      <c r="AL28" s="20">
        <f t="shared" si="4"/>
        <v>180.89077768928109</v>
      </c>
      <c r="AM28" s="59">
        <f t="shared" si="5"/>
        <v>468.11299991150332</v>
      </c>
      <c r="AN28" s="59">
        <f ca="1">AVERAGE(OFFSET($AM$3,0,0,'Données projet'!$E$10+1,1))-AVERAGE(OFFSET($H$3,0,0,'Données projet'!$E$10+1,1))</f>
        <v>464.3681853739115</v>
      </c>
      <c r="AO28" s="59">
        <f t="shared" si="36"/>
        <v>272.97841038165217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91.493999999999986</v>
      </c>
      <c r="BF28" s="13">
        <f t="shared" si="37"/>
        <v>24.925195840896517</v>
      </c>
      <c r="BG28" s="20">
        <f t="shared" si="7"/>
        <v>202.76343275622807</v>
      </c>
      <c r="BH28" s="59">
        <f t="shared" si="8"/>
        <v>489.98565497845027</v>
      </c>
      <c r="BI28" s="59">
        <f ca="1">AVERAGE(OFFSET($BH$3,0,0,'Données projet'!$E$11+1,1))-AVERAGE(OFFSET($H$3,0,0,'Données projet'!$E$11+1,1))</f>
        <v>299.10536994156814</v>
      </c>
      <c r="BJ28" s="59">
        <f t="shared" si="38"/>
        <v>292.57799203101769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489.98565497845027</v>
      </c>
      <c r="CD28" s="59">
        <f ca="1">AVERAGE(OFFSET($CC$3,0,0,'Données projet'!$E$12+1,1))-AVERAGE(OFFSET($H$3,0,0,'Données projet'!$E$12+1,1))</f>
        <v>299.10536994156814</v>
      </c>
      <c r="CE28" s="59">
        <f t="shared" si="40"/>
        <v>292.57799203101769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</v>
      </c>
      <c r="CT28" s="12">
        <f>IF('Données projet'!$A$140&gt;35,CT27+CS28-DB27,IF(A28&lt;'Données projet'!$A$140,$CQ$205^A28,IF(A28='Données projet'!$A$140,'Données projet'!$B$140,CT27+CS28-DB27)))</f>
        <v>100</v>
      </c>
      <c r="CU28" s="17">
        <f>CT28*VLOOKUP('Données projet'!$B$13,Paramètres!$A$1:$I$89,3,0)*VLOOKUP('Données projet'!$B$13,Paramètres!$A$1:$I$89,5,0)</f>
        <v>90.47999999999999</v>
      </c>
      <c r="CV28" s="13">
        <f t="shared" si="41"/>
        <v>24.680953573367994</v>
      </c>
      <c r="CW28" s="20">
        <f t="shared" si="13"/>
        <v>200.57199414028256</v>
      </c>
      <c r="CX28" s="59">
        <f t="shared" si="14"/>
        <v>487.79421636250481</v>
      </c>
      <c r="CY28" s="59">
        <f ca="1">AVERAGE(OFFSET($CX$3,0,0,'Données projet'!$E$13+1,1))-AVERAGE(OFFSET($H$3,0,0,'Données projet'!$E$13+1,1))</f>
        <v>528.15559695545812</v>
      </c>
      <c r="CZ28" s="59">
        <f t="shared" si="42"/>
        <v>276.26988364830532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</v>
      </c>
      <c r="DO28" s="12">
        <f>IF('Données projet'!$A$166&gt;35,DO27+DN28-DW27,IF(A28&lt;'Données projet'!$A$166,$DL$205^A28,IF(A28='Données projet'!$A$166,'Données projet'!$B$166,DO27+DN28-DW27)))</f>
        <v>100</v>
      </c>
      <c r="DP28" s="17">
        <f>DO28*VLOOKUP('Données projet'!$B$14,Paramètres!$A$1:$I$89,3,0)*VLOOKUP('Données projet'!$B$14,Paramètres!$A$1:$I$89,5,0)</f>
        <v>101.4</v>
      </c>
      <c r="DQ28" s="13">
        <f t="shared" si="43"/>
        <v>27.295257887453797</v>
      </c>
      <c r="DR28" s="20">
        <f t="shared" si="16"/>
        <v>224.14424082064872</v>
      </c>
      <c r="DS28" s="59">
        <f t="shared" si="17"/>
        <v>511.36646304287092</v>
      </c>
      <c r="DT28" s="59">
        <f ca="1">AVERAGE(OFFSET($DS$3,0,0,'Données projet'!$E$14+1,1))-AVERAGE(OFFSET($H$3,0,0,'Données projet'!$E$14+1,1))</f>
        <v>586.50020405958992</v>
      </c>
      <c r="DU28" s="59">
        <f t="shared" si="44"/>
        <v>304.44184537595294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115</v>
      </c>
      <c r="EH28" s="12">
        <f>VLOOKUP(A28,'Données projet'!$A$191:$I$211,9,0)</f>
        <v>12.6</v>
      </c>
      <c r="EI28" s="12">
        <f t="array" ref="EI28">INDEX(EH:EH,MIN(IF(ISNUMBER(EH28:EH224),ROW(EH28:EH224),"")))</f>
        <v>12.6</v>
      </c>
      <c r="EJ28" s="12">
        <f>IF('Données projet'!$A$192&gt;35,EJ27+EI28-ER27,IF(A28&lt;'Données projet'!$A$192,$EG$205^A28,IF(A28='Données projet'!$A$192,'Données projet'!$B$192,EJ27+EI28-ER27)))</f>
        <v>114.99999999999997</v>
      </c>
      <c r="EK28" s="17">
        <f>EJ28*VLOOKUP('Données projet'!$B$15,Paramètres!$A$1:$I$89,3,0)*VLOOKUP('Données projet'!$B$15,Paramètres!$A$1:$I$89,5,0)</f>
        <v>111.22799999999998</v>
      </c>
      <c r="EL28" s="13">
        <f t="shared" si="45"/>
        <v>29.620123744783804</v>
      </c>
      <c r="EM28" s="20">
        <f t="shared" si="19"/>
        <v>245.31048218883168</v>
      </c>
      <c r="EN28" s="59">
        <f t="shared" si="20"/>
        <v>532.53270441105394</v>
      </c>
      <c r="EO28" s="59">
        <f ca="1">AVERAGE(OFFSET($EN$3,0,0,'Données projet'!$E$15+1,1))-AVERAGE(OFFSET($H$3,0,0,'Données projet'!$E$15+1,1))</f>
        <v>355.72173590705142</v>
      </c>
      <c r="EP28" s="59">
        <f t="shared" si="46"/>
        <v>346.30980704469363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115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114.99999999999997</v>
      </c>
      <c r="FF28" s="17">
        <f>FE28*VLOOKUP('Données projet'!$B$16,Paramètres!$A$1:$I$89,3,0)*VLOOKUP('Données projet'!$B$16,Paramètres!$A$1:$I$89,5,0)</f>
        <v>93.287999999999982</v>
      </c>
      <c r="FG28" s="13">
        <f t="shared" si="47"/>
        <v>25.356547829040977</v>
      </c>
      <c r="FH28" s="20">
        <f t="shared" si="22"/>
        <v>206.63925413557965</v>
      </c>
      <c r="FI28" s="59">
        <f t="shared" si="23"/>
        <v>493.86147635780185</v>
      </c>
      <c r="FJ28" s="59">
        <f ca="1">AVERAGE(OFFSET($FI$3,0,0,'Données projet'!$E$16+1,1))-AVERAGE(OFFSET($H$3,0,0,'Données projet'!$E$16+1,1))</f>
        <v>304.26232113495314</v>
      </c>
      <c r="FK28" s="59">
        <f t="shared" si="48"/>
        <v>297.47246687305056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</v>
      </c>
      <c r="N29" s="13">
        <f>IF('Données projet'!$A$36&gt;35,N28+M29-V28,IF(A29&lt;'Données projet'!$A$36,$K$205^A29,IF(A29='Données projet'!$A$36,'Données projet'!$B$36,N28+M29-V28)))</f>
        <v>125</v>
      </c>
      <c r="O29" s="13">
        <f>N29*VLOOKUP('Données projet'!$B$9,Paramètres!$A$1:$I$89,3,0)*VLOOKUP('Données projet'!$B$9,Paramètres!$A$1:$I$89,5,0)</f>
        <v>109.2</v>
      </c>
      <c r="P29" s="13">
        <f t="shared" si="33"/>
        <v>29.142418334948612</v>
      </c>
      <c r="Q29" s="20">
        <f t="shared" si="2"/>
        <v>240.94637860003544</v>
      </c>
      <c r="R29" s="59">
        <f t="shared" si="0"/>
        <v>529.39082304447993</v>
      </c>
      <c r="S29" s="59">
        <f ca="1">AVERAGE(OFFSET($R$3,0,0,'Données projet'!$E$9+1,1))-AVERAGE(OFFSET($H$3,0,0,'Données projet'!$E$9+1,1))</f>
        <v>381.72225529388083</v>
      </c>
      <c r="T29" s="59">
        <f t="shared" si="34"/>
        <v>360.05900046417361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5.9249644660746368</v>
      </c>
      <c r="AA29" s="21">
        <f>EXP(-LN(2)/25)*AA28+(1-EXP(-LN(2)/25))/(LN(2)/25)*Calculateur!V29*Calculateur!X29*VLOOKUP('Données projet'!$B$9,Paramètres!$A$1:$I$89,3,0)*0.475*44/12</f>
        <v>5.5414968094446992</v>
      </c>
      <c r="AB29" s="21">
        <f>EXP(-LN(2)/2)*AB28+(1-EXP(-LN(2)/2))/(LN(2)/2)*V29*Y29*VLOOKUP('Données projet'!$B$9,Paramètres!$A$1:$I$89,3,0)*0.475*44/12</f>
        <v>6.3168324006659482</v>
      </c>
      <c r="AC29" s="22">
        <f t="shared" si="3"/>
        <v>17.783293676185284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12.2</v>
      </c>
      <c r="AI29" s="13">
        <f>IF('Données projet'!$A$62&gt;35,AI28+AH29-AQ28,IF(A29&lt;'Données projet'!$A$62,$AF$205^A29,IF(A29='Données projet'!$A$62,'Données projet'!$B$62,AI28+AH29-AQ28)))</f>
        <v>97.2</v>
      </c>
      <c r="AJ29" s="13">
        <f>AI29*VLOOKUP('Données projet'!$B$10,Paramètres!$A$1:$I$89,3,0)*VLOOKUP('Données projet'!$B$10,Paramètres!$A$1:$I$89,5,0)</f>
        <v>71.267039999999994</v>
      </c>
      <c r="AK29" s="13">
        <f t="shared" si="35"/>
        <v>19.987779001267139</v>
      </c>
      <c r="AL29" s="20">
        <f t="shared" si="4"/>
        <v>158.93547642720694</v>
      </c>
      <c r="AM29" s="59">
        <f t="shared" si="5"/>
        <v>447.37992087165139</v>
      </c>
      <c r="AN29" s="59">
        <f ca="1">AVERAGE(OFFSET($AM$3,0,0,'Données projet'!$E$10+1,1))-AVERAGE(OFFSET($H$3,0,0,'Données projet'!$E$10+1,1))</f>
        <v>464.3681853739115</v>
      </c>
      <c r="AO29" s="59">
        <f t="shared" si="36"/>
        <v>272.97841038165217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78.605279999999979</v>
      </c>
      <c r="BF29" s="13">
        <f t="shared" si="37"/>
        <v>21.795819556945734</v>
      </c>
      <c r="BG29" s="20">
        <f t="shared" si="7"/>
        <v>174.86524839501377</v>
      </c>
      <c r="BH29" s="59">
        <f t="shared" si="8"/>
        <v>463.30969283945819</v>
      </c>
      <c r="BI29" s="59">
        <f ca="1">AVERAGE(OFFSET($BH$3,0,0,'Données projet'!$E$11+1,1))-AVERAGE(OFFSET($H$3,0,0,'Données projet'!$E$11+1,1))</f>
        <v>299.10536994156814</v>
      </c>
      <c r="BJ29" s="59">
        <f t="shared" si="38"/>
        <v>292.57799203101769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463.30969283945819</v>
      </c>
      <c r="CD29" s="59">
        <f ca="1">AVERAGE(OFFSET($CC$3,0,0,'Données projet'!$E$12+1,1))-AVERAGE(OFFSET($H$3,0,0,'Données projet'!$E$12+1,1))</f>
        <v>299.10536994156814</v>
      </c>
      <c r="CE29" s="59">
        <f t="shared" si="40"/>
        <v>292.57799203101769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</v>
      </c>
      <c r="CT29" s="12">
        <f>IF('Données projet'!$A$140&gt;35,CT28+CS29-DB28,IF(A29&lt;'Données projet'!$A$140,$CQ$205^A29,IF(A29='Données projet'!$A$140,'Données projet'!$B$140,CT28+CS29-DB28)))</f>
        <v>104</v>
      </c>
      <c r="CU29" s="17">
        <f>CT29*VLOOKUP('Données projet'!$B$13,Paramètres!$A$1:$I$89,3,0)*VLOOKUP('Données projet'!$B$13,Paramètres!$A$1:$I$89,5,0)</f>
        <v>94.099199999999996</v>
      </c>
      <c r="CV29" s="13">
        <f t="shared" si="41"/>
        <v>25.551276031514817</v>
      </c>
      <c r="CW29" s="20">
        <f t="shared" si="13"/>
        <v>208.39124575488827</v>
      </c>
      <c r="CX29" s="59">
        <f t="shared" si="14"/>
        <v>496.8356901993327</v>
      </c>
      <c r="CY29" s="59">
        <f ca="1">AVERAGE(OFFSET($CX$3,0,0,'Données projet'!$E$13+1,1))-AVERAGE(OFFSET($H$3,0,0,'Données projet'!$E$13+1,1))</f>
        <v>528.15559695545812</v>
      </c>
      <c r="CZ29" s="59">
        <f t="shared" si="42"/>
        <v>276.26988364830532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</v>
      </c>
      <c r="DO29" s="12">
        <f>IF('Données projet'!$A$166&gt;35,DO28+DN29-DW28,IF(A29&lt;'Données projet'!$A$166,$DL$205^A29,IF(A29='Données projet'!$A$166,'Données projet'!$B$166,DO28+DN29-DW28)))</f>
        <v>104</v>
      </c>
      <c r="DP29" s="17">
        <f>DO29*VLOOKUP('Données projet'!$B$14,Paramètres!$A$1:$I$89,3,0)*VLOOKUP('Données projet'!$B$14,Paramètres!$A$1:$I$89,5,0)</f>
        <v>105.45600000000002</v>
      </c>
      <c r="DQ29" s="13">
        <f t="shared" si="43"/>
        <v>28.257768345963573</v>
      </c>
      <c r="DR29" s="20">
        <f t="shared" si="16"/>
        <v>232.88481320255323</v>
      </c>
      <c r="DS29" s="59">
        <f t="shared" si="17"/>
        <v>521.32925764699769</v>
      </c>
      <c r="DT29" s="59">
        <f ca="1">AVERAGE(OFFSET($DS$3,0,0,'Données projet'!$E$14+1,1))-AVERAGE(OFFSET($H$3,0,0,'Données projet'!$E$14+1,1))</f>
        <v>586.50020405958992</v>
      </c>
      <c r="DU29" s="59">
        <f t="shared" si="44"/>
        <v>304.44184537595294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11.8</v>
      </c>
      <c r="EJ29" s="12">
        <f>IF('Données projet'!$A$192&gt;35,EJ28+EI29-ER28,IF(A29&lt;'Données projet'!$A$192,$EG$205^A29,IF(A29='Données projet'!$A$192,'Données projet'!$B$192,EJ28+EI29-ER28)))</f>
        <v>98.799999999999969</v>
      </c>
      <c r="EK29" s="17">
        <f>EJ29*VLOOKUP('Données projet'!$B$15,Paramètres!$A$1:$I$89,3,0)*VLOOKUP('Données projet'!$B$15,Paramètres!$A$1:$I$89,5,0)</f>
        <v>95.55935999999997</v>
      </c>
      <c r="EL29" s="13">
        <f t="shared" si="45"/>
        <v>25.901295882154653</v>
      </c>
      <c r="EM29" s="20">
        <f t="shared" si="19"/>
        <v>211.5439756614193</v>
      </c>
      <c r="EN29" s="59">
        <f t="shared" si="20"/>
        <v>499.98842010586372</v>
      </c>
      <c r="EO29" s="59">
        <f ca="1">AVERAGE(OFFSET($EN$3,0,0,'Données projet'!$E$15+1,1))-AVERAGE(OFFSET($H$3,0,0,'Données projet'!$E$15+1,1))</f>
        <v>355.72173590705142</v>
      </c>
      <c r="EP29" s="59">
        <f t="shared" si="46"/>
        <v>346.30980704469363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98.799999999999969</v>
      </c>
      <c r="FF29" s="17">
        <f>FE29*VLOOKUP('Données projet'!$B$16,Paramètres!$A$1:$I$89,3,0)*VLOOKUP('Données projet'!$B$16,Paramètres!$A$1:$I$89,5,0)</f>
        <v>80.14655999999998</v>
      </c>
      <c r="FG29" s="13">
        <f t="shared" si="47"/>
        <v>22.17301499240547</v>
      </c>
      <c r="FH29" s="20">
        <f t="shared" si="22"/>
        <v>178.2065931117728</v>
      </c>
      <c r="FI29" s="59">
        <f t="shared" si="23"/>
        <v>466.65103755621726</v>
      </c>
      <c r="FJ29" s="59">
        <f ca="1">AVERAGE(OFFSET($FI$3,0,0,'Données projet'!$E$16+1,1))-AVERAGE(OFFSET($H$3,0,0,'Données projet'!$E$16+1,1))</f>
        <v>304.26232113495314</v>
      </c>
      <c r="FK29" s="59">
        <f t="shared" si="48"/>
        <v>297.47246687305056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</v>
      </c>
      <c r="N30" s="13">
        <f>IF('Données projet'!$A$36&gt;35,N29+M30-V29,IF(A30&lt;'Données projet'!$A$36,$K$205^A30,IF(A30='Données projet'!$A$36,'Données projet'!$B$36,N29+M30-V29)))</f>
        <v>136</v>
      </c>
      <c r="O30" s="13">
        <f>N30*VLOOKUP('Données projet'!$B$9,Paramètres!$A$1:$I$89,3,0)*VLOOKUP('Données projet'!$B$9,Paramètres!$A$1:$I$89,5,0)</f>
        <v>118.80960000000002</v>
      </c>
      <c r="P30" s="13">
        <f t="shared" si="33"/>
        <v>31.39719715333722</v>
      </c>
      <c r="Q30" s="20">
        <f t="shared" si="2"/>
        <v>261.61017170872901</v>
      </c>
      <c r="R30" s="59">
        <f t="shared" si="0"/>
        <v>551.27683837539576</v>
      </c>
      <c r="S30" s="59">
        <f ca="1">AVERAGE(OFFSET($R$3,0,0,'Données projet'!$E$9+1,1))-AVERAGE(OFFSET($H$3,0,0,'Données projet'!$E$9+1,1))</f>
        <v>381.72225529388083</v>
      </c>
      <c r="T30" s="59">
        <f t="shared" si="34"/>
        <v>360.05900046417361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5.8087795267663971</v>
      </c>
      <c r="AA30" s="21">
        <f>EXP(-LN(2)/25)*AA29+(1-EXP(-LN(2)/25))/(LN(2)/25)*Calculateur!V30*Calculateur!X30*VLOOKUP('Données projet'!$B$9,Paramètres!$A$1:$I$89,3,0)*0.475*44/12</f>
        <v>5.3899642877757818</v>
      </c>
      <c r="AB30" s="21">
        <f>EXP(-LN(2)/2)*AB29+(1-EXP(-LN(2)/2))/(LN(2)/2)*V30*Y30*VLOOKUP('Données projet'!$B$9,Paramètres!$A$1:$I$89,3,0)*0.475*44/12</f>
        <v>4.4666750261297903</v>
      </c>
      <c r="AC30" s="22">
        <f t="shared" si="3"/>
        <v>15.66541884067197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12.2</v>
      </c>
      <c r="AI30" s="13">
        <f>IF('Données projet'!$A$62&gt;35,AI29+AH30-AQ29,IF(A30&lt;'Données projet'!$A$62,$AF$205^A30,IF(A30='Données projet'!$A$62,'Données projet'!$B$62,AI29+AH30-AQ29)))</f>
        <v>109.4</v>
      </c>
      <c r="AJ30" s="13">
        <f>AI30*VLOOKUP('Données projet'!$B$10,Paramètres!$A$1:$I$89,3,0)*VLOOKUP('Données projet'!$B$10,Paramètres!$A$1:$I$89,5,0)</f>
        <v>80.21208</v>
      </c>
      <c r="AK30" s="13">
        <f t="shared" si="35"/>
        <v>22.189030798521017</v>
      </c>
      <c r="AL30" s="20">
        <f t="shared" si="4"/>
        <v>178.3486013074241</v>
      </c>
      <c r="AM30" s="59">
        <f t="shared" si="5"/>
        <v>468.01526797409076</v>
      </c>
      <c r="AN30" s="59">
        <f ca="1">AVERAGE(OFFSET($AM$3,0,0,'Données projet'!$E$10+1,1))-AVERAGE(OFFSET($H$3,0,0,'Données projet'!$E$10+1,1))</f>
        <v>464.3681853739115</v>
      </c>
      <c r="AO30" s="59">
        <f t="shared" si="36"/>
        <v>272.97841038165217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87.993359999999981</v>
      </c>
      <c r="BF30" s="13">
        <f t="shared" si="37"/>
        <v>24.080638481970816</v>
      </c>
      <c r="BG30" s="20">
        <f t="shared" si="7"/>
        <v>195.19554735609913</v>
      </c>
      <c r="BH30" s="59">
        <f t="shared" si="8"/>
        <v>484.86221402276578</v>
      </c>
      <c r="BI30" s="59">
        <f ca="1">AVERAGE(OFFSET($BH$3,0,0,'Données projet'!$E$11+1,1))-AVERAGE(OFFSET($H$3,0,0,'Données projet'!$E$11+1,1))</f>
        <v>299.10536994156814</v>
      </c>
      <c r="BJ30" s="59">
        <f t="shared" si="38"/>
        <v>292.57799203101769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484.86221402276578</v>
      </c>
      <c r="CD30" s="59">
        <f ca="1">AVERAGE(OFFSET($CC$3,0,0,'Données projet'!$E$12+1,1))-AVERAGE(OFFSET($H$3,0,0,'Données projet'!$E$12+1,1))</f>
        <v>299.10536994156814</v>
      </c>
      <c r="CE30" s="59">
        <f t="shared" si="40"/>
        <v>292.57799203101769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</v>
      </c>
      <c r="CT30" s="12">
        <f>IF('Données projet'!$A$140&gt;35,CT29+CS30-DB29,IF(A30&lt;'Données projet'!$A$140,$CQ$205^A30,IF(A30='Données projet'!$A$140,'Données projet'!$B$140,CT29+CS30-DB29)))</f>
        <v>108</v>
      </c>
      <c r="CU30" s="17">
        <f>CT30*VLOOKUP('Données projet'!$B$13,Paramètres!$A$1:$I$89,3,0)*VLOOKUP('Données projet'!$B$13,Paramètres!$A$1:$I$89,5,0)</f>
        <v>97.718399999999988</v>
      </c>
      <c r="CV30" s="13">
        <f t="shared" si="41"/>
        <v>26.417709819192194</v>
      </c>
      <c r="CW30" s="20">
        <f t="shared" si="13"/>
        <v>216.20372460175972</v>
      </c>
      <c r="CX30" s="59">
        <f t="shared" si="14"/>
        <v>505.87039126842637</v>
      </c>
      <c r="CY30" s="59">
        <f ca="1">AVERAGE(OFFSET($CX$3,0,0,'Données projet'!$E$13+1,1))-AVERAGE(OFFSET($H$3,0,0,'Données projet'!$E$13+1,1))</f>
        <v>528.15559695545812</v>
      </c>
      <c r="CZ30" s="59">
        <f t="shared" si="42"/>
        <v>276.26988364830532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</v>
      </c>
      <c r="DO30" s="12">
        <f>IF('Données projet'!$A$166&gt;35,DO29+DN30-DW29,IF(A30&lt;'Données projet'!$A$166,$DL$205^A30,IF(A30='Données projet'!$A$166,'Données projet'!$B$166,DO29+DN30-DW29)))</f>
        <v>108</v>
      </c>
      <c r="DP30" s="17">
        <f>DO30*VLOOKUP('Données projet'!$B$14,Paramètres!$A$1:$I$89,3,0)*VLOOKUP('Données projet'!$B$14,Paramètres!$A$1:$I$89,5,0)</f>
        <v>109.51200000000001</v>
      </c>
      <c r="DQ30" s="13">
        <f t="shared" si="43"/>
        <v>29.215978230632555</v>
      </c>
      <c r="DR30" s="20">
        <f t="shared" si="16"/>
        <v>241.61789541835174</v>
      </c>
      <c r="DS30" s="59">
        <f t="shared" si="17"/>
        <v>531.28456208501848</v>
      </c>
      <c r="DT30" s="59">
        <f ca="1">AVERAGE(OFFSET($DS$3,0,0,'Données projet'!$E$14+1,1))-AVERAGE(OFFSET($H$3,0,0,'Données projet'!$E$14+1,1))</f>
        <v>586.50020405958992</v>
      </c>
      <c r="DU30" s="59">
        <f t="shared" si="44"/>
        <v>304.44184537595294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11.8</v>
      </c>
      <c r="EJ30" s="12">
        <f>IF('Données projet'!$A$192&gt;35,EJ29+EI30-ER29,IF(A30&lt;'Données projet'!$A$192,$EG$205^A30,IF(A30='Données projet'!$A$192,'Données projet'!$B$192,EJ29+EI30-ER29)))</f>
        <v>110.59999999999997</v>
      </c>
      <c r="EK30" s="17">
        <f>EJ30*VLOOKUP('Données projet'!$B$15,Paramètres!$A$1:$I$89,3,0)*VLOOKUP('Données projet'!$B$15,Paramètres!$A$1:$I$89,5,0)</f>
        <v>106.97231999999997</v>
      </c>
      <c r="EL30" s="13">
        <f t="shared" si="45"/>
        <v>28.61648495130633</v>
      </c>
      <c r="EM30" s="20">
        <f t="shared" si="19"/>
        <v>236.15050195685842</v>
      </c>
      <c r="EN30" s="59">
        <f t="shared" si="20"/>
        <v>525.81716862352505</v>
      </c>
      <c r="EO30" s="59">
        <f ca="1">AVERAGE(OFFSET($EN$3,0,0,'Données projet'!$E$15+1,1))-AVERAGE(OFFSET($H$3,0,0,'Données projet'!$E$15+1,1))</f>
        <v>355.72173590705142</v>
      </c>
      <c r="EP30" s="59">
        <f t="shared" si="46"/>
        <v>346.30980704469363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110.59999999999997</v>
      </c>
      <c r="FF30" s="17">
        <f>FE30*VLOOKUP('Données projet'!$B$16,Paramètres!$A$1:$I$89,3,0)*VLOOKUP('Données projet'!$B$16,Paramètres!$A$1:$I$89,5,0)</f>
        <v>89.718719999999976</v>
      </c>
      <c r="FG30" s="13">
        <f t="shared" si="47"/>
        <v>24.49737467739692</v>
      </c>
      <c r="FH30" s="20">
        <f t="shared" si="22"/>
        <v>198.92636489646625</v>
      </c>
      <c r="FI30" s="59">
        <f t="shared" si="23"/>
        <v>488.59303156313297</v>
      </c>
      <c r="FJ30" s="59">
        <f ca="1">AVERAGE(OFFSET($FI$3,0,0,'Données projet'!$E$16+1,1))-AVERAGE(OFFSET($H$3,0,0,'Données projet'!$E$16+1,1))</f>
        <v>304.26232113495314</v>
      </c>
      <c r="FK30" s="59">
        <f t="shared" si="48"/>
        <v>297.47246687305056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</v>
      </c>
      <c r="N31" s="13">
        <f>IF('Données projet'!$A$36&gt;35,N30+M31-V30,IF(A31&lt;'Données projet'!$A$36,$K$205^A31,IF(A31='Données projet'!$A$36,'Données projet'!$B$36,N30+M31-V30)))</f>
        <v>147</v>
      </c>
      <c r="O31" s="13">
        <f>N31*VLOOKUP('Données projet'!$B$9,Paramètres!$A$1:$I$89,3,0)*VLOOKUP('Données projet'!$B$9,Paramètres!$A$1:$I$89,5,0)</f>
        <v>128.41920000000002</v>
      </c>
      <c r="P31" s="13">
        <f t="shared" si="33"/>
        <v>33.630823177860762</v>
      </c>
      <c r="Q31" s="20">
        <f t="shared" si="2"/>
        <v>282.23712370144091</v>
      </c>
      <c r="R31" s="59">
        <f t="shared" si="0"/>
        <v>573.12601259032976</v>
      </c>
      <c r="S31" s="59">
        <f ca="1">AVERAGE(OFFSET($R$3,0,0,'Données projet'!$E$9+1,1))-AVERAGE(OFFSET($H$3,0,0,'Données projet'!$E$9+1,1))</f>
        <v>381.72225529388083</v>
      </c>
      <c r="T31" s="59">
        <f t="shared" si="34"/>
        <v>360.05900046417361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5.6948729032521763</v>
      </c>
      <c r="AA31" s="21">
        <f>EXP(-LN(2)/25)*AA30+(1-EXP(-LN(2)/25))/(LN(2)/25)*Calculateur!V31*Calculateur!X31*VLOOKUP('Données projet'!$B$9,Paramètres!$A$1:$I$89,3,0)*0.475*44/12</f>
        <v>5.2425754308806498</v>
      </c>
      <c r="AB31" s="21">
        <f>EXP(-LN(2)/2)*AB30+(1-EXP(-LN(2)/2))/(LN(2)/2)*V31*Y31*VLOOKUP('Données projet'!$B$9,Paramètres!$A$1:$I$89,3,0)*0.475*44/12</f>
        <v>3.1584162003329741</v>
      </c>
      <c r="AC31" s="22">
        <f t="shared" si="3"/>
        <v>14.0958645344658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12.2</v>
      </c>
      <c r="AI31" s="13">
        <f>IF('Données projet'!$A$62&gt;35,AI30+AH31-AQ30,IF(A31&lt;'Données projet'!$A$62,$AF$205^A31,IF(A31='Données projet'!$A$62,'Données projet'!$B$62,AI30+AH31-AQ30)))</f>
        <v>121.60000000000001</v>
      </c>
      <c r="AJ31" s="13">
        <f>AI31*VLOOKUP('Données projet'!$B$10,Paramètres!$A$1:$I$89,3,0)*VLOOKUP('Données projet'!$B$10,Paramètres!$A$1:$I$89,5,0)</f>
        <v>89.157120000000006</v>
      </c>
      <c r="AK31" s="13">
        <f t="shared" si="35"/>
        <v>24.361831444760703</v>
      </c>
      <c r="AL31" s="20">
        <f t="shared" si="4"/>
        <v>197.71217376629156</v>
      </c>
      <c r="AM31" s="59">
        <f t="shared" si="5"/>
        <v>488.60106265518039</v>
      </c>
      <c r="AN31" s="59">
        <f ca="1">AVERAGE(OFFSET($AM$3,0,0,'Données projet'!$E$10+1,1))-AVERAGE(OFFSET($H$3,0,0,'Données projet'!$E$10+1,1))</f>
        <v>464.3681853739115</v>
      </c>
      <c r="AO31" s="59">
        <f t="shared" si="36"/>
        <v>272.97841038165217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97.381439999999984</v>
      </c>
      <c r="BF31" s="13">
        <f t="shared" si="37"/>
        <v>26.337201615555198</v>
      </c>
      <c r="BG31" s="20">
        <f t="shared" si="7"/>
        <v>215.47663414709197</v>
      </c>
      <c r="BH31" s="59">
        <f t="shared" si="8"/>
        <v>506.3655230359808</v>
      </c>
      <c r="BI31" s="59">
        <f ca="1">AVERAGE(OFFSET($BH$3,0,0,'Données projet'!$E$11+1,1))-AVERAGE(OFFSET($H$3,0,0,'Données projet'!$E$11+1,1))</f>
        <v>299.10536994156814</v>
      </c>
      <c r="BJ31" s="59">
        <f t="shared" si="38"/>
        <v>292.57799203101769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506.3655230359808</v>
      </c>
      <c r="CD31" s="59">
        <f ca="1">AVERAGE(OFFSET($CC$3,0,0,'Données projet'!$E$12+1,1))-AVERAGE(OFFSET($H$3,0,0,'Données projet'!$E$12+1,1))</f>
        <v>299.10536994156814</v>
      </c>
      <c r="CE31" s="59">
        <f t="shared" si="40"/>
        <v>292.57799203101769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</v>
      </c>
      <c r="CT31" s="12">
        <f>IF('Données projet'!$A$140&gt;35,CT30+CS31-DB30,IF(A31&lt;'Données projet'!$A$140,$CQ$205^A31,IF(A31='Données projet'!$A$140,'Données projet'!$B$140,CT30+CS31-DB30)))</f>
        <v>112</v>
      </c>
      <c r="CU31" s="17">
        <f>CT31*VLOOKUP('Données projet'!$B$13,Paramètres!$A$1:$I$89,3,0)*VLOOKUP('Données projet'!$B$13,Paramètres!$A$1:$I$89,5,0)</f>
        <v>101.33759999999999</v>
      </c>
      <c r="CV31" s="13">
        <f t="shared" si="41"/>
        <v>27.280415454305565</v>
      </c>
      <c r="CW31" s="20">
        <f t="shared" si="13"/>
        <v>224.00971024958213</v>
      </c>
      <c r="CX31" s="59">
        <f t="shared" si="14"/>
        <v>514.89859913847101</v>
      </c>
      <c r="CY31" s="59">
        <f ca="1">AVERAGE(OFFSET($CX$3,0,0,'Données projet'!$E$13+1,1))-AVERAGE(OFFSET($H$3,0,0,'Données projet'!$E$13+1,1))</f>
        <v>528.15559695545812</v>
      </c>
      <c r="CZ31" s="59">
        <f t="shared" si="42"/>
        <v>276.26988364830532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</v>
      </c>
      <c r="DO31" s="12">
        <f>IF('Données projet'!$A$166&gt;35,DO30+DN31-DW30,IF(A31&lt;'Données projet'!$A$166,$DL$205^A31,IF(A31='Données projet'!$A$166,'Données projet'!$B$166,DO30+DN31-DW30)))</f>
        <v>112</v>
      </c>
      <c r="DP31" s="17">
        <f>DO31*VLOOKUP('Données projet'!$B$14,Paramètres!$A$1:$I$89,3,0)*VLOOKUP('Données projet'!$B$14,Paramètres!$A$1:$I$89,5,0)</f>
        <v>113.568</v>
      </c>
      <c r="DQ31" s="13">
        <f t="shared" si="43"/>
        <v>30.17006506205821</v>
      </c>
      <c r="DR31" s="20">
        <f t="shared" si="16"/>
        <v>250.3437966497514</v>
      </c>
      <c r="DS31" s="59">
        <f t="shared" si="17"/>
        <v>541.23268553864023</v>
      </c>
      <c r="DT31" s="59">
        <f ca="1">AVERAGE(OFFSET($DS$3,0,0,'Données projet'!$E$14+1,1))-AVERAGE(OFFSET($H$3,0,0,'Données projet'!$E$14+1,1))</f>
        <v>586.50020405958992</v>
      </c>
      <c r="DU31" s="59">
        <f t="shared" si="44"/>
        <v>304.44184537595294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11.8</v>
      </c>
      <c r="EJ31" s="12">
        <f>IF('Données projet'!$A$192&gt;35,EJ30+EI31-ER30,IF(A31&lt;'Données projet'!$A$192,$EG$205^A31,IF(A31='Données projet'!$A$192,'Données projet'!$B$192,EJ30+EI31-ER30)))</f>
        <v>122.39999999999996</v>
      </c>
      <c r="EK31" s="17">
        <f>EJ31*VLOOKUP('Données projet'!$B$15,Paramètres!$A$1:$I$89,3,0)*VLOOKUP('Données projet'!$B$15,Paramètres!$A$1:$I$89,5,0)</f>
        <v>118.38527999999997</v>
      </c>
      <c r="EL31" s="13">
        <f t="shared" si="45"/>
        <v>31.298095947718991</v>
      </c>
      <c r="EM31" s="20">
        <f t="shared" si="19"/>
        <v>260.69854644227718</v>
      </c>
      <c r="EN31" s="59">
        <f t="shared" si="20"/>
        <v>551.58743533116603</v>
      </c>
      <c r="EO31" s="59">
        <f ca="1">AVERAGE(OFFSET($EN$3,0,0,'Données projet'!$E$15+1,1))-AVERAGE(OFFSET($H$3,0,0,'Données projet'!$E$15+1,1))</f>
        <v>355.72173590705142</v>
      </c>
      <c r="EP31" s="59">
        <f t="shared" si="46"/>
        <v>346.30980704469363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122.39999999999996</v>
      </c>
      <c r="FF31" s="17">
        <f>FE31*VLOOKUP('Données projet'!$B$16,Paramètres!$A$1:$I$89,3,0)*VLOOKUP('Données projet'!$B$16,Paramètres!$A$1:$I$89,5,0)</f>
        <v>99.290879999999973</v>
      </c>
      <c r="FG31" s="13">
        <f t="shared" si="47"/>
        <v>26.792989580133234</v>
      </c>
      <c r="FH31" s="20">
        <f t="shared" si="22"/>
        <v>219.5960728520653</v>
      </c>
      <c r="FI31" s="59">
        <f t="shared" si="23"/>
        <v>510.48496174095419</v>
      </c>
      <c r="FJ31" s="59">
        <f ca="1">AVERAGE(OFFSET($FI$3,0,0,'Données projet'!$E$16+1,1))-AVERAGE(OFFSET($H$3,0,0,'Données projet'!$E$16+1,1))</f>
        <v>304.26232113495314</v>
      </c>
      <c r="FK31" s="59">
        <f t="shared" si="48"/>
        <v>297.47246687305056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</v>
      </c>
      <c r="N32" s="13">
        <f>IF('Données projet'!$A$36&gt;35,N31+M32-V31,IF(A32&lt;'Données projet'!$A$36,$K$205^A32,IF(A32='Données projet'!$A$36,'Données projet'!$B$36,N31+M32-V31)))</f>
        <v>158</v>
      </c>
      <c r="O32" s="13">
        <f>N32*VLOOKUP('Données projet'!$B$9,Paramètres!$A$1:$I$89,3,0)*VLOOKUP('Données projet'!$B$9,Paramètres!$A$1:$I$89,5,0)</f>
        <v>138.02880000000002</v>
      </c>
      <c r="P32" s="13">
        <f t="shared" si="33"/>
        <v>35.845059256813073</v>
      </c>
      <c r="Q32" s="20">
        <f t="shared" si="2"/>
        <v>302.8303048722828</v>
      </c>
      <c r="R32" s="59">
        <f t="shared" si="0"/>
        <v>594.94141598339388</v>
      </c>
      <c r="S32" s="59">
        <f ca="1">AVERAGE(OFFSET($R$3,0,0,'Données projet'!$E$9+1,1))-AVERAGE(OFFSET($H$3,0,0,'Données projet'!$E$9+1,1))</f>
        <v>381.72225529388083</v>
      </c>
      <c r="T32" s="59">
        <f t="shared" si="34"/>
        <v>360.05900046417361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5.5831999191488899</v>
      </c>
      <c r="AA32" s="21">
        <f>EXP(-LN(2)/25)*AA31+(1-EXP(-LN(2)/25))/(LN(2)/25)*Calculateur!V32*Calculateur!X32*VLOOKUP('Données projet'!$B$9,Paramètres!$A$1:$I$89,3,0)*0.475*44/12</f>
        <v>5.0992169300281587</v>
      </c>
      <c r="AB32" s="21">
        <f>EXP(-LN(2)/2)*AB31+(1-EXP(-LN(2)/2))/(LN(2)/2)*V32*Y32*VLOOKUP('Données projet'!$B$9,Paramètres!$A$1:$I$89,3,0)*0.475*44/12</f>
        <v>2.2333375130648951</v>
      </c>
      <c r="AC32" s="22">
        <f t="shared" si="3"/>
        <v>12.915754362241945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12.2</v>
      </c>
      <c r="AI32" s="13">
        <f>IF('Données projet'!$A$62&gt;35,AI31+AH32-AQ31,IF(A32&lt;'Données projet'!$A$62,$AF$205^A32,IF(A32='Données projet'!$A$62,'Données projet'!$B$62,AI31+AH32-AQ31)))</f>
        <v>133.80000000000001</v>
      </c>
      <c r="AJ32" s="13">
        <f>AI32*VLOOKUP('Données projet'!$B$10,Paramètres!$A$1:$I$89,3,0)*VLOOKUP('Données projet'!$B$10,Paramètres!$A$1:$I$89,5,0)</f>
        <v>98.102160000000012</v>
      </c>
      <c r="AK32" s="13">
        <f t="shared" si="35"/>
        <v>26.50936037444021</v>
      </c>
      <c r="AL32" s="20">
        <f t="shared" si="4"/>
        <v>217.0317313188167</v>
      </c>
      <c r="AM32" s="59">
        <f t="shared" si="5"/>
        <v>509.14284242992784</v>
      </c>
      <c r="AN32" s="59">
        <f ca="1">AVERAGE(OFFSET($AM$3,0,0,'Données projet'!$E$10+1,1))-AVERAGE(OFFSET($H$3,0,0,'Données projet'!$E$10+1,1))</f>
        <v>464.3681853739115</v>
      </c>
      <c r="AO32" s="59">
        <f t="shared" si="36"/>
        <v>272.97841038165217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106.76951999999997</v>
      </c>
      <c r="BF32" s="13">
        <f t="shared" si="37"/>
        <v>28.568542914630683</v>
      </c>
      <c r="BG32" s="20">
        <f t="shared" si="7"/>
        <v>235.71379290964839</v>
      </c>
      <c r="BH32" s="59">
        <f t="shared" si="8"/>
        <v>527.8249040207595</v>
      </c>
      <c r="BI32" s="59">
        <f ca="1">AVERAGE(OFFSET($BH$3,0,0,'Données projet'!$E$11+1,1))-AVERAGE(OFFSET($H$3,0,0,'Données projet'!$E$11+1,1))</f>
        <v>299.10536994156814</v>
      </c>
      <c r="BJ32" s="59">
        <f t="shared" si="38"/>
        <v>292.57799203101769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527.8249040207595</v>
      </c>
      <c r="CD32" s="59">
        <f ca="1">AVERAGE(OFFSET($CC$3,0,0,'Données projet'!$E$12+1,1))-AVERAGE(OFFSET($H$3,0,0,'Données projet'!$E$12+1,1))</f>
        <v>299.10536994156814</v>
      </c>
      <c r="CE32" s="59">
        <f t="shared" si="40"/>
        <v>292.57799203101769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</v>
      </c>
      <c r="CT32" s="12">
        <f>IF('Données projet'!$A$140&gt;35,CT31+CS32-DB31,IF(A32&lt;'Données projet'!$A$140,$CQ$205^A32,IF(A32='Données projet'!$A$140,'Données projet'!$B$140,CT31+CS32-DB31)))</f>
        <v>116</v>
      </c>
      <c r="CU32" s="17">
        <f>CT32*VLOOKUP('Données projet'!$B$13,Paramètres!$A$1:$I$89,3,0)*VLOOKUP('Données projet'!$B$13,Paramètres!$A$1:$I$89,5,0)</f>
        <v>104.9568</v>
      </c>
      <c r="CV32" s="13">
        <f t="shared" si="41"/>
        <v>28.139541339232373</v>
      </c>
      <c r="CW32" s="20">
        <f t="shared" si="13"/>
        <v>231.8094611658297</v>
      </c>
      <c r="CX32" s="59">
        <f t="shared" si="14"/>
        <v>523.9205722769409</v>
      </c>
      <c r="CY32" s="59">
        <f ca="1">AVERAGE(OFFSET($CX$3,0,0,'Données projet'!$E$13+1,1))-AVERAGE(OFFSET($H$3,0,0,'Données projet'!$E$13+1,1))</f>
        <v>528.15559695545812</v>
      </c>
      <c r="CZ32" s="59">
        <f t="shared" si="42"/>
        <v>276.26988364830532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</v>
      </c>
      <c r="DO32" s="12">
        <f>IF('Données projet'!$A$166&gt;35,DO31+DN32-DW31,IF(A32&lt;'Données projet'!$A$166,$DL$205^A32,IF(A32='Données projet'!$A$166,'Données projet'!$B$166,DO31+DN32-DW31)))</f>
        <v>116</v>
      </c>
      <c r="DP32" s="17">
        <f>DO32*VLOOKUP('Données projet'!$B$14,Paramètres!$A$1:$I$89,3,0)*VLOOKUP('Données projet'!$B$14,Paramètres!$A$1:$I$89,5,0)</f>
        <v>117.62400000000001</v>
      </c>
      <c r="DQ32" s="13">
        <f t="shared" si="43"/>
        <v>31.120192961985413</v>
      </c>
      <c r="DR32" s="20">
        <f t="shared" si="16"/>
        <v>259.06280274212457</v>
      </c>
      <c r="DS32" s="59">
        <f t="shared" si="17"/>
        <v>551.17391385323572</v>
      </c>
      <c r="DT32" s="59">
        <f ca="1">AVERAGE(OFFSET($DS$3,0,0,'Données projet'!$E$14+1,1))-AVERAGE(OFFSET($H$3,0,0,'Données projet'!$E$14+1,1))</f>
        <v>586.50020405958992</v>
      </c>
      <c r="DU32" s="59">
        <f t="shared" si="44"/>
        <v>304.44184537595294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11.8</v>
      </c>
      <c r="EJ32" s="12">
        <f>IF('Données projet'!$A$192&gt;35,EJ31+EI32-ER31,IF(A32&lt;'Données projet'!$A$192,$EG$205^A32,IF(A32='Données projet'!$A$192,'Données projet'!$B$192,EJ31+EI32-ER31)))</f>
        <v>134.19999999999996</v>
      </c>
      <c r="EK32" s="17">
        <f>EJ32*VLOOKUP('Données projet'!$B$15,Paramètres!$A$1:$I$89,3,0)*VLOOKUP('Données projet'!$B$15,Paramètres!$A$1:$I$89,5,0)</f>
        <v>129.79823999999996</v>
      </c>
      <c r="EL32" s="13">
        <f t="shared" si="45"/>
        <v>33.949734306644871</v>
      </c>
      <c r="EM32" s="20">
        <f t="shared" si="19"/>
        <v>285.19438858407307</v>
      </c>
      <c r="EN32" s="59">
        <f t="shared" si="20"/>
        <v>577.30549969518415</v>
      </c>
      <c r="EO32" s="59">
        <f ca="1">AVERAGE(OFFSET($EN$3,0,0,'Données projet'!$E$15+1,1))-AVERAGE(OFFSET($H$3,0,0,'Données projet'!$E$15+1,1))</f>
        <v>355.72173590705142</v>
      </c>
      <c r="EP32" s="59">
        <f t="shared" si="46"/>
        <v>346.30980704469363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134.19999999999996</v>
      </c>
      <c r="FF32" s="17">
        <f>FE32*VLOOKUP('Données projet'!$B$16,Paramètres!$A$1:$I$89,3,0)*VLOOKUP('Données projet'!$B$16,Paramètres!$A$1:$I$89,5,0)</f>
        <v>108.86303999999997</v>
      </c>
      <c r="FG32" s="13">
        <f t="shared" si="47"/>
        <v>29.062946162784755</v>
      </c>
      <c r="FH32" s="20">
        <f t="shared" si="22"/>
        <v>240.22109256685007</v>
      </c>
      <c r="FI32" s="59">
        <f t="shared" si="23"/>
        <v>532.33220367796116</v>
      </c>
      <c r="FJ32" s="59">
        <f ca="1">AVERAGE(OFFSET($FI$3,0,0,'Données projet'!$E$16+1,1))-AVERAGE(OFFSET($H$3,0,0,'Données projet'!$E$16+1,1))</f>
        <v>304.26232113495314</v>
      </c>
      <c r="FK32" s="59">
        <f t="shared" si="48"/>
        <v>297.47246687305056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169</v>
      </c>
      <c r="L33" s="12">
        <f>VLOOKUP(A33,'Données projet'!$A$35:$I$55,9,0)</f>
        <v>11</v>
      </c>
      <c r="M33" s="12">
        <f t="array" ref="M33">INDEX(L:L,MIN(IF(ISNUMBER(L33:L229),ROW(L33:L229),"")))</f>
        <v>11</v>
      </c>
      <c r="N33" s="13">
        <f>IF('Données projet'!$A$36&gt;35,N32+M33-V32,IF(A33&lt;'Données projet'!$A$36,$K$205^A33,IF(A33='Données projet'!$A$36,'Données projet'!$B$36,N32+M33-V32)))</f>
        <v>169</v>
      </c>
      <c r="O33" s="13">
        <f>N33*VLOOKUP('Données projet'!$B$9,Paramètres!$A$1:$I$89,3,0)*VLOOKUP('Données projet'!$B$9,Paramètres!$A$1:$I$89,5,0)</f>
        <v>147.63840000000002</v>
      </c>
      <c r="P33" s="13">
        <f t="shared" si="33"/>
        <v>38.04140887895133</v>
      </c>
      <c r="Q33" s="20">
        <f t="shared" si="2"/>
        <v>323.39233379750692</v>
      </c>
      <c r="R33" s="59">
        <f t="shared" si="0"/>
        <v>616.72566713084029</v>
      </c>
      <c r="S33" s="59">
        <f ca="1">AVERAGE(OFFSET($R$3,0,0,'Données projet'!$E$9+1,1))-AVERAGE(OFFSET($H$3,0,0,'Données projet'!$E$9+1,1))</f>
        <v>381.72225529388083</v>
      </c>
      <c r="T33" s="59">
        <f t="shared" si="34"/>
        <v>360.05900046417361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32</v>
      </c>
      <c r="W33" s="16">
        <f>IF(ISNA(VLOOKUP(A33,'Données projet'!$A$35:$I$55,5,0)),0%,VLOOKUP(A33,'Données projet'!$A$35:$I$55,5,0)*VLOOKUP('Données projet'!$B$9,Paramètres!$A$1:$I$89,7,0))</f>
        <v>0.17200000000000001</v>
      </c>
      <c r="X33" s="16">
        <f>IF(ISNA(VLOOKUP(A33,'Données projet'!$A$35:$I$55,6,0)),0%,VLOOKUP(A33,'Données projet'!$A$35:$I$55,6,0)*VLOOKUP('Données projet'!$B$9,Paramètres!$A$1:$I$89,7,0))</f>
        <v>0.129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10.789143809424234</v>
      </c>
      <c r="AA33" s="21">
        <f>EXP(-LN(2)/25)*AA32+(1-EXP(-LN(2)/25))/(LN(2)/25)*Calculateur!V33*Calculateur!X33*VLOOKUP('Données projet'!$B$9,Paramètres!$A$1:$I$89,3,0)*0.475*44/12</f>
        <v>8.9306522051952264</v>
      </c>
      <c r="AB33" s="21">
        <f>EXP(-LN(2)/2)*AB32+(1-EXP(-LN(2)/2))/(LN(2)/2)*V33*Y33*VLOOKUP('Données projet'!$B$9,Paramètres!$A$1:$I$89,3,0)*0.475*44/12</f>
        <v>1.579208100166487</v>
      </c>
      <c r="AC33" s="22">
        <f t="shared" si="3"/>
        <v>21.299004114785948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12.2</v>
      </c>
      <c r="AH33" s="12">
        <f t="array" ref="AH33">INDEX(AG:AG,MIN(IF(ISNUMBER(AG33:AG229),ROW(AG33:AG229),"")))</f>
        <v>12.2</v>
      </c>
      <c r="AI33" s="13">
        <f>IF('Données projet'!$A$62&gt;35,AI32+AH33-AQ32,IF(A33&lt;'Données projet'!$A$62,$AF$205^A33,IF(A33='Données projet'!$A$62,'Données projet'!$B$62,AI32+AH33-AQ32)))</f>
        <v>146</v>
      </c>
      <c r="AJ33" s="13">
        <f>AI33*VLOOKUP('Données projet'!$B$10,Paramètres!$A$1:$I$89,3,0)*VLOOKUP('Données projet'!$B$10,Paramètres!$A$1:$I$89,5,0)</f>
        <v>107.04719999999999</v>
      </c>
      <c r="AK33" s="13">
        <f t="shared" si="35"/>
        <v>28.634183951187907</v>
      </c>
      <c r="AL33" s="20">
        <f t="shared" si="4"/>
        <v>236.3117437149856</v>
      </c>
      <c r="AM33" s="59">
        <f t="shared" si="5"/>
        <v>529.64507704831885</v>
      </c>
      <c r="AN33" s="59">
        <f ca="1">AVERAGE(OFFSET($AM$3,0,0,'Données projet'!$E$10+1,1))-AVERAGE(OFFSET($H$3,0,0,'Données projet'!$E$10+1,1))</f>
        <v>464.3681853739115</v>
      </c>
      <c r="AO33" s="59">
        <f t="shared" si="36"/>
        <v>272.97841038165217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116.15759999999999</v>
      </c>
      <c r="BF33" s="13">
        <f t="shared" si="37"/>
        <v>30.777132266613055</v>
      </c>
      <c r="BG33" s="20">
        <f t="shared" si="7"/>
        <v>255.91132536435109</v>
      </c>
      <c r="BH33" s="59">
        <f t="shared" si="8"/>
        <v>549.24465869768437</v>
      </c>
      <c r="BI33" s="59">
        <f ca="1">AVERAGE(OFFSET($BH$3,0,0,'Données projet'!$E$11+1,1))-AVERAGE(OFFSET($H$3,0,0,'Données projet'!$E$11+1,1))</f>
        <v>299.10536994156814</v>
      </c>
      <c r="BJ33" s="59">
        <f t="shared" si="38"/>
        <v>292.57799203101769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299.10536994156814</v>
      </c>
      <c r="CE33" s="59">
        <f t="shared" si="40"/>
        <v>292.57799203101769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</v>
      </c>
      <c r="CT33" s="12">
        <f>IF('Données projet'!$A$140&gt;35,CT32+CS33-DB32,IF(A33&lt;'Données projet'!$A$140,$CQ$205^A33,IF(A33='Données projet'!$A$140,'Données projet'!$B$140,CT32+CS33-DB32)))</f>
        <v>120</v>
      </c>
      <c r="CU33" s="17">
        <f>CT33*VLOOKUP('Données projet'!$B$13,Paramètres!$A$1:$I$89,3,0)*VLOOKUP('Données projet'!$B$13,Paramètres!$A$1:$I$89,5,0)</f>
        <v>108.57599999999999</v>
      </c>
      <c r="CV33" s="13">
        <f t="shared" si="41"/>
        <v>28.995225061228002</v>
      </c>
      <c r="CW33" s="20">
        <f t="shared" si="13"/>
        <v>239.60321698163875</v>
      </c>
      <c r="CX33" s="59">
        <f t="shared" si="14"/>
        <v>532.93655031497201</v>
      </c>
      <c r="CY33" s="59">
        <f ca="1">AVERAGE(OFFSET($CX$3,0,0,'Données projet'!$E$13+1,1))-AVERAGE(OFFSET($H$3,0,0,'Données projet'!$E$13+1,1))</f>
        <v>528.15559695545812</v>
      </c>
      <c r="CZ33" s="59">
        <f t="shared" si="42"/>
        <v>276.26988364830532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</v>
      </c>
      <c r="DO33" s="12">
        <f>IF('Données projet'!$A$166&gt;35,DO32+DN33-DW32,IF(A33&lt;'Données projet'!$A$166,$DL$205^A33,IF(A33='Données projet'!$A$166,'Données projet'!$B$166,DO32+DN33-DW32)))</f>
        <v>120</v>
      </c>
      <c r="DP33" s="17">
        <f>DO33*VLOOKUP('Données projet'!$B$14,Paramètres!$A$1:$I$89,3,0)*VLOOKUP('Données projet'!$B$14,Paramètres!$A$1:$I$89,5,0)</f>
        <v>121.68</v>
      </c>
      <c r="DQ33" s="13">
        <f t="shared" si="43"/>
        <v>32.066514091456284</v>
      </c>
      <c r="DR33" s="20">
        <f t="shared" si="16"/>
        <v>267.77517870928631</v>
      </c>
      <c r="DS33" s="59">
        <f t="shared" si="17"/>
        <v>561.10851204261962</v>
      </c>
      <c r="DT33" s="59">
        <f ca="1">AVERAGE(OFFSET($DS$3,0,0,'Données projet'!$E$14+1,1))-AVERAGE(OFFSET($H$3,0,0,'Données projet'!$E$14+1,1))</f>
        <v>586.50020405958992</v>
      </c>
      <c r="DU33" s="59">
        <f t="shared" si="44"/>
        <v>304.44184537595294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11.8</v>
      </c>
      <c r="EI33" s="12">
        <f t="array" ref="EI33">INDEX(EH:EH,MIN(IF(ISNUMBER(EH33:EH229),ROW(EH33:EH229),"")))</f>
        <v>11.8</v>
      </c>
      <c r="EJ33" s="12">
        <f>IF('Données projet'!$A$192&gt;35,EJ32+EI33-ER32,IF(A33&lt;'Données projet'!$A$192,$EG$205^A33,IF(A33='Données projet'!$A$192,'Données projet'!$B$192,EJ32+EI33-ER32)))</f>
        <v>145.99999999999997</v>
      </c>
      <c r="EK33" s="17">
        <f>EJ33*VLOOKUP('Données projet'!$B$15,Paramètres!$A$1:$I$89,3,0)*VLOOKUP('Données projet'!$B$15,Paramètres!$A$1:$I$89,5,0)</f>
        <v>141.21119999999996</v>
      </c>
      <c r="EL33" s="13">
        <f t="shared" si="45"/>
        <v>36.574335145278738</v>
      </c>
      <c r="EM33" s="20">
        <f t="shared" si="19"/>
        <v>309.64314037802706</v>
      </c>
      <c r="EN33" s="59">
        <f t="shared" si="20"/>
        <v>602.97647371136031</v>
      </c>
      <c r="EO33" s="59">
        <f ca="1">AVERAGE(OFFSET($EN$3,0,0,'Données projet'!$E$15+1,1))-AVERAGE(OFFSET($H$3,0,0,'Données projet'!$E$15+1,1))</f>
        <v>355.72173590705142</v>
      </c>
      <c r="EP33" s="59">
        <f t="shared" si="46"/>
        <v>346.30980704469363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146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145.99999999999997</v>
      </c>
      <c r="FF33" s="17">
        <f>FE33*VLOOKUP('Données projet'!$B$16,Paramètres!$A$1:$I$89,3,0)*VLOOKUP('Données projet'!$B$16,Paramètres!$A$1:$I$89,5,0)</f>
        <v>118.43519999999998</v>
      </c>
      <c r="FG33" s="13">
        <f t="shared" si="47"/>
        <v>31.309757056296963</v>
      </c>
      <c r="FH33" s="20">
        <f t="shared" si="22"/>
        <v>260.80580020638388</v>
      </c>
      <c r="FI33" s="59">
        <f t="shared" si="23"/>
        <v>554.13913353971725</v>
      </c>
      <c r="FJ33" s="59">
        <f ca="1">AVERAGE(OFFSET($FI$3,0,0,'Données projet'!$E$16+1,1))-AVERAGE(OFFSET($H$3,0,0,'Données projet'!$E$16+1,1))</f>
        <v>304.26232113495314</v>
      </c>
      <c r="FK33" s="59">
        <f t="shared" si="48"/>
        <v>297.47246687305056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</v>
      </c>
      <c r="N34" s="13">
        <f>IF('Données projet'!$A$36&gt;35,N33+M34-V33,IF(A34&lt;'Données projet'!$A$36,$K$205^A34,IF(A34='Données projet'!$A$36,'Données projet'!$B$36,N33+M34-V33)))</f>
        <v>147.4</v>
      </c>
      <c r="O34" s="13">
        <f>N34*VLOOKUP('Données projet'!$B$9,Paramètres!$A$1:$I$89,3,0)*VLOOKUP('Données projet'!$B$9,Paramètres!$A$1:$I$89,5,0)</f>
        <v>128.76864000000003</v>
      </c>
      <c r="P34" s="13">
        <f t="shared" si="33"/>
        <v>33.711670780700224</v>
      </c>
      <c r="Q34" s="20">
        <f t="shared" si="2"/>
        <v>282.98654127638628</v>
      </c>
      <c r="R34" s="59">
        <f t="shared" si="0"/>
        <v>576.31987460971959</v>
      </c>
      <c r="S34" s="59">
        <f ca="1">AVERAGE(OFFSET($R$3,0,0,'Données projet'!$E$9+1,1))-AVERAGE(OFFSET($H$3,0,0,'Données projet'!$E$9+1,1))</f>
        <v>381.72225529388083</v>
      </c>
      <c r="T34" s="59">
        <f t="shared" si="34"/>
        <v>360.05900046417361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10.577575280049356</v>
      </c>
      <c r="AA34" s="21">
        <f>EXP(-LN(2)/25)*AA33+(1-EXP(-LN(2)/25))/(LN(2)/25)*Calculateur!V34*Calculateur!X34*VLOOKUP('Données projet'!$B$9,Paramètres!$A$1:$I$89,3,0)*0.475*44/12</f>
        <v>8.6864430510015751</v>
      </c>
      <c r="AB34" s="21">
        <f>EXP(-LN(2)/2)*AB33+(1-EXP(-LN(2)/2))/(LN(2)/2)*V34*Y34*VLOOKUP('Données projet'!$B$9,Paramètres!$A$1:$I$89,3,0)*0.475*44/12</f>
        <v>1.1166687565324476</v>
      </c>
      <c r="AC34" s="22">
        <f t="shared" si="3"/>
        <v>20.380687087583379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123.80000000000001</v>
      </c>
      <c r="AJ34" s="13">
        <f>AI34*VLOOKUP('Données projet'!$B$10,Paramètres!$A$1:$I$89,3,0)*VLOOKUP('Données projet'!$B$10,Paramètres!$A$1:$I$89,5,0)</f>
        <v>90.770160000000004</v>
      </c>
      <c r="AK34" s="13">
        <f t="shared" si="35"/>
        <v>24.75087682638571</v>
      </c>
      <c r="AL34" s="20">
        <f t="shared" si="4"/>
        <v>201.19913913928846</v>
      </c>
      <c r="AM34" s="59">
        <f t="shared" si="5"/>
        <v>494.53247247262175</v>
      </c>
      <c r="AN34" s="59">
        <f ca="1">AVERAGE(OFFSET($AM$3,0,0,'Données projet'!$E$10+1,1))-AVERAGE(OFFSET($H$3,0,0,'Données projet'!$E$10+1,1))</f>
        <v>464.3681853739115</v>
      </c>
      <c r="AO34" s="59">
        <f t="shared" si="36"/>
        <v>272.97841038165217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102.47327999999999</v>
      </c>
      <c r="BF34" s="13">
        <f t="shared" si="37"/>
        <v>27.550381949314474</v>
      </c>
      <c r="BG34" s="20">
        <f t="shared" si="7"/>
        <v>226.45787789505599</v>
      </c>
      <c r="BH34" s="59">
        <f t="shared" si="8"/>
        <v>519.79121122838933</v>
      </c>
      <c r="BI34" s="59">
        <f ca="1">AVERAGE(OFFSET($BH$3,0,0,'Données projet'!$E$11+1,1))-AVERAGE(OFFSET($H$3,0,0,'Données projet'!$E$11+1,1))</f>
        <v>299.10536994156814</v>
      </c>
      <c r="BJ34" s="59">
        <f t="shared" si="38"/>
        <v>292.57799203101769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299.10536994156814</v>
      </c>
      <c r="CE34" s="59">
        <f t="shared" si="40"/>
        <v>292.57799203101769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</v>
      </c>
      <c r="CT34" s="12">
        <f>IF('Données projet'!$A$140&gt;35,CT33+CS34-DB33,IF(A34&lt;'Données projet'!$A$140,$CQ$205^A34,IF(A34='Données projet'!$A$140,'Données projet'!$B$140,CT33+CS34-DB33)))</f>
        <v>124</v>
      </c>
      <c r="CU34" s="17">
        <f>CT34*VLOOKUP('Données projet'!$B$13,Paramètres!$A$1:$I$89,3,0)*VLOOKUP('Données projet'!$B$13,Paramètres!$A$1:$I$89,5,0)</f>
        <v>112.1952</v>
      </c>
      <c r="CV34" s="13">
        <f t="shared" si="41"/>
        <v>29.847594514573263</v>
      </c>
      <c r="CW34" s="20">
        <f t="shared" si="13"/>
        <v>247.39120044621509</v>
      </c>
      <c r="CX34" s="59">
        <f t="shared" si="14"/>
        <v>540.72453377954844</v>
      </c>
      <c r="CY34" s="59">
        <f ca="1">AVERAGE(OFFSET($CX$3,0,0,'Données projet'!$E$13+1,1))-AVERAGE(OFFSET($H$3,0,0,'Données projet'!$E$13+1,1))</f>
        <v>528.15559695545812</v>
      </c>
      <c r="CZ34" s="59">
        <f t="shared" si="42"/>
        <v>276.26988364830532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</v>
      </c>
      <c r="DO34" s="12">
        <f>IF('Données projet'!$A$166&gt;35,DO33+DN34-DW33,IF(A34&lt;'Données projet'!$A$166,$DL$205^A34,IF(A34='Données projet'!$A$166,'Données projet'!$B$166,DO33+DN34-DW33)))</f>
        <v>124</v>
      </c>
      <c r="DP34" s="17">
        <f>DO34*VLOOKUP('Données projet'!$B$14,Paramètres!$A$1:$I$89,3,0)*VLOOKUP('Données projet'!$B$14,Paramètres!$A$1:$I$89,5,0)</f>
        <v>125.73600000000002</v>
      </c>
      <c r="DQ34" s="13">
        <f t="shared" si="43"/>
        <v>33.0091698918201</v>
      </c>
      <c r="DR34" s="20">
        <f t="shared" si="16"/>
        <v>276.48117089492001</v>
      </c>
      <c r="DS34" s="59">
        <f t="shared" si="17"/>
        <v>569.81450422825333</v>
      </c>
      <c r="DT34" s="59">
        <f ca="1">AVERAGE(OFFSET($DS$3,0,0,'Données projet'!$E$14+1,1))-AVERAGE(OFFSET($H$3,0,0,'Données projet'!$E$14+1,1))</f>
        <v>586.50020405958992</v>
      </c>
      <c r="DU34" s="59">
        <f t="shared" si="44"/>
        <v>304.44184537595294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10.8</v>
      </c>
      <c r="EJ34" s="12">
        <f>IF('Données projet'!$A$192&gt;35,EJ33+EI34-ER33,IF(A34&lt;'Données projet'!$A$192,$EG$205^A34,IF(A34='Données projet'!$A$192,'Données projet'!$B$192,EJ33+EI34-ER33)))</f>
        <v>128.79999999999998</v>
      </c>
      <c r="EK34" s="17">
        <f>EJ34*VLOOKUP('Données projet'!$B$15,Paramètres!$A$1:$I$89,3,0)*VLOOKUP('Données projet'!$B$15,Paramètres!$A$1:$I$89,5,0)</f>
        <v>124.57535999999999</v>
      </c>
      <c r="EL34" s="13">
        <f t="shared" si="45"/>
        <v>32.739791806000952</v>
      </c>
      <c r="EM34" s="20">
        <f t="shared" si="19"/>
        <v>273.99055606211823</v>
      </c>
      <c r="EN34" s="59">
        <f t="shared" si="20"/>
        <v>567.32388939545149</v>
      </c>
      <c r="EO34" s="59">
        <f ca="1">AVERAGE(OFFSET($EN$3,0,0,'Données projet'!$E$15+1,1))-AVERAGE(OFFSET($H$3,0,0,'Données projet'!$E$15+1,1))</f>
        <v>355.72173590705142</v>
      </c>
      <c r="EP34" s="59">
        <f t="shared" si="46"/>
        <v>346.30980704469363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128.79999999999998</v>
      </c>
      <c r="FF34" s="17">
        <f>FE34*VLOOKUP('Données projet'!$B$16,Paramètres!$A$1:$I$89,3,0)*VLOOKUP('Données projet'!$B$16,Paramètres!$A$1:$I$89,5,0)</f>
        <v>104.48256000000001</v>
      </c>
      <c r="FG34" s="13">
        <f t="shared" si="47"/>
        <v>28.02716504477474</v>
      </c>
      <c r="FH34" s="20">
        <f t="shared" si="22"/>
        <v>230.78777111964931</v>
      </c>
      <c r="FI34" s="59">
        <f t="shared" si="23"/>
        <v>524.12110445298265</v>
      </c>
      <c r="FJ34" s="59">
        <f ca="1">AVERAGE(OFFSET($FI$3,0,0,'Données projet'!$E$16+1,1))-AVERAGE(OFFSET($H$3,0,0,'Données projet'!$E$16+1,1))</f>
        <v>304.26232113495314</v>
      </c>
      <c r="FK34" s="59">
        <f t="shared" si="48"/>
        <v>297.47246687305056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</v>
      </c>
      <c r="N35" s="13">
        <f>IF('Données projet'!$A$36&gt;35,N34+M35-V34,IF(A35&lt;'Données projet'!$A$36,$K$205^A35,IF(A35='Données projet'!$A$36,'Données projet'!$B$36,N34+M35-V34)))</f>
        <v>157.80000000000001</v>
      </c>
      <c r="O35" s="13">
        <f>N35*VLOOKUP('Données projet'!$B$9,Paramètres!$A$1:$I$89,3,0)*VLOOKUP('Données projet'!$B$9,Paramètres!$A$1:$I$89,5,0)</f>
        <v>137.85408000000001</v>
      </c>
      <c r="P35" s="13">
        <f t="shared" si="33"/>
        <v>35.804964283629964</v>
      </c>
      <c r="Q35" s="20">
        <f t="shared" ref="Q35:Q66" si="53">(O35+P35)*0.475*44/12</f>
        <v>302.45616879398887</v>
      </c>
      <c r="R35" s="59">
        <f t="shared" si="0"/>
        <v>595.78950212732218</v>
      </c>
      <c r="S35" s="59">
        <f ca="1">AVERAGE(OFFSET($R$3,0,0,'Données projet'!$E$9+1,1))-AVERAGE(OFFSET($H$3,0,0,'Données projet'!$E$9+1,1))</f>
        <v>381.72225529388083</v>
      </c>
      <c r="T35" s="59">
        <f t="shared" si="34"/>
        <v>360.05900046417361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10.370155480491459</v>
      </c>
      <c r="AA35" s="21">
        <f>EXP(-LN(2)/25)*AA34+(1-EXP(-LN(2)/25))/(LN(2)/25)*Calculateur!V35*Calculateur!X35*VLOOKUP('Données projet'!$B$9,Paramètres!$A$1:$I$89,3,0)*0.475*44/12</f>
        <v>8.4489118089717508</v>
      </c>
      <c r="AB35" s="21">
        <f>EXP(-LN(2)/2)*AB34+(1-EXP(-LN(2)/2))/(LN(2)/2)*V35*Y35*VLOOKUP('Données projet'!$B$9,Paramètres!$A$1:$I$89,3,0)*0.475*44/12</f>
        <v>0.78960405008324352</v>
      </c>
      <c r="AC35" s="22">
        <f t="shared" si="3"/>
        <v>19.608671339546454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136.60000000000002</v>
      </c>
      <c r="AJ35" s="13">
        <f>AI35*VLOOKUP('Données projet'!$B$10,Paramètres!$A$1:$I$89,3,0)*VLOOKUP('Données projet'!$B$10,Paramètres!$A$1:$I$89,5,0)</f>
        <v>100.15512000000003</v>
      </c>
      <c r="AK35" s="13">
        <f t="shared" si="35"/>
        <v>26.998949414913174</v>
      </c>
      <c r="AL35" s="20">
        <f t="shared" si="4"/>
        <v>221.46000423097382</v>
      </c>
      <c r="AM35" s="59">
        <f t="shared" si="5"/>
        <v>514.79333756430719</v>
      </c>
      <c r="AN35" s="59">
        <f ca="1">AVERAGE(OFFSET($AM$3,0,0,'Données projet'!$E$10+1,1))-AVERAGE(OFFSET($H$3,0,0,'Données projet'!$E$10+1,1))</f>
        <v>464.3681853739115</v>
      </c>
      <c r="AO35" s="59">
        <f t="shared" si="36"/>
        <v>272.97841038165217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111.06576</v>
      </c>
      <c r="BF35" s="13">
        <f t="shared" si="37"/>
        <v>29.581944857062648</v>
      </c>
      <c r="BG35" s="20">
        <f t="shared" si="7"/>
        <v>244.96141929271744</v>
      </c>
      <c r="BH35" s="59">
        <f t="shared" si="8"/>
        <v>538.29475262605069</v>
      </c>
      <c r="BI35" s="59">
        <f ca="1">AVERAGE(OFFSET($BH$3,0,0,'Données projet'!$E$11+1,1))-AVERAGE(OFFSET($H$3,0,0,'Données projet'!$E$11+1,1))</f>
        <v>299.10536994156814</v>
      </c>
      <c r="BJ35" s="59">
        <f t="shared" si="38"/>
        <v>292.57799203101769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299.10536994156814</v>
      </c>
      <c r="CE35" s="59">
        <f t="shared" si="40"/>
        <v>292.57799203101769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</v>
      </c>
      <c r="CT35" s="12">
        <f>IF('Données projet'!$A$140&gt;35,CT34+CS35-DB34,IF(A35&lt;'Données projet'!$A$140,$CQ$205^A35,IF(A35='Données projet'!$A$140,'Données projet'!$B$140,CT34+CS35-DB34)))</f>
        <v>128</v>
      </c>
      <c r="CU35" s="17">
        <f>CT35*VLOOKUP('Données projet'!$B$13,Paramètres!$A$1:$I$89,3,0)*VLOOKUP('Données projet'!$B$13,Paramètres!$A$1:$I$89,5,0)</f>
        <v>115.81439999999999</v>
      </c>
      <c r="CV35" s="13">
        <f t="shared" si="41"/>
        <v>30.696768873861398</v>
      </c>
      <c r="CW35" s="20">
        <f t="shared" si="13"/>
        <v>255.17361912197524</v>
      </c>
      <c r="CX35" s="59">
        <f t="shared" si="14"/>
        <v>548.50695245530858</v>
      </c>
      <c r="CY35" s="59">
        <f ca="1">AVERAGE(OFFSET($CX$3,0,0,'Données projet'!$E$13+1,1))-AVERAGE(OFFSET($H$3,0,0,'Données projet'!$E$13+1,1))</f>
        <v>528.15559695545812</v>
      </c>
      <c r="CZ35" s="59">
        <f t="shared" si="42"/>
        <v>276.26988364830532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</v>
      </c>
      <c r="DO35" s="12">
        <f>IF('Données projet'!$A$166&gt;35,DO34+DN35-DW34,IF(A35&lt;'Données projet'!$A$166,$DL$205^A35,IF(A35='Données projet'!$A$166,'Données projet'!$B$166,DO34+DN35-DW34)))</f>
        <v>128</v>
      </c>
      <c r="DP35" s="17">
        <f>DO35*VLOOKUP('Données projet'!$B$14,Paramètres!$A$1:$I$89,3,0)*VLOOKUP('Données projet'!$B$14,Paramètres!$A$1:$I$89,5,0)</f>
        <v>129.792</v>
      </c>
      <c r="DQ35" s="13">
        <f t="shared" si="43"/>
        <v>33.94829216111502</v>
      </c>
      <c r="DR35" s="20">
        <f t="shared" si="16"/>
        <v>285.18100884727528</v>
      </c>
      <c r="DS35" s="59">
        <f t="shared" si="17"/>
        <v>578.51434218060854</v>
      </c>
      <c r="DT35" s="59">
        <f ca="1">AVERAGE(OFFSET($DS$3,0,0,'Données projet'!$E$14+1,1))-AVERAGE(OFFSET($H$3,0,0,'Données projet'!$E$14+1,1))</f>
        <v>586.50020405958992</v>
      </c>
      <c r="DU35" s="59">
        <f t="shared" si="44"/>
        <v>304.44184537595294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10.8</v>
      </c>
      <c r="EJ35" s="12">
        <f>IF('Données projet'!$A$192&gt;35,EJ34+EI35-ER34,IF(A35&lt;'Données projet'!$A$192,$EG$205^A35,IF(A35='Données projet'!$A$192,'Données projet'!$B$192,EJ34+EI35-ER34)))</f>
        <v>139.6</v>
      </c>
      <c r="EK35" s="17">
        <f>EJ35*VLOOKUP('Données projet'!$B$15,Paramètres!$A$1:$I$89,3,0)*VLOOKUP('Données projet'!$B$15,Paramètres!$A$1:$I$89,5,0)</f>
        <v>135.02112</v>
      </c>
      <c r="EL35" s="13">
        <f t="shared" si="45"/>
        <v>35.154021371414437</v>
      </c>
      <c r="EM35" s="20">
        <f t="shared" si="19"/>
        <v>296.38837122188016</v>
      </c>
      <c r="EN35" s="59">
        <f t="shared" si="20"/>
        <v>589.72170455521348</v>
      </c>
      <c r="EO35" s="59">
        <f ca="1">AVERAGE(OFFSET($EN$3,0,0,'Données projet'!$E$15+1,1))-AVERAGE(OFFSET($H$3,0,0,'Données projet'!$E$15+1,1))</f>
        <v>355.72173590705142</v>
      </c>
      <c r="EP35" s="59">
        <f t="shared" si="46"/>
        <v>346.30980704469363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139.6</v>
      </c>
      <c r="FF35" s="17">
        <f>FE35*VLOOKUP('Données projet'!$B$16,Paramètres!$A$1:$I$89,3,0)*VLOOKUP('Données projet'!$B$16,Paramètres!$A$1:$I$89,5,0)</f>
        <v>113.24352</v>
      </c>
      <c r="FG35" s="13">
        <f t="shared" si="47"/>
        <v>30.093885898919435</v>
      </c>
      <c r="FH35" s="20">
        <f t="shared" si="22"/>
        <v>249.64598194061804</v>
      </c>
      <c r="FI35" s="59">
        <f t="shared" si="23"/>
        <v>542.97931527395133</v>
      </c>
      <c r="FJ35" s="59">
        <f ca="1">AVERAGE(OFFSET($FI$3,0,0,'Données projet'!$E$16+1,1))-AVERAGE(OFFSET($H$3,0,0,'Données projet'!$E$16+1,1))</f>
        <v>304.26232113495314</v>
      </c>
      <c r="FK35" s="59">
        <f t="shared" si="48"/>
        <v>297.47246687305056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</v>
      </c>
      <c r="N36" s="13">
        <f>IF('Données projet'!$A$36&gt;35,N35+M36-V35,IF(A36&lt;'Données projet'!$A$36,$K$205^A36,IF(A36='Données projet'!$A$36,'Données projet'!$B$36,N35+M36-V35)))</f>
        <v>168.20000000000002</v>
      </c>
      <c r="O36" s="13">
        <f>N36*VLOOKUP('Données projet'!$B$9,Paramètres!$A$1:$I$89,3,0)*VLOOKUP('Données projet'!$B$9,Paramètres!$A$1:$I$89,5,0)</f>
        <v>146.93952000000004</v>
      </c>
      <c r="P36" s="13">
        <f t="shared" si="33"/>
        <v>37.882248330654257</v>
      </c>
      <c r="Q36" s="20">
        <f t="shared" si="53"/>
        <v>321.89791317588953</v>
      </c>
      <c r="R36" s="59">
        <f t="shared" si="0"/>
        <v>615.23124650922284</v>
      </c>
      <c r="S36" s="59">
        <f ca="1">AVERAGE(OFFSET($R$3,0,0,'Données projet'!$E$9+1,1))-AVERAGE(OFFSET($H$3,0,0,'Données projet'!$E$9+1,1))</f>
        <v>381.72225529388083</v>
      </c>
      <c r="T36" s="59">
        <f t="shared" si="34"/>
        <v>360.05900046417361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10.166803056689306</v>
      </c>
      <c r="AA36" s="21">
        <f>EXP(-LN(2)/25)*AA35+(1-EXP(-LN(2)/25))/(LN(2)/25)*Calculateur!V36*Calculateur!X36*VLOOKUP('Données projet'!$B$9,Paramètres!$A$1:$I$89,3,0)*0.475*44/12</f>
        <v>8.2178758712464557</v>
      </c>
      <c r="AB36" s="21">
        <f>EXP(-LN(2)/2)*AB35+(1-EXP(-LN(2)/2))/(LN(2)/2)*V36*Y36*VLOOKUP('Données projet'!$B$9,Paramètres!$A$1:$I$89,3,0)*0.475*44/12</f>
        <v>0.55833437826622379</v>
      </c>
      <c r="AC36" s="22">
        <f t="shared" si="3"/>
        <v>18.943013306201983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149.40000000000003</v>
      </c>
      <c r="AJ36" s="13">
        <f>AI36*VLOOKUP('Données projet'!$B$10,Paramètres!$A$1:$I$89,3,0)*VLOOKUP('Données projet'!$B$10,Paramètres!$A$1:$I$89,5,0)</f>
        <v>109.54008000000003</v>
      </c>
      <c r="AK36" s="13">
        <f t="shared" si="35"/>
        <v>29.222597423750106</v>
      </c>
      <c r="AL36" s="20">
        <f t="shared" si="4"/>
        <v>241.67832984636482</v>
      </c>
      <c r="AM36" s="59">
        <f t="shared" si="5"/>
        <v>535.01166317969819</v>
      </c>
      <c r="AN36" s="59">
        <f ca="1">AVERAGE(OFFSET($AM$3,0,0,'Données projet'!$E$10+1,1))-AVERAGE(OFFSET($H$3,0,0,'Données projet'!$E$10+1,1))</f>
        <v>464.3681853739115</v>
      </c>
      <c r="AO36" s="59">
        <f t="shared" si="36"/>
        <v>272.97841038165217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119.65824000000002</v>
      </c>
      <c r="BF36" s="13">
        <f t="shared" si="37"/>
        <v>31.595276160231336</v>
      </c>
      <c r="BG36" s="20">
        <f t="shared" si="7"/>
        <v>263.43320731240294</v>
      </c>
      <c r="BH36" s="59">
        <f t="shared" si="8"/>
        <v>556.76654064573631</v>
      </c>
      <c r="BI36" s="59">
        <f ca="1">AVERAGE(OFFSET($BH$3,0,0,'Données projet'!$E$11+1,1))-AVERAGE(OFFSET($H$3,0,0,'Données projet'!$E$11+1,1))</f>
        <v>299.10536994156814</v>
      </c>
      <c r="BJ36" s="59">
        <f t="shared" si="38"/>
        <v>292.57799203101769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299.10536994156814</v>
      </c>
      <c r="CE36" s="59">
        <f t="shared" si="40"/>
        <v>292.57799203101769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</v>
      </c>
      <c r="CT36" s="12">
        <f>IF('Données projet'!$A$140&gt;35,CT35+CS36-DB35,IF(A36&lt;'Données projet'!$A$140,$CQ$205^A36,IF(A36='Données projet'!$A$140,'Données projet'!$B$140,CT35+CS36-DB35)))</f>
        <v>132</v>
      </c>
      <c r="CU36" s="17">
        <f>CT36*VLOOKUP('Données projet'!$B$13,Paramètres!$A$1:$I$89,3,0)*VLOOKUP('Données projet'!$B$13,Paramètres!$A$1:$I$89,5,0)</f>
        <v>119.43359999999998</v>
      </c>
      <c r="CV36" s="13">
        <f t="shared" si="41"/>
        <v>31.54285944220668</v>
      </c>
      <c r="CW36" s="20">
        <f t="shared" si="13"/>
        <v>262.95066686184327</v>
      </c>
      <c r="CX36" s="59">
        <f t="shared" si="14"/>
        <v>556.28400019517653</v>
      </c>
      <c r="CY36" s="59">
        <f ca="1">AVERAGE(OFFSET($CX$3,0,0,'Données projet'!$E$13+1,1))-AVERAGE(OFFSET($H$3,0,0,'Données projet'!$E$13+1,1))</f>
        <v>528.15559695545812</v>
      </c>
      <c r="CZ36" s="59">
        <f t="shared" si="42"/>
        <v>276.26988364830532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</v>
      </c>
      <c r="DO36" s="12">
        <f>IF('Données projet'!$A$166&gt;35,DO35+DN36-DW35,IF(A36&lt;'Données projet'!$A$166,$DL$205^A36,IF(A36='Données projet'!$A$166,'Données projet'!$B$166,DO35+DN36-DW35)))</f>
        <v>132</v>
      </c>
      <c r="DP36" s="17">
        <f>DO36*VLOOKUP('Données projet'!$B$14,Paramètres!$A$1:$I$89,3,0)*VLOOKUP('Données projet'!$B$14,Paramètres!$A$1:$I$89,5,0)</f>
        <v>133.84800000000001</v>
      </c>
      <c r="DQ36" s="13">
        <f t="shared" si="43"/>
        <v>34.884003992121691</v>
      </c>
      <c r="DR36" s="20">
        <f t="shared" si="16"/>
        <v>293.87490695294525</v>
      </c>
      <c r="DS36" s="59">
        <f t="shared" si="17"/>
        <v>587.20824028627862</v>
      </c>
      <c r="DT36" s="59">
        <f ca="1">AVERAGE(OFFSET($DS$3,0,0,'Données projet'!$E$14+1,1))-AVERAGE(OFFSET($H$3,0,0,'Données projet'!$E$14+1,1))</f>
        <v>586.50020405958992</v>
      </c>
      <c r="DU36" s="59">
        <f t="shared" si="44"/>
        <v>304.44184537595294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10.8</v>
      </c>
      <c r="EJ36" s="12">
        <f>IF('Données projet'!$A$192&gt;35,EJ35+EI36-ER35,IF(A36&lt;'Données projet'!$A$192,$EG$205^A36,IF(A36='Données projet'!$A$192,'Données projet'!$B$192,EJ35+EI36-ER35)))</f>
        <v>150.4</v>
      </c>
      <c r="EK36" s="17">
        <f>EJ36*VLOOKUP('Données projet'!$B$15,Paramètres!$A$1:$I$89,3,0)*VLOOKUP('Données projet'!$B$15,Paramètres!$A$1:$I$89,5,0)</f>
        <v>145.46688</v>
      </c>
      <c r="EL36" s="13">
        <f t="shared" si="45"/>
        <v>37.546585214032511</v>
      </c>
      <c r="EM36" s="20">
        <f t="shared" si="19"/>
        <v>318.74845191443995</v>
      </c>
      <c r="EN36" s="59">
        <f t="shared" si="20"/>
        <v>612.08178524777327</v>
      </c>
      <c r="EO36" s="59">
        <f ca="1">AVERAGE(OFFSET($EN$3,0,0,'Données projet'!$E$15+1,1))-AVERAGE(OFFSET($H$3,0,0,'Données projet'!$E$15+1,1))</f>
        <v>355.72173590705142</v>
      </c>
      <c r="EP36" s="59">
        <f t="shared" si="46"/>
        <v>346.30980704469363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150.4</v>
      </c>
      <c r="FF36" s="17">
        <f>FE36*VLOOKUP('Données projet'!$B$16,Paramètres!$A$1:$I$89,3,0)*VLOOKUP('Données projet'!$B$16,Paramètres!$A$1:$I$89,5,0)</f>
        <v>122.00448000000003</v>
      </c>
      <c r="FG36" s="13">
        <f t="shared" si="47"/>
        <v>32.142059634860118</v>
      </c>
      <c r="FH36" s="20">
        <f t="shared" si="22"/>
        <v>268.47188986404808</v>
      </c>
      <c r="FI36" s="59">
        <f t="shared" si="23"/>
        <v>561.80522319738134</v>
      </c>
      <c r="FJ36" s="59">
        <f ca="1">AVERAGE(OFFSET($FI$3,0,0,'Données projet'!$E$16+1,1))-AVERAGE(OFFSET($H$3,0,0,'Données projet'!$E$16+1,1))</f>
        <v>304.26232113495314</v>
      </c>
      <c r="FK36" s="59">
        <f t="shared" si="48"/>
        <v>297.47246687305056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</v>
      </c>
      <c r="N37" s="13">
        <f>IF('Données projet'!$A$36&gt;35,N36+M37-V36,IF(A37&lt;'Données projet'!$A$36,$K$205^A37,IF(A37='Données projet'!$A$36,'Données projet'!$B$36,N36+M37-V36)))</f>
        <v>178.60000000000002</v>
      </c>
      <c r="O37" s="13">
        <f>N37*VLOOKUP('Données projet'!$B$9,Paramètres!$A$1:$I$89,3,0)*VLOOKUP('Données projet'!$B$9,Paramètres!$A$1:$I$89,5,0)</f>
        <v>156.02496000000005</v>
      </c>
      <c r="P37" s="13">
        <f t="shared" si="33"/>
        <v>39.944625507905997</v>
      </c>
      <c r="Q37" s="20">
        <f t="shared" si="53"/>
        <v>341.31369475960304</v>
      </c>
      <c r="R37" s="59">
        <f t="shared" si="0"/>
        <v>634.64702809293635</v>
      </c>
      <c r="S37" s="59">
        <f ca="1">AVERAGE(OFFSET($R$3,0,0,'Données projet'!$E$9+1,1))-AVERAGE(OFFSET($H$3,0,0,'Données projet'!$E$9+1,1))</f>
        <v>381.72225529388083</v>
      </c>
      <c r="T37" s="59">
        <f t="shared" si="34"/>
        <v>360.05900046417361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9.9674382498851806</v>
      </c>
      <c r="AA37" s="21">
        <f>EXP(-LN(2)/25)*AA36+(1-EXP(-LN(2)/25))/(LN(2)/25)*Calculateur!V37*Calculateur!X37*VLOOKUP('Données projet'!$B$9,Paramètres!$A$1:$I$89,3,0)*0.475*44/12</f>
        <v>7.9931576233879111</v>
      </c>
      <c r="AB37" s="21">
        <f>EXP(-LN(2)/2)*AB36+(1-EXP(-LN(2)/2))/(LN(2)/2)*V37*Y37*VLOOKUP('Données projet'!$B$9,Paramètres!$A$1:$I$89,3,0)*0.475*44/12</f>
        <v>0.39480202504162176</v>
      </c>
      <c r="AC37" s="22">
        <f t="shared" si="3"/>
        <v>18.355397898314713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162.20000000000005</v>
      </c>
      <c r="AJ37" s="13">
        <f>AI37*VLOOKUP('Données projet'!$B$10,Paramètres!$A$1:$I$89,3,0)*VLOOKUP('Données projet'!$B$10,Paramètres!$A$1:$I$89,5,0)</f>
        <v>118.92504000000004</v>
      </c>
      <c r="AK37" s="13">
        <f t="shared" si="35"/>
        <v>31.424151376563206</v>
      </c>
      <c r="AL37" s="20">
        <f t="shared" si="4"/>
        <v>261.85817498084765</v>
      </c>
      <c r="AM37" s="59">
        <f t="shared" si="5"/>
        <v>555.19150831418096</v>
      </c>
      <c r="AN37" s="59">
        <f ca="1">AVERAGE(OFFSET($AM$3,0,0,'Données projet'!$E$10+1,1))-AVERAGE(OFFSET($H$3,0,0,'Données projet'!$E$10+1,1))</f>
        <v>464.3681853739115</v>
      </c>
      <c r="AO37" s="59">
        <f t="shared" si="36"/>
        <v>272.97841038165217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128.25072</v>
      </c>
      <c r="BF37" s="13">
        <f t="shared" si="37"/>
        <v>33.591833937449593</v>
      </c>
      <c r="BG37" s="20">
        <f t="shared" si="7"/>
        <v>281.875781441058</v>
      </c>
      <c r="BH37" s="59">
        <f t="shared" si="8"/>
        <v>575.20911477439131</v>
      </c>
      <c r="BI37" s="59">
        <f ca="1">AVERAGE(OFFSET($BH$3,0,0,'Données projet'!$E$11+1,1))-AVERAGE(OFFSET($H$3,0,0,'Données projet'!$E$11+1,1))</f>
        <v>299.10536994156814</v>
      </c>
      <c r="BJ37" s="59">
        <f t="shared" si="38"/>
        <v>292.57799203101769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299.10536994156814</v>
      </c>
      <c r="CE37" s="59">
        <f t="shared" si="40"/>
        <v>292.57799203101769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</v>
      </c>
      <c r="CT37" s="12">
        <f>IF('Données projet'!$A$140&gt;35,CT36+CS37-DB36,IF(A37&lt;'Données projet'!$A$140,$CQ$205^A37,IF(A37='Données projet'!$A$140,'Données projet'!$B$140,CT36+CS37-DB36)))</f>
        <v>136</v>
      </c>
      <c r="CU37" s="17">
        <f>CT37*VLOOKUP('Données projet'!$B$13,Paramètres!$A$1:$I$89,3,0)*VLOOKUP('Données projet'!$B$13,Paramètres!$A$1:$I$89,5,0)</f>
        <v>123.05279999999999</v>
      </c>
      <c r="CV37" s="13">
        <f t="shared" si="41"/>
        <v>32.385970393750824</v>
      </c>
      <c r="CW37" s="20">
        <f t="shared" si="13"/>
        <v>270.72252510244931</v>
      </c>
      <c r="CX37" s="59">
        <f t="shared" si="14"/>
        <v>564.05585843578262</v>
      </c>
      <c r="CY37" s="59">
        <f ca="1">AVERAGE(OFFSET($CX$3,0,0,'Données projet'!$E$13+1,1))-AVERAGE(OFFSET($H$3,0,0,'Données projet'!$E$13+1,1))</f>
        <v>528.15559695545812</v>
      </c>
      <c r="CZ37" s="59">
        <f t="shared" si="42"/>
        <v>276.26988364830532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</v>
      </c>
      <c r="DO37" s="12">
        <f>IF('Données projet'!$A$166&gt;35,DO36+DN37-DW36,IF(A37&lt;'Données projet'!$A$166,$DL$205^A37,IF(A37='Données projet'!$A$166,'Données projet'!$B$166,DO36+DN37-DW36)))</f>
        <v>136</v>
      </c>
      <c r="DP37" s="17">
        <f>DO37*VLOOKUP('Données projet'!$B$14,Paramètres!$A$1:$I$89,3,0)*VLOOKUP('Données projet'!$B$14,Paramètres!$A$1:$I$89,5,0)</f>
        <v>137.90400000000002</v>
      </c>
      <c r="DQ37" s="13">
        <f t="shared" si="43"/>
        <v>35.816420593519346</v>
      </c>
      <c r="DR37" s="20">
        <f t="shared" si="16"/>
        <v>302.56306586704625</v>
      </c>
      <c r="DS37" s="59">
        <f t="shared" si="17"/>
        <v>595.89639920037962</v>
      </c>
      <c r="DT37" s="59">
        <f ca="1">AVERAGE(OFFSET($DS$3,0,0,'Données projet'!$E$14+1,1))-AVERAGE(OFFSET($H$3,0,0,'Données projet'!$E$14+1,1))</f>
        <v>586.50020405958992</v>
      </c>
      <c r="DU37" s="59">
        <f t="shared" si="44"/>
        <v>304.44184537595294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10.8</v>
      </c>
      <c r="EJ37" s="12">
        <f>IF('Données projet'!$A$192&gt;35,EJ36+EI37-ER36,IF(A37&lt;'Données projet'!$A$192,$EG$205^A37,IF(A37='Données projet'!$A$192,'Données projet'!$B$192,EJ36+EI37-ER36)))</f>
        <v>161.20000000000002</v>
      </c>
      <c r="EK37" s="17">
        <f>EJ37*VLOOKUP('Données projet'!$B$15,Paramètres!$A$1:$I$89,3,0)*VLOOKUP('Données projet'!$B$15,Paramètres!$A$1:$I$89,5,0)</f>
        <v>155.91264000000004</v>
      </c>
      <c r="EL37" s="13">
        <f t="shared" si="45"/>
        <v>39.919216057228688</v>
      </c>
      <c r="EM37" s="20">
        <f t="shared" si="19"/>
        <v>341.07381596633996</v>
      </c>
      <c r="EN37" s="59">
        <f t="shared" si="20"/>
        <v>634.40714929967328</v>
      </c>
      <c r="EO37" s="59">
        <f ca="1">AVERAGE(OFFSET($EN$3,0,0,'Données projet'!$E$15+1,1))-AVERAGE(OFFSET($H$3,0,0,'Données projet'!$E$15+1,1))</f>
        <v>355.72173590705142</v>
      </c>
      <c r="EP37" s="59">
        <f t="shared" si="46"/>
        <v>346.30980704469363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161.20000000000002</v>
      </c>
      <c r="FF37" s="17">
        <f>FE37*VLOOKUP('Données projet'!$B$16,Paramètres!$A$1:$I$89,3,0)*VLOOKUP('Données projet'!$B$16,Paramètres!$A$1:$I$89,5,0)</f>
        <v>130.76544000000001</v>
      </c>
      <c r="FG37" s="13">
        <f t="shared" si="47"/>
        <v>34.173169564532692</v>
      </c>
      <c r="FH37" s="20">
        <f t="shared" si="22"/>
        <v>287.26807832489447</v>
      </c>
      <c r="FI37" s="59">
        <f t="shared" si="23"/>
        <v>580.60141165822779</v>
      </c>
      <c r="FJ37" s="59">
        <f ca="1">AVERAGE(OFFSET($FI$3,0,0,'Données projet'!$E$16+1,1))-AVERAGE(OFFSET($H$3,0,0,'Données projet'!$E$16+1,1))</f>
        <v>304.26232113495314</v>
      </c>
      <c r="FK37" s="59">
        <f t="shared" si="48"/>
        <v>297.47246687305056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189</v>
      </c>
      <c r="L38" s="12">
        <f>VLOOKUP(A38,'Données projet'!$A$35:$I$55,9,0)</f>
        <v>10.4</v>
      </c>
      <c r="M38" s="12">
        <f t="array" ref="M38">INDEX(L:L,MIN(IF(ISNUMBER(L38:L234),ROW(L38:L234),"")))</f>
        <v>10.4</v>
      </c>
      <c r="N38" s="13">
        <f>IF('Données projet'!$A$36&gt;35,N37+M38-V37,IF(A38&lt;'Données projet'!$A$36,$K$205^A38,IF(A38='Données projet'!$A$36,'Données projet'!$B$36,N37+M38-V37)))</f>
        <v>189.00000000000003</v>
      </c>
      <c r="O38" s="13">
        <f>N38*VLOOKUP('Données projet'!$B$9,Paramètres!$A$1:$I$89,3,0)*VLOOKUP('Données projet'!$B$9,Paramètres!$A$1:$I$89,5,0)</f>
        <v>165.11040000000006</v>
      </c>
      <c r="P38" s="13">
        <f t="shared" si="33"/>
        <v>41.993062739333482</v>
      </c>
      <c r="Q38" s="20">
        <f t="shared" si="53"/>
        <v>360.70519760433922</v>
      </c>
      <c r="R38" s="59">
        <f t="shared" si="0"/>
        <v>654.03853093767248</v>
      </c>
      <c r="S38" s="59">
        <f ca="1">AVERAGE(OFFSET($R$3,0,0,'Données projet'!$E$9+1,1))-AVERAGE(OFFSET($H$3,0,0,'Données projet'!$E$9+1,1))</f>
        <v>381.72225529388083</v>
      </c>
      <c r="T38" s="59">
        <f t="shared" si="34"/>
        <v>360.05900046417361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32</v>
      </c>
      <c r="W38" s="16">
        <f>IF(ISNA(VLOOKUP(A38,'Données projet'!$A$35:$I$55,5,0)),0%,VLOOKUP(A38,'Données projet'!$A$35:$I$55,5,0)*VLOOKUP('Données projet'!$B$9,Paramètres!$A$1:$I$89,7,0))</f>
        <v>0.17200000000000001</v>
      </c>
      <c r="X38" s="16">
        <f>IF(ISNA(VLOOKUP(A38,'Données projet'!$A$35:$I$55,6,0)),0%,VLOOKUP(A38,'Données projet'!$A$35:$I$55,6,0)*VLOOKUP('Données projet'!$B$9,Paramètres!$A$1:$I$89,7,0))</f>
        <v>0.129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15.08740990061612</v>
      </c>
      <c r="AA38" s="21">
        <f>EXP(-LN(2)/25)*AA37+(1-EXP(-LN(2)/25))/(LN(2)/25)*Calculateur!V38*Calculateur!X38*VLOOKUP('Données projet'!$B$9,Paramètres!$A$1:$I$89,3,0)*0.475*44/12</f>
        <v>11.745457938109329</v>
      </c>
      <c r="AB38" s="21">
        <f>EXP(-LN(2)/2)*AB37+(1-EXP(-LN(2)/2))/(LN(2)/2)*V38*Y38*VLOOKUP('Données projet'!$B$9,Paramètres!$A$1:$I$89,3,0)*0.475*44/12</f>
        <v>0.27916718913311189</v>
      </c>
      <c r="AC38" s="22">
        <f t="shared" si="3"/>
        <v>27.11203502785856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175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175.00000000000006</v>
      </c>
      <c r="AJ38" s="13">
        <f>AI38*VLOOKUP('Données projet'!$B$10,Paramètres!$A$1:$I$89,3,0)*VLOOKUP('Données projet'!$B$10,Paramètres!$A$1:$I$89,5,0)</f>
        <v>128.31000000000006</v>
      </c>
      <c r="AK38" s="13">
        <f t="shared" si="35"/>
        <v>33.605553053308078</v>
      </c>
      <c r="AL38" s="20">
        <f t="shared" si="4"/>
        <v>282.00292156784502</v>
      </c>
      <c r="AM38" s="59">
        <f t="shared" si="5"/>
        <v>575.33625490117834</v>
      </c>
      <c r="AN38" s="59">
        <f ca="1">AVERAGE(OFFSET($AM$3,0,0,'Données projet'!$E$10+1,1))-AVERAGE(OFFSET($H$3,0,0,'Données projet'!$E$10+1,1))</f>
        <v>464.3681853739115</v>
      </c>
      <c r="AO38" s="59">
        <f t="shared" si="36"/>
        <v>272.97841038165217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136.84320000000002</v>
      </c>
      <c r="BF38" s="13">
        <f t="shared" si="37"/>
        <v>35.572869837729648</v>
      </c>
      <c r="BG38" s="20">
        <f t="shared" si="7"/>
        <v>300.2913216340458</v>
      </c>
      <c r="BH38" s="59">
        <f t="shared" si="8"/>
        <v>593.62465496737912</v>
      </c>
      <c r="BI38" s="59">
        <f ca="1">AVERAGE(OFFSET($BH$3,0,0,'Données projet'!$E$11+1,1))-AVERAGE(OFFSET($H$3,0,0,'Données projet'!$E$11+1,1))</f>
        <v>299.10536994156814</v>
      </c>
      <c r="BJ38" s="59">
        <f t="shared" si="38"/>
        <v>292.57799203101769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0.159</v>
      </c>
      <c r="BO38" s="16">
        <f>IF(ISNA(VLOOKUP(A38,'Données projet'!$A$87:$I$107,7,0)),0%,VLOOKUP(A38,'Données projet'!$A$87:$I$107,7,0))</f>
        <v>0.4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3.9001713018288222</v>
      </c>
      <c r="BR38" s="21">
        <f>EXP(-LN(2)/2)*BR37+(1-EXP(-LN(2)/2))/(LN(2)/2)*BL38*BO38*VLOOKUP('Données projet'!$B$11,Paramètres!$A$1:$I$89,3,0)*0.475*44/12</f>
        <v>8.4075041485125244</v>
      </c>
      <c r="BS38" s="22">
        <f t="shared" si="9"/>
        <v>12.307675450341346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299.10536994156814</v>
      </c>
      <c r="CE38" s="59">
        <f t="shared" si="40"/>
        <v>292.57799203101769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0.159</v>
      </c>
      <c r="CJ38" s="16">
        <f>IF(ISNA(VLOOKUP(A38,'Données projet'!$A$113:$I$133,7,0)),0%,VLOOKUP(A38,'Données projet'!$A$113:$I$133,7,0))</f>
        <v>0.4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3.9001713018288222</v>
      </c>
      <c r="CM38" s="21">
        <f>EXP(-LN(2)/2)*CM37+(1-EXP(-LN(2)/2))/(LN(2)/2)*CG38*CJ38*VLOOKUP('Données projet'!$B$12,Paramètres!$A$1:$I$89,3,0)*0.475*44/12</f>
        <v>8.4075041485125244</v>
      </c>
      <c r="CN38" s="22">
        <f t="shared" si="12"/>
        <v>12.307675450341346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</v>
      </c>
      <c r="CT38" s="12">
        <f>IF('Données projet'!$A$140&gt;35,CT37+CS38-DB37,IF(A38&lt;'Données projet'!$A$140,$CQ$205^A38,IF(A38='Données projet'!$A$140,'Données projet'!$B$140,CT37+CS38-DB37)))</f>
        <v>140</v>
      </c>
      <c r="CU38" s="17">
        <f>CT38*VLOOKUP('Données projet'!$B$13,Paramètres!$A$1:$I$89,3,0)*VLOOKUP('Données projet'!$B$13,Paramètres!$A$1:$I$89,5,0)</f>
        <v>126.67199999999998</v>
      </c>
      <c r="CV38" s="13">
        <f t="shared" si="41"/>
        <v>33.226199426361347</v>
      </c>
      <c r="CW38" s="20">
        <f t="shared" si="13"/>
        <v>278.48936400091264</v>
      </c>
      <c r="CX38" s="59">
        <f t="shared" si="14"/>
        <v>571.82269733424596</v>
      </c>
      <c r="CY38" s="59">
        <f ca="1">AVERAGE(OFFSET($CX$3,0,0,'Données projet'!$E$13+1,1))-AVERAGE(OFFSET($H$3,0,0,'Données projet'!$E$13+1,1))</f>
        <v>528.15559695545812</v>
      </c>
      <c r="CZ38" s="59">
        <f t="shared" si="42"/>
        <v>276.26988364830532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</v>
      </c>
      <c r="DO38" s="12">
        <f>IF('Données projet'!$A$166&gt;35,DO37+DN38-DW37,IF(A38&lt;'Données projet'!$A$166,$DL$205^A38,IF(A38='Données projet'!$A$166,'Données projet'!$B$166,DO37+DN38-DW37)))</f>
        <v>140</v>
      </c>
      <c r="DP38" s="17">
        <f>DO38*VLOOKUP('Données projet'!$B$14,Paramètres!$A$1:$I$89,3,0)*VLOOKUP('Données projet'!$B$14,Paramètres!$A$1:$I$89,5,0)</f>
        <v>141.96</v>
      </c>
      <c r="DQ38" s="13">
        <f t="shared" si="43"/>
        <v>36.745650011720485</v>
      </c>
      <c r="DR38" s="20">
        <f t="shared" si="16"/>
        <v>311.24567377041313</v>
      </c>
      <c r="DS38" s="59">
        <f t="shared" si="17"/>
        <v>604.57900710374645</v>
      </c>
      <c r="DT38" s="59">
        <f ca="1">AVERAGE(OFFSET($DS$3,0,0,'Données projet'!$E$14+1,1))-AVERAGE(OFFSET($H$3,0,0,'Données projet'!$E$14+1,1))</f>
        <v>586.50020405958992</v>
      </c>
      <c r="DU38" s="59">
        <f t="shared" si="44"/>
        <v>304.44184537595294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172</v>
      </c>
      <c r="EH38" s="12">
        <f>VLOOKUP(A38,'Données projet'!$A$191:$I$211,9,0)</f>
        <v>10.8</v>
      </c>
      <c r="EI38" s="12">
        <f t="array" ref="EI38">INDEX(EH:EH,MIN(IF(ISNUMBER(EH38:EH234),ROW(EH38:EH234),"")))</f>
        <v>10.8</v>
      </c>
      <c r="EJ38" s="12">
        <f>IF('Données projet'!$A$192&gt;35,EJ37+EI38-ER37,IF(A38&lt;'Données projet'!$A$192,$EG$205^A38,IF(A38='Données projet'!$A$192,'Données projet'!$B$192,EJ37+EI38-ER37)))</f>
        <v>172.00000000000003</v>
      </c>
      <c r="EK38" s="17">
        <f>EJ38*VLOOKUP('Données projet'!$B$15,Paramètres!$A$1:$I$89,3,0)*VLOOKUP('Données projet'!$B$15,Paramètres!$A$1:$I$89,5,0)</f>
        <v>166.35840000000002</v>
      </c>
      <c r="EL38" s="13">
        <f t="shared" si="45"/>
        <v>42.27340131152765</v>
      </c>
      <c r="EM38" s="20">
        <f t="shared" si="19"/>
        <v>363.3670539509107</v>
      </c>
      <c r="EN38" s="59">
        <f t="shared" si="20"/>
        <v>656.70038728424402</v>
      </c>
      <c r="EO38" s="59">
        <f ca="1">AVERAGE(OFFSET($EN$3,0,0,'Données projet'!$E$15+1,1))-AVERAGE(OFFSET($H$3,0,0,'Données projet'!$E$15+1,1))</f>
        <v>355.72173590705142</v>
      </c>
      <c r="EP38" s="59">
        <f t="shared" si="46"/>
        <v>346.30980704469363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0.129</v>
      </c>
      <c r="EU38" s="16">
        <f>IF(ISNA(VLOOKUP(A38,'Données projet'!$A$191:$I$211,7,0)),0%,VLOOKUP(A38,'Données projet'!$A$191:$I$211,7,0))</f>
        <v>0.4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3.8467838293287619</v>
      </c>
      <c r="EX38" s="21">
        <f>EXP(-LN(2)/2)*EX37+(1-EXP(-LN(2)/2))/(LN(2)/2)*ER38*EU38*VLOOKUP('Données projet'!$B$15,Paramètres!$A$1:$I$89,3,0)*0.475*44/12</f>
        <v>10.220887396230912</v>
      </c>
      <c r="EY38" s="22">
        <f t="shared" si="21"/>
        <v>14.067671225559675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172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172.00000000000003</v>
      </c>
      <c r="FF38" s="17">
        <f>FE38*VLOOKUP('Données projet'!$B$16,Paramètres!$A$1:$I$89,3,0)*VLOOKUP('Données projet'!$B$16,Paramètres!$A$1:$I$89,5,0)</f>
        <v>139.52640000000002</v>
      </c>
      <c r="FG38" s="13">
        <f t="shared" si="47"/>
        <v>36.188488997813884</v>
      </c>
      <c r="FH38" s="20">
        <f t="shared" si="22"/>
        <v>306.03676500452588</v>
      </c>
      <c r="FI38" s="59">
        <f t="shared" si="23"/>
        <v>599.37009833785919</v>
      </c>
      <c r="FJ38" s="59">
        <f ca="1">AVERAGE(OFFSET($FI$3,0,0,'Données projet'!$E$16+1,1))-AVERAGE(OFFSET($H$3,0,0,'Données projet'!$E$16+1,1))</f>
        <v>304.26232113495314</v>
      </c>
      <c r="FK38" s="59">
        <f t="shared" si="48"/>
        <v>297.47246687305056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0.159</v>
      </c>
      <c r="FP38" s="16">
        <f>IF(ISNA(VLOOKUP(A38,'Données projet'!$A$217:$I$237,7,0)),0%,VLOOKUP(A38,'Données projet'!$A$217:$I$237,7,0))</f>
        <v>0.4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3.9766452489235058</v>
      </c>
      <c r="FS38" s="21">
        <f>EXP(-LN(2)/2)*FS37+(1-EXP(-LN(2)/2))/(LN(2)/2)*FM38*FP38*VLOOKUP('Données projet'!$B$16,Paramètres!$A$1:$I$89,3,0)*0.475*44/12</f>
        <v>8.5723571710323778</v>
      </c>
      <c r="FT38" s="22">
        <f t="shared" si="24"/>
        <v>12.549002419955883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9.8000000000000007</v>
      </c>
      <c r="N39" s="13">
        <f>IF('Données projet'!$A$36&gt;35,N38+M39-V38,IF(A39&lt;'Données projet'!$A$36,$K$205^A39,IF(A39='Données projet'!$A$36,'Données projet'!$B$36,N38+M39-V38)))</f>
        <v>166.80000000000004</v>
      </c>
      <c r="O39" s="13">
        <f>N39*VLOOKUP('Données projet'!$B$9,Paramètres!$A$1:$I$89,3,0)*VLOOKUP('Données projet'!$B$9,Paramètres!$A$1:$I$89,5,0)</f>
        <v>145.71648000000005</v>
      </c>
      <c r="P39" s="13">
        <f t="shared" si="33"/>
        <v>37.60350500083149</v>
      </c>
      <c r="Q39" s="20">
        <f t="shared" si="53"/>
        <v>319.28230720978155</v>
      </c>
      <c r="R39" s="59">
        <f t="shared" si="0"/>
        <v>612.61564054311486</v>
      </c>
      <c r="S39" s="59">
        <f ca="1">AVERAGE(OFFSET($R$3,0,0,'Données projet'!$E$9+1,1))-AVERAGE(OFFSET($H$3,0,0,'Données projet'!$E$9+1,1))</f>
        <v>381.72225529388083</v>
      </c>
      <c r="T39" s="59">
        <f t="shared" si="34"/>
        <v>360.05900046417361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14.791554994876414</v>
      </c>
      <c r="AA39" s="21">
        <f>EXP(-LN(2)/25)*AA38+(1-EXP(-LN(2)/25))/(LN(2)/25)*Calculateur!V39*Calculateur!X39*VLOOKUP('Données projet'!$B$9,Paramètres!$A$1:$I$89,3,0)*0.475*44/12</f>
        <v>11.42427777312494</v>
      </c>
      <c r="AB39" s="21">
        <f>EXP(-LN(2)/2)*AB38+(1-EXP(-LN(2)/2))/(LN(2)/2)*V39*Y39*VLOOKUP('Données projet'!$B$9,Paramètres!$A$1:$I$89,3,0)*0.475*44/12</f>
        <v>0.19740101252081088</v>
      </c>
      <c r="AC39" s="22">
        <f t="shared" si="3"/>
        <v>26.413233780522166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</v>
      </c>
      <c r="AI39" s="13">
        <f>IF('Données projet'!$A$62&gt;35,AI38+AH39-AQ38,IF(A39&lt;'Données projet'!$A$62,$AF$205^A39,IF(A39='Données projet'!$A$62,'Données projet'!$B$62,AI38+AH39-AQ38)))</f>
        <v>153.40000000000006</v>
      </c>
      <c r="AJ39" s="13">
        <f>AI39*VLOOKUP('Données projet'!$B$10,Paramètres!$A$1:$I$89,3,0)*VLOOKUP('Données projet'!$B$10,Paramètres!$A$1:$I$89,5,0)</f>
        <v>112.47288000000005</v>
      </c>
      <c r="AK39" s="13">
        <f t="shared" si="35"/>
        <v>29.912858390551417</v>
      </c>
      <c r="AL39" s="20">
        <f t="shared" si="4"/>
        <v>247.98849436354377</v>
      </c>
      <c r="AM39" s="59">
        <f t="shared" si="5"/>
        <v>541.32182769687711</v>
      </c>
      <c r="AN39" s="59">
        <f ca="1">AVERAGE(OFFSET($AM$3,0,0,'Données projet'!$E$10+1,1))-AVERAGE(OFFSET($H$3,0,0,'Données projet'!$E$10+1,1))</f>
        <v>464.3681853739115</v>
      </c>
      <c r="AO39" s="59">
        <f t="shared" si="36"/>
        <v>272.97841038165217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122.20416000000003</v>
      </c>
      <c r="BF39" s="13">
        <f t="shared" si="37"/>
        <v>32.188537573102472</v>
      </c>
      <c r="BG39" s="20">
        <f t="shared" si="7"/>
        <v>268.90061493982017</v>
      </c>
      <c r="BH39" s="59">
        <f t="shared" si="8"/>
        <v>562.23394827315349</v>
      </c>
      <c r="BI39" s="59">
        <f ca="1">AVERAGE(OFFSET($BH$3,0,0,'Données projet'!$E$11+1,1))-AVERAGE(OFFSET($H$3,0,0,'Données projet'!$E$11+1,1))</f>
        <v>299.10536994156814</v>
      </c>
      <c r="BJ39" s="59">
        <f t="shared" si="38"/>
        <v>292.57799203101769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3.7935209124792184</v>
      </c>
      <c r="BR39" s="21">
        <f>EXP(-LN(2)/2)*BR38+(1-EXP(-LN(2)/2))/(LN(2)/2)*BL39*BO39*VLOOKUP('Données projet'!$B$11,Paramètres!$A$1:$I$89,3,0)*0.475*44/12</f>
        <v>5.9450031962672369</v>
      </c>
      <c r="BS39" s="22">
        <f t="shared" si="9"/>
        <v>9.7385241087464554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299.10536994156814</v>
      </c>
      <c r="CE39" s="59">
        <f t="shared" si="40"/>
        <v>292.57799203101769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3.7935209124792184</v>
      </c>
      <c r="CM39" s="21">
        <f>EXP(-LN(2)/2)*CM38+(1-EXP(-LN(2)/2))/(LN(2)/2)*CG39*CJ39*VLOOKUP('Données projet'!$B$12,Paramètres!$A$1:$I$89,3,0)*0.475*44/12</f>
        <v>5.9450031962672369</v>
      </c>
      <c r="CN39" s="22">
        <f t="shared" si="12"/>
        <v>9.7385241087464554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144</v>
      </c>
      <c r="CR39" s="12">
        <f>VLOOKUP(A39,'Données projet'!$A$139:$I$159,9,0)</f>
        <v>4</v>
      </c>
      <c r="CS39" s="12">
        <f t="array" ref="CS39">INDEX(CR:CR,MIN(IF(ISNUMBER(CR39:CR235),ROW(CR39:CR235),"")))</f>
        <v>4</v>
      </c>
      <c r="CT39" s="12">
        <f>IF('Données projet'!$A$140&gt;35,CT38+CS39-DB38,IF(A39&lt;'Données projet'!$A$140,$CQ$205^A39,IF(A39='Données projet'!$A$140,'Données projet'!$B$140,CT38+CS39-DB38)))</f>
        <v>144</v>
      </c>
      <c r="CU39" s="17">
        <f>CT39*VLOOKUP('Données projet'!$B$13,Paramètres!$A$1:$I$89,3,0)*VLOOKUP('Données projet'!$B$13,Paramètres!$A$1:$I$89,5,0)</f>
        <v>130.2912</v>
      </c>
      <c r="CV39" s="13">
        <f t="shared" si="41"/>
        <v>34.063638337638949</v>
      </c>
      <c r="CW39" s="20">
        <f t="shared" si="13"/>
        <v>286.25134343805456</v>
      </c>
      <c r="CX39" s="59">
        <f t="shared" si="14"/>
        <v>579.58467677138788</v>
      </c>
      <c r="CY39" s="59">
        <f ca="1">AVERAGE(OFFSET($CX$3,0,0,'Données projet'!$E$13+1,1))-AVERAGE(OFFSET($H$3,0,0,'Données projet'!$E$13+1,1))</f>
        <v>528.15559695545812</v>
      </c>
      <c r="CZ39" s="59">
        <f t="shared" si="42"/>
        <v>276.26988364830532</v>
      </c>
      <c r="DA39" s="15">
        <f>IF(ISNA(VLOOKUP(A39,'Données projet'!$A$139:$I$159,3,0)),0,VLOOKUP(A39,'Données projet'!$A$139:$I$159,3,0))</f>
        <v>1</v>
      </c>
      <c r="DB39" s="15">
        <f>IF(ISNA(VLOOKUP(A39,'Données projet'!$A$139:$I$159,4,0)),0,VLOOKUP(A39,'Données projet'!$A$139:$I$159,4,0))</f>
        <v>35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144</v>
      </c>
      <c r="DM39" s="12">
        <f>VLOOKUP(A39,'Données projet'!$A$165:$I$185,9,0)</f>
        <v>4</v>
      </c>
      <c r="DN39" s="12">
        <f t="array" ref="DN39">INDEX(DM:DM,MIN(IF(ISNUMBER(DM39:DM235),ROW(DM39:DM235),"")))</f>
        <v>4</v>
      </c>
      <c r="DO39" s="12">
        <f>IF('Données projet'!$A$166&gt;35,DO38+DN39-DW38,IF(A39&lt;'Données projet'!$A$166,$DL$205^A39,IF(A39='Données projet'!$A$166,'Données projet'!$B$166,DO38+DN39-DW38)))</f>
        <v>144</v>
      </c>
      <c r="DP39" s="17">
        <f>DO39*VLOOKUP('Données projet'!$B$14,Paramètres!$A$1:$I$89,3,0)*VLOOKUP('Données projet'!$B$14,Paramètres!$A$1:$I$89,5,0)</f>
        <v>146.01600000000002</v>
      </c>
      <c r="DQ39" s="13">
        <f t="shared" si="43"/>
        <v>37.671793767891103</v>
      </c>
      <c r="DR39" s="20">
        <f t="shared" si="16"/>
        <v>319.92290747907703</v>
      </c>
      <c r="DS39" s="59">
        <f t="shared" si="17"/>
        <v>613.2562408124104</v>
      </c>
      <c r="DT39" s="59">
        <f ca="1">AVERAGE(OFFSET($DS$3,0,0,'Données projet'!$E$14+1,1))-AVERAGE(OFFSET($H$3,0,0,'Données projet'!$E$14+1,1))</f>
        <v>586.50020405958992</v>
      </c>
      <c r="DU39" s="59">
        <f t="shared" si="44"/>
        <v>304.44184537595294</v>
      </c>
      <c r="DV39" s="15">
        <f>IF(ISNA(VLOOKUP(A39,'Données projet'!$A$165:$I$185,3,0)),0,VLOOKUP(A39,'Données projet'!$A$165:$I$185,3,0))</f>
        <v>1</v>
      </c>
      <c r="DW39" s="15">
        <f>IF(ISNA(VLOOKUP(A39,'Données projet'!$A$165:$I$185,4,0)),0,VLOOKUP(A39,'Données projet'!$A$165:$I$185,4,0))</f>
        <v>35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153.60000000000002</v>
      </c>
      <c r="EK39" s="17">
        <f>EJ39*VLOOKUP('Données projet'!$B$15,Paramètres!$A$1:$I$89,3,0)*VLOOKUP('Données projet'!$B$15,Paramètres!$A$1:$I$89,5,0)</f>
        <v>148.56192000000001</v>
      </c>
      <c r="EL39" s="13">
        <f t="shared" si="45"/>
        <v>38.251593775426244</v>
      </c>
      <c r="EM39" s="20">
        <f t="shared" si="19"/>
        <v>325.36686982553408</v>
      </c>
      <c r="EN39" s="59">
        <f t="shared" si="20"/>
        <v>618.70020315886745</v>
      </c>
      <c r="EO39" s="59">
        <f ca="1">AVERAGE(OFFSET($EN$3,0,0,'Données projet'!$E$15+1,1))-AVERAGE(OFFSET($H$3,0,0,'Données projet'!$E$15+1,1))</f>
        <v>355.72173590705142</v>
      </c>
      <c r="EP39" s="59">
        <f t="shared" si="46"/>
        <v>346.30980704469363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3.7415933232221974</v>
      </c>
      <c r="EX39" s="21">
        <f>EXP(-LN(2)/2)*EX38+(1-EXP(-LN(2)/2))/(LN(2)/2)*ER39*EU39*VLOOKUP('Données projet'!$B$15,Paramètres!$A$1:$I$89,3,0)*0.475*44/12</f>
        <v>7.227258787618994</v>
      </c>
      <c r="EY39" s="22">
        <f t="shared" si="21"/>
        <v>10.96885211084119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153.60000000000002</v>
      </c>
      <c r="FF39" s="17">
        <f>FE39*VLOOKUP('Données projet'!$B$16,Paramètres!$A$1:$I$89,3,0)*VLOOKUP('Données projet'!$B$16,Paramètres!$A$1:$I$89,5,0)</f>
        <v>124.60032000000002</v>
      </c>
      <c r="FG39" s="13">
        <f t="shared" si="47"/>
        <v>32.745587947600931</v>
      </c>
      <c r="FH39" s="20">
        <f t="shared" si="22"/>
        <v>274.04412300873832</v>
      </c>
      <c r="FI39" s="59">
        <f t="shared" si="23"/>
        <v>567.37745634207158</v>
      </c>
      <c r="FJ39" s="59">
        <f ca="1">AVERAGE(OFFSET($FI$3,0,0,'Données projet'!$E$16+1,1))-AVERAGE(OFFSET($H$3,0,0,'Données projet'!$E$16+1,1))</f>
        <v>304.26232113495314</v>
      </c>
      <c r="FK39" s="59">
        <f t="shared" si="48"/>
        <v>297.47246687305056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3.8679036754690075</v>
      </c>
      <c r="FS39" s="21">
        <f>EXP(-LN(2)/2)*FS38+(1-EXP(-LN(2)/2))/(LN(2)/2)*FM39*FP39*VLOOKUP('Données projet'!$B$16,Paramètres!$A$1:$I$89,3,0)*0.475*44/12</f>
        <v>6.0615718863901238</v>
      </c>
      <c r="FT39" s="22">
        <f t="shared" si="24"/>
        <v>9.9294755618591317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9.8000000000000007</v>
      </c>
      <c r="N40" s="13">
        <f>IF('Données projet'!$A$36&gt;35,N39+M40-V39,IF(A40&lt;'Données projet'!$A$36,$K$205^A40,IF(A40='Données projet'!$A$36,'Données projet'!$B$36,N39+M40-V39)))</f>
        <v>176.60000000000005</v>
      </c>
      <c r="O40" s="13">
        <f>N40*VLOOKUP('Données projet'!$B$9,Paramètres!$A$1:$I$89,3,0)*VLOOKUP('Données projet'!$B$9,Paramètres!$A$1:$I$89,5,0)</f>
        <v>154.27776000000009</v>
      </c>
      <c r="P40" s="13">
        <f t="shared" si="33"/>
        <v>39.549125277353333</v>
      </c>
      <c r="Q40" s="20">
        <f t="shared" si="53"/>
        <v>337.58182519139058</v>
      </c>
      <c r="R40" s="59">
        <f t="shared" si="0"/>
        <v>630.91515852472389</v>
      </c>
      <c r="S40" s="59">
        <f ca="1">AVERAGE(OFFSET($R$3,0,0,'Données projet'!$E$9+1,1))-AVERAGE(OFFSET($H$3,0,0,'Données projet'!$E$9+1,1))</f>
        <v>381.72225529388083</v>
      </c>
      <c r="T40" s="59">
        <f t="shared" si="34"/>
        <v>360.05900046417361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14.501501623384589</v>
      </c>
      <c r="AA40" s="21">
        <f>EXP(-LN(2)/25)*AA39+(1-EXP(-LN(2)/25))/(LN(2)/25)*Calculateur!V40*Calculateur!X40*VLOOKUP('Données projet'!$B$9,Paramètres!$A$1:$I$89,3,0)*0.475*44/12</f>
        <v>11.11188029664218</v>
      </c>
      <c r="AB40" s="21">
        <f>EXP(-LN(2)/2)*AB39+(1-EXP(-LN(2)/2))/(LN(2)/2)*V40*Y40*VLOOKUP('Données projet'!$B$9,Paramètres!$A$1:$I$89,3,0)*0.475*44/12</f>
        <v>0.13958359456655595</v>
      </c>
      <c r="AC40" s="22">
        <f t="shared" si="3"/>
        <v>25.752965514593324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</v>
      </c>
      <c r="AI40" s="13">
        <f>IF('Données projet'!$A$62&gt;35,AI39+AH40-AQ39,IF(A40&lt;'Données projet'!$A$62,$AF$205^A40,IF(A40='Données projet'!$A$62,'Données projet'!$B$62,AI39+AH40-AQ39)))</f>
        <v>166.80000000000007</v>
      </c>
      <c r="AJ40" s="13">
        <f>AI40*VLOOKUP('Données projet'!$B$10,Paramètres!$A$1:$I$89,3,0)*VLOOKUP('Données projet'!$B$10,Paramètres!$A$1:$I$89,5,0)</f>
        <v>122.29776000000005</v>
      </c>
      <c r="AK40" s="13">
        <f t="shared" si="35"/>
        <v>32.210321062919569</v>
      </c>
      <c r="AL40" s="20">
        <f t="shared" si="4"/>
        <v>269.10157451791832</v>
      </c>
      <c r="AM40" s="59">
        <f t="shared" si="5"/>
        <v>562.43490785125164</v>
      </c>
      <c r="AN40" s="59">
        <f ca="1">AVERAGE(OFFSET($AM$3,0,0,'Données projet'!$E$10+1,1))-AVERAGE(OFFSET($H$3,0,0,'Données projet'!$E$10+1,1))</f>
        <v>464.3681853739115</v>
      </c>
      <c r="AO40" s="59">
        <f t="shared" si="36"/>
        <v>272.97841038165217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129.84192000000002</v>
      </c>
      <c r="BF40" s="13">
        <f t="shared" si="37"/>
        <v>33.959829099416851</v>
      </c>
      <c r="BG40" s="20">
        <f t="shared" si="7"/>
        <v>285.288046348151</v>
      </c>
      <c r="BH40" s="59">
        <f t="shared" si="8"/>
        <v>578.62137968148431</v>
      </c>
      <c r="BI40" s="59">
        <f ca="1">AVERAGE(OFFSET($BH$3,0,0,'Données projet'!$E$11+1,1))-AVERAGE(OFFSET($H$3,0,0,'Données projet'!$E$11+1,1))</f>
        <v>299.10536994156814</v>
      </c>
      <c r="BJ40" s="59">
        <f t="shared" si="38"/>
        <v>292.57799203101769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3.6897868836348797</v>
      </c>
      <c r="BR40" s="21">
        <f>EXP(-LN(2)/2)*BR39+(1-EXP(-LN(2)/2))/(LN(2)/2)*BL40*BO40*VLOOKUP('Données projet'!$B$11,Paramètres!$A$1:$I$89,3,0)*0.475*44/12</f>
        <v>4.2037520742562631</v>
      </c>
      <c r="BS40" s="22">
        <f t="shared" si="9"/>
        <v>7.8935389578911428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299.10536994156814</v>
      </c>
      <c r="CE40" s="59">
        <f t="shared" si="40"/>
        <v>292.57799203101769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3.6897868836348797</v>
      </c>
      <c r="CM40" s="21">
        <f>EXP(-LN(2)/2)*CM39+(1-EXP(-LN(2)/2))/(LN(2)/2)*CG40*CJ40*VLOOKUP('Données projet'!$B$12,Paramètres!$A$1:$I$89,3,0)*0.475*44/12</f>
        <v>4.2037520742562631</v>
      </c>
      <c r="CN40" s="22">
        <f t="shared" si="12"/>
        <v>7.8935389578911428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9.875</v>
      </c>
      <c r="CT40" s="12">
        <f>IF('Données projet'!$A$140&gt;35,CT39+CS40-DB39,IF(A40&lt;'Données projet'!$A$140,$CQ$205^A40,IF(A40='Données projet'!$A$140,'Données projet'!$B$140,CT39+CS40-DB39)))</f>
        <v>118.875</v>
      </c>
      <c r="CU40" s="17">
        <f>CT40*VLOOKUP('Données projet'!$B$13,Paramètres!$A$1:$I$89,3,0)*VLOOKUP('Données projet'!$B$13,Paramètres!$A$1:$I$89,5,0)</f>
        <v>107.5581</v>
      </c>
      <c r="CV40" s="13">
        <f t="shared" si="41"/>
        <v>28.754904352903992</v>
      </c>
      <c r="CW40" s="20">
        <f t="shared" si="13"/>
        <v>237.4118159146411</v>
      </c>
      <c r="CX40" s="59">
        <f t="shared" si="14"/>
        <v>530.74514924797438</v>
      </c>
      <c r="CY40" s="59">
        <f ca="1">AVERAGE(OFFSET($CX$3,0,0,'Données projet'!$E$13+1,1))-AVERAGE(OFFSET($H$3,0,0,'Données projet'!$E$13+1,1))</f>
        <v>528.15559695545812</v>
      </c>
      <c r="CZ40" s="59">
        <f t="shared" si="42"/>
        <v>276.26988364830532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9.875</v>
      </c>
      <c r="DO40" s="12">
        <f>IF('Données projet'!$A$166&gt;35,DO39+DN40-DW39,IF(A40&lt;'Données projet'!$A$166,$DL$205^A40,IF(A40='Données projet'!$A$166,'Données projet'!$B$166,DO39+DN40-DW39)))</f>
        <v>118.875</v>
      </c>
      <c r="DP40" s="17">
        <f>DO40*VLOOKUP('Données projet'!$B$14,Paramètres!$A$1:$I$89,3,0)*VLOOKUP('Données projet'!$B$14,Paramètres!$A$1:$I$89,5,0)</f>
        <v>120.53925</v>
      </c>
      <c r="DQ40" s="13">
        <f t="shared" si="43"/>
        <v>31.800737662279836</v>
      </c>
      <c r="DR40" s="20">
        <f t="shared" si="16"/>
        <v>265.32547851180402</v>
      </c>
      <c r="DS40" s="59">
        <f t="shared" si="17"/>
        <v>558.65881184513728</v>
      </c>
      <c r="DT40" s="59">
        <f ca="1">AVERAGE(OFFSET($DS$3,0,0,'Données projet'!$E$14+1,1))-AVERAGE(OFFSET($H$3,0,0,'Données projet'!$E$14+1,1))</f>
        <v>586.50020405958992</v>
      </c>
      <c r="DU40" s="59">
        <f t="shared" si="44"/>
        <v>304.44184537595294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163.20000000000002</v>
      </c>
      <c r="EK40" s="17">
        <f>EJ40*VLOOKUP('Données projet'!$B$15,Paramètres!$A$1:$I$89,3,0)*VLOOKUP('Données projet'!$B$15,Paramètres!$A$1:$I$89,5,0)</f>
        <v>157.84704000000002</v>
      </c>
      <c r="EL40" s="13">
        <f t="shared" si="45"/>
        <v>40.356527053881578</v>
      </c>
      <c r="EM40" s="20">
        <f t="shared" si="19"/>
        <v>345.20454595217711</v>
      </c>
      <c r="EN40" s="59">
        <f t="shared" si="20"/>
        <v>638.53787928551037</v>
      </c>
      <c r="EO40" s="59">
        <f ca="1">AVERAGE(OFFSET($EN$3,0,0,'Données projet'!$E$15+1,1))-AVERAGE(OFFSET($H$3,0,0,'Données projet'!$E$15+1,1))</f>
        <v>355.72173590705142</v>
      </c>
      <c r="EP40" s="59">
        <f t="shared" si="46"/>
        <v>346.30980704469363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3.6392792570368449</v>
      </c>
      <c r="EX40" s="21">
        <f>EXP(-LN(2)/2)*EX39+(1-EXP(-LN(2)/2))/(LN(2)/2)*ER40*EU40*VLOOKUP('Données projet'!$B$15,Paramètres!$A$1:$I$89,3,0)*0.475*44/12</f>
        <v>5.1104436981154571</v>
      </c>
      <c r="EY40" s="22">
        <f t="shared" si="21"/>
        <v>8.7497229551523024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163.20000000000002</v>
      </c>
      <c r="FF40" s="17">
        <f>FE40*VLOOKUP('Données projet'!$B$16,Paramètres!$A$1:$I$89,3,0)*VLOOKUP('Données projet'!$B$16,Paramètres!$A$1:$I$89,5,0)</f>
        <v>132.38784000000004</v>
      </c>
      <c r="FG40" s="13">
        <f t="shared" si="47"/>
        <v>34.547533199821324</v>
      </c>
      <c r="FH40" s="20">
        <f t="shared" si="22"/>
        <v>290.74577498968887</v>
      </c>
      <c r="FI40" s="59">
        <f t="shared" si="23"/>
        <v>584.07910832302218</v>
      </c>
      <c r="FJ40" s="59">
        <f ca="1">AVERAGE(OFFSET($FI$3,0,0,'Données projet'!$E$16+1,1))-AVERAGE(OFFSET($H$3,0,0,'Données projet'!$E$16+1,1))</f>
        <v>304.26232113495314</v>
      </c>
      <c r="FK40" s="59">
        <f t="shared" si="48"/>
        <v>297.47246687305056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3.7621356460590936</v>
      </c>
      <c r="FS40" s="21">
        <f>EXP(-LN(2)/2)*FS39+(1-EXP(-LN(2)/2))/(LN(2)/2)*FM40*FP40*VLOOKUP('Données projet'!$B$16,Paramètres!$A$1:$I$89,3,0)*0.475*44/12</f>
        <v>4.2861785855161898</v>
      </c>
      <c r="FT40" s="22">
        <f t="shared" si="24"/>
        <v>8.0483142315752829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9.8000000000000007</v>
      </c>
      <c r="N41" s="13">
        <f>IF('Données projet'!$A$36&gt;35,N40+M41-V40,IF(A41&lt;'Données projet'!$A$36,$K$205^A41,IF(A41='Données projet'!$A$36,'Données projet'!$B$36,N40+M41-V40)))</f>
        <v>186.40000000000006</v>
      </c>
      <c r="O41" s="13">
        <f>N41*VLOOKUP('Données projet'!$B$9,Paramètres!$A$1:$I$89,3,0)*VLOOKUP('Données projet'!$B$9,Paramètres!$A$1:$I$89,5,0)</f>
        <v>162.83904000000007</v>
      </c>
      <c r="P41" s="13">
        <f t="shared" si="33"/>
        <v>41.482211836000111</v>
      </c>
      <c r="Q41" s="20">
        <f t="shared" si="53"/>
        <v>355.85951361436696</v>
      </c>
      <c r="R41" s="59">
        <f t="shared" si="0"/>
        <v>649.19284694770022</v>
      </c>
      <c r="S41" s="59">
        <f ca="1">AVERAGE(OFFSET($R$3,0,0,'Données projet'!$E$9+1,1))-AVERAGE(OFFSET($H$3,0,0,'Données projet'!$E$9+1,1))</f>
        <v>381.72225529388083</v>
      </c>
      <c r="T41" s="59">
        <f t="shared" si="34"/>
        <v>360.05900046417361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14.217136021592632</v>
      </c>
      <c r="AA41" s="21">
        <f>EXP(-LN(2)/25)*AA40+(1-EXP(-LN(2)/25))/(LN(2)/25)*Calculateur!V41*Calculateur!X41*VLOOKUP('Données projet'!$B$9,Paramètres!$A$1:$I$89,3,0)*0.475*44/12</f>
        <v>10.808025345582111</v>
      </c>
      <c r="AB41" s="21">
        <f>EXP(-LN(2)/2)*AB40+(1-EXP(-LN(2)/2))/(LN(2)/2)*V41*Y41*VLOOKUP('Données projet'!$B$9,Paramètres!$A$1:$I$89,3,0)*0.475*44/12</f>
        <v>9.8700506260405441E-2</v>
      </c>
      <c r="AC41" s="22">
        <f t="shared" si="3"/>
        <v>25.12386187343515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</v>
      </c>
      <c r="AI41" s="13">
        <f>IF('Données projet'!$A$62&gt;35,AI40+AH41-AQ40,IF(A41&lt;'Données projet'!$A$62,$AF$205^A41,IF(A41='Données projet'!$A$62,'Données projet'!$B$62,AI40+AH41-AQ40)))</f>
        <v>180.20000000000007</v>
      </c>
      <c r="AJ41" s="13">
        <f>AI41*VLOOKUP('Données projet'!$B$10,Paramètres!$A$1:$I$89,3,0)*VLOOKUP('Données projet'!$B$10,Paramètres!$A$1:$I$89,5,0)</f>
        <v>132.12264000000005</v>
      </c>
      <c r="AK41" s="13">
        <f t="shared" si="35"/>
        <v>34.486375824149725</v>
      </c>
      <c r="AL41" s="20">
        <f t="shared" si="4"/>
        <v>290.17736922706086</v>
      </c>
      <c r="AM41" s="59">
        <f t="shared" si="5"/>
        <v>583.51070256039418</v>
      </c>
      <c r="AN41" s="59">
        <f ca="1">AVERAGE(OFFSET($AM$3,0,0,'Données projet'!$E$10+1,1))-AVERAGE(OFFSET($H$3,0,0,'Données projet'!$E$10+1,1))</f>
        <v>464.3681853739115</v>
      </c>
      <c r="AO41" s="59">
        <f t="shared" si="36"/>
        <v>272.97841038165217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137.47968000000003</v>
      </c>
      <c r="BF41" s="13">
        <f t="shared" si="37"/>
        <v>35.719026553355249</v>
      </c>
      <c r="BG41" s="20">
        <f t="shared" si="7"/>
        <v>301.65441391376049</v>
      </c>
      <c r="BH41" s="59">
        <f t="shared" si="8"/>
        <v>594.98774724709381</v>
      </c>
      <c r="BI41" s="59">
        <f ca="1">AVERAGE(OFFSET($BH$3,0,0,'Données projet'!$E$11+1,1))-AVERAGE(OFFSET($H$3,0,0,'Données projet'!$E$11+1,1))</f>
        <v>299.10536994156814</v>
      </c>
      <c r="BJ41" s="59">
        <f t="shared" si="38"/>
        <v>292.57799203101769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3.5888894672644249</v>
      </c>
      <c r="BR41" s="21">
        <f>EXP(-LN(2)/2)*BR40+(1-EXP(-LN(2)/2))/(LN(2)/2)*BL41*BO41*VLOOKUP('Données projet'!$B$11,Paramètres!$A$1:$I$89,3,0)*0.475*44/12</f>
        <v>2.9725015981336189</v>
      </c>
      <c r="BS41" s="22">
        <f t="shared" si="9"/>
        <v>6.5613910653980438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299.10536994156814</v>
      </c>
      <c r="CE41" s="59">
        <f t="shared" si="40"/>
        <v>292.57799203101769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3.5888894672644249</v>
      </c>
      <c r="CM41" s="21">
        <f>EXP(-LN(2)/2)*CM40+(1-EXP(-LN(2)/2))/(LN(2)/2)*CG41*CJ41*VLOOKUP('Données projet'!$B$12,Paramètres!$A$1:$I$89,3,0)*0.475*44/12</f>
        <v>2.9725015981336189</v>
      </c>
      <c r="CN41" s="22">
        <f t="shared" si="12"/>
        <v>6.5613910653980438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9.875</v>
      </c>
      <c r="CT41" s="12">
        <f>IF('Données projet'!$A$140&gt;35,CT40+CS41-DB40,IF(A41&lt;'Données projet'!$A$140,$CQ$205^A41,IF(A41='Données projet'!$A$140,'Données projet'!$B$140,CT40+CS41-DB40)))</f>
        <v>128.75</v>
      </c>
      <c r="CU41" s="17">
        <f>CT41*VLOOKUP('Données projet'!$B$13,Paramètres!$A$1:$I$89,3,0)*VLOOKUP('Données projet'!$B$13,Paramètres!$A$1:$I$89,5,0)</f>
        <v>116.49299999999999</v>
      </c>
      <c r="CV41" s="13">
        <f t="shared" si="41"/>
        <v>30.855642519307857</v>
      </c>
      <c r="CW41" s="20">
        <f t="shared" si="13"/>
        <v>256.63221905446113</v>
      </c>
      <c r="CX41" s="59">
        <f t="shared" si="14"/>
        <v>549.96555238779445</v>
      </c>
      <c r="CY41" s="59">
        <f ca="1">AVERAGE(OFFSET($CX$3,0,0,'Données projet'!$E$13+1,1))-AVERAGE(OFFSET($H$3,0,0,'Données projet'!$E$13+1,1))</f>
        <v>528.15559695545812</v>
      </c>
      <c r="CZ41" s="59">
        <f t="shared" si="42"/>
        <v>276.26988364830532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9.875</v>
      </c>
      <c r="DO41" s="12">
        <f>IF('Données projet'!$A$166&gt;35,DO40+DN41-DW40,IF(A41&lt;'Données projet'!$A$166,$DL$205^A41,IF(A41='Données projet'!$A$166,'Données projet'!$B$166,DO40+DN41-DW40)))</f>
        <v>128.75</v>
      </c>
      <c r="DP41" s="17">
        <f>DO41*VLOOKUP('Données projet'!$B$14,Paramètres!$A$1:$I$89,3,0)*VLOOKUP('Données projet'!$B$14,Paramètres!$A$1:$I$89,5,0)</f>
        <v>130.55250000000001</v>
      </c>
      <c r="DQ41" s="13">
        <f t="shared" si="43"/>
        <v>34.12399433206599</v>
      </c>
      <c r="DR41" s="20">
        <f t="shared" si="16"/>
        <v>286.81156096168161</v>
      </c>
      <c r="DS41" s="59">
        <f t="shared" si="17"/>
        <v>580.14489429501486</v>
      </c>
      <c r="DT41" s="59">
        <f ca="1">AVERAGE(OFFSET($DS$3,0,0,'Données projet'!$E$14+1,1))-AVERAGE(OFFSET($H$3,0,0,'Données projet'!$E$14+1,1))</f>
        <v>586.50020405958992</v>
      </c>
      <c r="DU41" s="59">
        <f t="shared" si="44"/>
        <v>304.44184537595294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172.8</v>
      </c>
      <c r="EK41" s="17">
        <f>EJ41*VLOOKUP('Données projet'!$B$15,Paramètres!$A$1:$I$89,3,0)*VLOOKUP('Données projet'!$B$15,Paramètres!$A$1:$I$89,5,0)</f>
        <v>167.13216000000003</v>
      </c>
      <c r="EL41" s="13">
        <f t="shared" si="45"/>
        <v>42.447088211746923</v>
      </c>
      <c r="EM41" s="20">
        <f t="shared" si="19"/>
        <v>365.01719063545926</v>
      </c>
      <c r="EN41" s="59">
        <f t="shared" si="20"/>
        <v>658.35052396879257</v>
      </c>
      <c r="EO41" s="59">
        <f ca="1">AVERAGE(OFFSET($EN$3,0,0,'Données projet'!$E$15+1,1))-AVERAGE(OFFSET($H$3,0,0,'Données projet'!$E$15+1,1))</f>
        <v>355.72173590705142</v>
      </c>
      <c r="EP41" s="59">
        <f t="shared" si="46"/>
        <v>346.30980704469363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3.539762974371794</v>
      </c>
      <c r="EX41" s="21">
        <f>EXP(-LN(2)/2)*EX40+(1-EXP(-LN(2)/2))/(LN(2)/2)*ER41*EU41*VLOOKUP('Données projet'!$B$15,Paramètres!$A$1:$I$89,3,0)*0.475*44/12</f>
        <v>3.6136293938094974</v>
      </c>
      <c r="EY41" s="22">
        <f t="shared" si="21"/>
        <v>7.1533923681812919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172.8</v>
      </c>
      <c r="FF41" s="17">
        <f>FE41*VLOOKUP('Données projet'!$B$16,Paramètres!$A$1:$I$89,3,0)*VLOOKUP('Données projet'!$B$16,Paramètres!$A$1:$I$89,5,0)</f>
        <v>140.17536000000001</v>
      </c>
      <c r="FG41" s="13">
        <f t="shared" si="47"/>
        <v>36.337175081323657</v>
      </c>
      <c r="FH41" s="20">
        <f t="shared" si="22"/>
        <v>307.42599859997205</v>
      </c>
      <c r="FI41" s="59">
        <f t="shared" si="23"/>
        <v>600.75933193330536</v>
      </c>
      <c r="FJ41" s="59">
        <f ca="1">AVERAGE(OFFSET($FI$3,0,0,'Données projet'!$E$16+1,1))-AVERAGE(OFFSET($H$3,0,0,'Données projet'!$E$16+1,1))</f>
        <v>304.26232113495314</v>
      </c>
      <c r="FK41" s="59">
        <f t="shared" si="48"/>
        <v>297.47246687305056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3.6592598489754926</v>
      </c>
      <c r="FS41" s="21">
        <f>EXP(-LN(2)/2)*FS40+(1-EXP(-LN(2)/2))/(LN(2)/2)*FM41*FP41*VLOOKUP('Données projet'!$B$16,Paramètres!$A$1:$I$89,3,0)*0.475*44/12</f>
        <v>3.0307859431950623</v>
      </c>
      <c r="FT41" s="22">
        <f t="shared" si="24"/>
        <v>6.6900457921705545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9.8000000000000007</v>
      </c>
      <c r="N42" s="13">
        <f>IF('Données projet'!$A$36&gt;35,N41+M42-V41,IF(A42&lt;'Données projet'!$A$36,$K$205^A42,IF(A42='Données projet'!$A$36,'Données projet'!$B$36,N41+M42-V41)))</f>
        <v>196.20000000000007</v>
      </c>
      <c r="O42" s="13">
        <f>N42*VLOOKUP('Données projet'!$B$9,Paramètres!$A$1:$I$89,3,0)*VLOOKUP('Données projet'!$B$9,Paramètres!$A$1:$I$89,5,0)</f>
        <v>171.40032000000011</v>
      </c>
      <c r="P42" s="13">
        <f t="shared" si="33"/>
        <v>43.40349878862115</v>
      </c>
      <c r="Q42" s="20">
        <f t="shared" si="53"/>
        <v>374.11665105684864</v>
      </c>
      <c r="R42" s="59">
        <f t="shared" si="0"/>
        <v>667.44998439018195</v>
      </c>
      <c r="S42" s="59">
        <f ca="1">AVERAGE(OFFSET($R$3,0,0,'Données projet'!$E$9+1,1))-AVERAGE(OFFSET($H$3,0,0,'Données projet'!$E$9+1,1))</f>
        <v>381.72225529388083</v>
      </c>
      <c r="T42" s="59">
        <f t="shared" si="34"/>
        <v>360.05900046417361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13.938346655805924</v>
      </c>
      <c r="AA42" s="21">
        <f>EXP(-LN(2)/25)*AA41+(1-EXP(-LN(2)/25))/(LN(2)/25)*Calculateur!V42*Calculateur!X42*VLOOKUP('Données projet'!$B$9,Paramètres!$A$1:$I$89,3,0)*0.475*44/12</f>
        <v>10.512479324137818</v>
      </c>
      <c r="AB42" s="21">
        <f>EXP(-LN(2)/2)*AB41+(1-EXP(-LN(2)/2))/(LN(2)/2)*V42*Y42*VLOOKUP('Données projet'!$B$9,Paramètres!$A$1:$I$89,3,0)*0.475*44/12</f>
        <v>6.9791797283277973E-2</v>
      </c>
      <c r="AC42" s="22">
        <f t="shared" si="3"/>
        <v>24.52061777722702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</v>
      </c>
      <c r="AI42" s="13">
        <f>IF('Données projet'!$A$62&gt;35,AI41+AH42-AQ41,IF(A42&lt;'Données projet'!$A$62,$AF$205^A42,IF(A42='Données projet'!$A$62,'Données projet'!$B$62,AI41+AH42-AQ41)))</f>
        <v>193.60000000000008</v>
      </c>
      <c r="AJ42" s="13">
        <f>AI42*VLOOKUP('Données projet'!$B$10,Paramètres!$A$1:$I$89,3,0)*VLOOKUP('Données projet'!$B$10,Paramètres!$A$1:$I$89,5,0)</f>
        <v>141.94752000000005</v>
      </c>
      <c r="AK42" s="13">
        <f t="shared" si="35"/>
        <v>36.74279562732665</v>
      </c>
      <c r="AL42" s="20">
        <f t="shared" si="4"/>
        <v>311.21896638426068</v>
      </c>
      <c r="AM42" s="59">
        <f t="shared" si="5"/>
        <v>604.552299717594</v>
      </c>
      <c r="AN42" s="59">
        <f ca="1">AVERAGE(OFFSET($AM$3,0,0,'Données projet'!$E$10+1,1))-AVERAGE(OFFSET($H$3,0,0,'Données projet'!$E$10+1,1))</f>
        <v>464.3681853739115</v>
      </c>
      <c r="AO42" s="59">
        <f t="shared" si="36"/>
        <v>272.97841038165217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145.11744000000002</v>
      </c>
      <c r="BF42" s="13">
        <f t="shared" si="37"/>
        <v>37.466878406916173</v>
      </c>
      <c r="BG42" s="20">
        <f t="shared" si="7"/>
        <v>318.00102122537902</v>
      </c>
      <c r="BH42" s="59">
        <f t="shared" si="8"/>
        <v>611.33435455871233</v>
      </c>
      <c r="BI42" s="59">
        <f ca="1">AVERAGE(OFFSET($BH$3,0,0,'Données projet'!$E$11+1,1))-AVERAGE(OFFSET($H$3,0,0,'Données projet'!$E$11+1,1))</f>
        <v>299.10536994156814</v>
      </c>
      <c r="BJ42" s="59">
        <f t="shared" si="38"/>
        <v>292.57799203101769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3.4907510960505848</v>
      </c>
      <c r="BR42" s="21">
        <f>EXP(-LN(2)/2)*BR41+(1-EXP(-LN(2)/2))/(LN(2)/2)*BL42*BO42*VLOOKUP('Données projet'!$B$11,Paramètres!$A$1:$I$89,3,0)*0.475*44/12</f>
        <v>2.101876037128132</v>
      </c>
      <c r="BS42" s="22">
        <f t="shared" si="9"/>
        <v>5.5926271331787163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299.10536994156814</v>
      </c>
      <c r="CE42" s="59">
        <f t="shared" si="40"/>
        <v>292.57799203101769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3.4907510960505848</v>
      </c>
      <c r="CM42" s="21">
        <f>EXP(-LN(2)/2)*CM41+(1-EXP(-LN(2)/2))/(LN(2)/2)*CG42*CJ42*VLOOKUP('Données projet'!$B$12,Paramètres!$A$1:$I$89,3,0)*0.475*44/12</f>
        <v>2.101876037128132</v>
      </c>
      <c r="CN42" s="22">
        <f t="shared" si="12"/>
        <v>5.5926271331787163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9.875</v>
      </c>
      <c r="CT42" s="12">
        <f>IF('Données projet'!$A$140&gt;35,CT41+CS42-DB41,IF(A42&lt;'Données projet'!$A$140,$CQ$205^A42,IF(A42='Données projet'!$A$140,'Données projet'!$B$140,CT41+CS42-DB41)))</f>
        <v>138.625</v>
      </c>
      <c r="CU42" s="17">
        <f>CT42*VLOOKUP('Données projet'!$B$13,Paramètres!$A$1:$I$89,3,0)*VLOOKUP('Données projet'!$B$13,Paramètres!$A$1:$I$89,5,0)</f>
        <v>125.42789999999999</v>
      </c>
      <c r="CV42" s="13">
        <f t="shared" si="41"/>
        <v>32.937689922759176</v>
      </c>
      <c r="CW42" s="20">
        <f t="shared" si="13"/>
        <v>275.82006911547222</v>
      </c>
      <c r="CX42" s="59">
        <f t="shared" si="14"/>
        <v>569.15340244880554</v>
      </c>
      <c r="CY42" s="59">
        <f ca="1">AVERAGE(OFFSET($CX$3,0,0,'Données projet'!$E$13+1,1))-AVERAGE(OFFSET($H$3,0,0,'Données projet'!$E$13+1,1))</f>
        <v>528.15559695545812</v>
      </c>
      <c r="CZ42" s="59">
        <f t="shared" si="42"/>
        <v>276.26988364830532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9.875</v>
      </c>
      <c r="DO42" s="12">
        <f>IF('Données projet'!$A$166&gt;35,DO41+DN42-DW41,IF(A42&lt;'Données projet'!$A$166,$DL$205^A42,IF(A42='Données projet'!$A$166,'Données projet'!$B$166,DO41+DN42-DW41)))</f>
        <v>138.625</v>
      </c>
      <c r="DP42" s="17">
        <f>DO42*VLOOKUP('Données projet'!$B$14,Paramètres!$A$1:$I$89,3,0)*VLOOKUP('Données projet'!$B$14,Paramètres!$A$1:$I$89,5,0)</f>
        <v>140.56575000000001</v>
      </c>
      <c r="DQ42" s="13">
        <f t="shared" si="43"/>
        <v>36.426580439291158</v>
      </c>
      <c r="DR42" s="20">
        <f t="shared" si="16"/>
        <v>308.26164218176535</v>
      </c>
      <c r="DS42" s="59">
        <f t="shared" si="17"/>
        <v>601.59497551509867</v>
      </c>
      <c r="DT42" s="59">
        <f ca="1">AVERAGE(OFFSET($DS$3,0,0,'Données projet'!$E$14+1,1))-AVERAGE(OFFSET($H$3,0,0,'Données projet'!$E$14+1,1))</f>
        <v>586.50020405958992</v>
      </c>
      <c r="DU42" s="59">
        <f t="shared" si="44"/>
        <v>304.44184537595294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182.4</v>
      </c>
      <c r="EK42" s="17">
        <f>EJ42*VLOOKUP('Données projet'!$B$15,Paramètres!$A$1:$I$89,3,0)*VLOOKUP('Données projet'!$B$15,Paramètres!$A$1:$I$89,5,0)</f>
        <v>176.41728000000001</v>
      </c>
      <c r="EL42" s="13">
        <f t="shared" si="45"/>
        <v>44.524166703747255</v>
      </c>
      <c r="EM42" s="20">
        <f t="shared" si="19"/>
        <v>384.80635300902645</v>
      </c>
      <c r="EN42" s="59">
        <f t="shared" si="20"/>
        <v>678.13968634235971</v>
      </c>
      <c r="EO42" s="59">
        <f ca="1">AVERAGE(OFFSET($EN$3,0,0,'Données projet'!$E$15+1,1))-AVERAGE(OFFSET($H$3,0,0,'Données projet'!$E$15+1,1))</f>
        <v>355.72173590705142</v>
      </c>
      <c r="EP42" s="59">
        <f t="shared" si="46"/>
        <v>346.30980704469363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3.4429679696895525</v>
      </c>
      <c r="EX42" s="21">
        <f>EXP(-LN(2)/2)*EX41+(1-EXP(-LN(2)/2))/(LN(2)/2)*ER42*EU42*VLOOKUP('Données projet'!$B$15,Paramètres!$A$1:$I$89,3,0)*0.475*44/12</f>
        <v>2.555221849057729</v>
      </c>
      <c r="EY42" s="22">
        <f t="shared" si="21"/>
        <v>5.9981898187472815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182.4</v>
      </c>
      <c r="FF42" s="17">
        <f>FE42*VLOOKUP('Données projet'!$B$16,Paramètres!$A$1:$I$89,3,0)*VLOOKUP('Données projet'!$B$16,Paramètres!$A$1:$I$89,5,0)</f>
        <v>147.96288000000001</v>
      </c>
      <c r="FG42" s="13">
        <f t="shared" si="47"/>
        <v>38.115275017059226</v>
      </c>
      <c r="FH42" s="20">
        <f t="shared" si="22"/>
        <v>324.0861199880448</v>
      </c>
      <c r="FI42" s="59">
        <f t="shared" si="23"/>
        <v>617.41945332137811</v>
      </c>
      <c r="FJ42" s="59">
        <f ca="1">AVERAGE(OFFSET($FI$3,0,0,'Données projet'!$E$16+1,1))-AVERAGE(OFFSET($H$3,0,0,'Données projet'!$E$16+1,1))</f>
        <v>304.26232113495314</v>
      </c>
      <c r="FK42" s="59">
        <f t="shared" si="48"/>
        <v>297.47246687305056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3.5591971959731459</v>
      </c>
      <c r="FS42" s="21">
        <f>EXP(-LN(2)/2)*FS41+(1-EXP(-LN(2)/2))/(LN(2)/2)*FM42*FP42*VLOOKUP('Données projet'!$B$16,Paramètres!$A$1:$I$89,3,0)*0.475*44/12</f>
        <v>2.1430892927580953</v>
      </c>
      <c r="FT42" s="22">
        <f t="shared" si="24"/>
        <v>5.7022864887312412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206</v>
      </c>
      <c r="L43" s="12">
        <f>VLOOKUP(A43,'Données projet'!$A$35:$I$55,9,0)</f>
        <v>9.8000000000000007</v>
      </c>
      <c r="M43" s="12">
        <f t="array" ref="M43">INDEX(L:L,MIN(IF(ISNUMBER(L43:L239),ROW(L43:L239),"")))</f>
        <v>9.8000000000000007</v>
      </c>
      <c r="N43" s="13">
        <f>IF('Données projet'!$A$36&gt;35,N42+M43-V42,IF(A43&lt;'Données projet'!$A$36,$K$205^A43,IF(A43='Données projet'!$A$36,'Données projet'!$B$36,N42+M43-V42)))</f>
        <v>206.00000000000009</v>
      </c>
      <c r="O43" s="13">
        <f>N43*VLOOKUP('Données projet'!$B$9,Paramètres!$A$1:$I$89,3,0)*VLOOKUP('Données projet'!$B$9,Paramètres!$A$1:$I$89,5,0)</f>
        <v>179.96160000000009</v>
      </c>
      <c r="P43" s="13">
        <f t="shared" si="33"/>
        <v>45.313642767960104</v>
      </c>
      <c r="Q43" s="20">
        <f t="shared" si="53"/>
        <v>392.35438115419737</v>
      </c>
      <c r="R43" s="59">
        <f t="shared" si="0"/>
        <v>685.68771448753068</v>
      </c>
      <c r="S43" s="59">
        <f ca="1">AVERAGE(OFFSET($R$3,0,0,'Données projet'!$E$9+1,1))-AVERAGE(OFFSET($H$3,0,0,'Données projet'!$E$9+1,1))</f>
        <v>381.72225529388083</v>
      </c>
      <c r="T43" s="59">
        <f t="shared" si="34"/>
        <v>360.05900046417361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31</v>
      </c>
      <c r="W43" s="16">
        <f>IF(ISNA(VLOOKUP(A43,'Données projet'!$A$35:$I$55,5,0)),0%,VLOOKUP(A43,'Données projet'!$A$35:$I$55,5,0)*VLOOKUP('Données projet'!$B$9,Paramètres!$A$1:$I$89,7,0))</f>
        <v>0.215</v>
      </c>
      <c r="X43" s="16">
        <f>IF(ISNA(VLOOKUP(A43,'Données projet'!$A$35:$I$55,6,0)),0%,VLOOKUP(A43,'Données projet'!$A$35:$I$55,6,0)*VLOOKUP('Données projet'!$B$9,Paramètres!$A$1:$I$89,7,0))</f>
        <v>0.129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20.101674104964872</v>
      </c>
      <c r="AA43" s="21">
        <f>EXP(-LN(2)/25)*AA42+(1-EXP(-LN(2)/25))/(LN(2)/25)*Calculateur!V43*Calculateur!X43*VLOOKUP('Données projet'!$B$9,Paramètres!$A$1:$I$89,3,0)*0.475*44/12</f>
        <v>14.07179885352077</v>
      </c>
      <c r="AB43" s="21">
        <f>EXP(-LN(2)/2)*AB42+(1-EXP(-LN(2)/2))/(LN(2)/2)*V43*Y43*VLOOKUP('Données projet'!$B$9,Paramètres!$A$1:$I$89,3,0)*0.475*44/12</f>
        <v>4.935025313020272E-2</v>
      </c>
      <c r="AC43" s="22">
        <f t="shared" si="3"/>
        <v>34.22282321161584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207</v>
      </c>
      <c r="AG43" s="12">
        <f>VLOOKUP(A43,'Données projet'!$A$61:$I$81,9,0)</f>
        <v>13.4</v>
      </c>
      <c r="AH43" s="12">
        <f t="array" ref="AH43">INDEX(AG:AG,MIN(IF(ISNUMBER(AG43:AG239),ROW(AG43:AG239),"")))</f>
        <v>13.4</v>
      </c>
      <c r="AI43" s="13">
        <f>IF('Données projet'!$A$62&gt;35,AI42+AH43-AQ42,IF(A43&lt;'Données projet'!$A$62,$AF$205^A43,IF(A43='Données projet'!$A$62,'Données projet'!$B$62,AI42+AH43-AQ42)))</f>
        <v>207.00000000000009</v>
      </c>
      <c r="AJ43" s="13">
        <f>AI43*VLOOKUP('Données projet'!$B$10,Paramètres!$A$1:$I$89,3,0)*VLOOKUP('Données projet'!$B$10,Paramètres!$A$1:$I$89,5,0)</f>
        <v>151.77240000000006</v>
      </c>
      <c r="AK43" s="13">
        <f t="shared" si="35"/>
        <v>38.981094100085443</v>
      </c>
      <c r="AL43" s="20">
        <f t="shared" si="4"/>
        <v>332.22900222431554</v>
      </c>
      <c r="AM43" s="59">
        <f t="shared" si="5"/>
        <v>625.56233555764879</v>
      </c>
      <c r="AN43" s="59">
        <f ca="1">AVERAGE(OFFSET($AM$3,0,0,'Données projet'!$E$10+1,1))-AVERAGE(OFFSET($H$3,0,0,'Données projet'!$E$10+1,1))</f>
        <v>464.3681853739115</v>
      </c>
      <c r="AO43" s="59">
        <f t="shared" si="36"/>
        <v>272.97841038165217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152.7552</v>
      </c>
      <c r="BF43" s="13">
        <f t="shared" si="37"/>
        <v>39.204049895729561</v>
      </c>
      <c r="BG43" s="20">
        <f t="shared" si="7"/>
        <v>334.32902690172892</v>
      </c>
      <c r="BH43" s="59">
        <f t="shared" si="8"/>
        <v>627.66236023506224</v>
      </c>
      <c r="BI43" s="59">
        <f ca="1">AVERAGE(OFFSET($BH$3,0,0,'Données projet'!$E$11+1,1))-AVERAGE(OFFSET($H$3,0,0,'Données projet'!$E$11+1,1))</f>
        <v>299.10536994156814</v>
      </c>
      <c r="BJ43" s="59">
        <f t="shared" si="38"/>
        <v>292.57799203101769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5.3000000000000005E-2</v>
      </c>
      <c r="BN43" s="16">
        <f>IF(ISNA(VLOOKUP(A43,'Données projet'!$A$87:$I$107,6,0)),0%,VLOOKUP(A43,'Données projet'!$A$87:$I$107,6,0)*VLOOKUP('Données projet'!$B$11,Paramètres!$A$1:$I$89,7,0))</f>
        <v>0.21200000000000002</v>
      </c>
      <c r="BO43" s="16">
        <f>IF(ISNA(VLOOKUP(A43,'Données projet'!$A$87:$I$107,7,0)),0%,VLOOKUP(A43,'Données projet'!$A$87:$I$107,7,0))</f>
        <v>0.3</v>
      </c>
      <c r="BP43" s="21">
        <f>EXP(-LN(2)/35)*BP42+(1-EXP(-LN(2)/35))/(LN(2)/35)*BL43*BM43*VLOOKUP('Données projet'!$B$11,Paramètres!$A$1:$I$89,3,0)*0.475*44/12</f>
        <v>1.30519615519132</v>
      </c>
      <c r="BQ43" s="21">
        <f>EXP(-LN(2)/25)*BQ42+(1-EXP(-LN(2)/25))/(LN(2)/25)*Calculateur!BL43*Calculateur!BN43*VLOOKUP('Données projet'!$B$11,Paramètres!$A$1:$I$89,3,0)*0.475*44/12</f>
        <v>8.5955247261968903</v>
      </c>
      <c r="BR43" s="21">
        <f>EXP(-LN(2)/2)*BR42+(1-EXP(-LN(2)/2))/(LN(2)/2)*BL43*BO43*VLOOKUP('Données projet'!$B$11,Paramètres!$A$1:$I$89,3,0)*0.475*44/12</f>
        <v>7.7918789104512047</v>
      </c>
      <c r="BS43" s="22">
        <f t="shared" si="9"/>
        <v>17.692599791839413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299.10536994156814</v>
      </c>
      <c r="CE43" s="59">
        <f t="shared" si="40"/>
        <v>292.57799203101769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5.3000000000000005E-2</v>
      </c>
      <c r="CI43" s="16">
        <f>IF(ISNA(VLOOKUP(A43,'Données projet'!$A$113:$I$133,6,0)),0%,VLOOKUP(A43,'Données projet'!$A$113:$I$133,6,0)*VLOOKUP('Données projet'!$B$12,Paramètres!$A$1:$I$89,7,0))</f>
        <v>0.21200000000000002</v>
      </c>
      <c r="CJ43" s="16">
        <f>IF(ISNA(VLOOKUP(A43,'Données projet'!$A$113:$I$133,7,0)),0%,VLOOKUP(A43,'Données projet'!$A$113:$I$133,7,0))</f>
        <v>0.3</v>
      </c>
      <c r="CK43" s="21">
        <f>EXP(-LN(2)/35)*CK42+(1-EXP(-LN(2)/35))/(LN(2)/35)*CG43*CH43*VLOOKUP('Données projet'!$B$12,Paramètres!$A$1:$I$89,3,0)*0.475*44/12</f>
        <v>1.30519615519132</v>
      </c>
      <c r="CL43" s="21">
        <f>EXP(-LN(2)/25)*CL42+(1-EXP(-LN(2)/25))/(LN(2)/25)*Calculateur!CG43*Calculateur!CI43*VLOOKUP('Données projet'!$B$12,Paramètres!$A$1:$I$89,3,0)*0.475*44/12</f>
        <v>8.5955247261968903</v>
      </c>
      <c r="CM43" s="21">
        <f>EXP(-LN(2)/2)*CM42+(1-EXP(-LN(2)/2))/(LN(2)/2)*CG43*CJ43*VLOOKUP('Données projet'!$B$12,Paramètres!$A$1:$I$89,3,0)*0.475*44/12</f>
        <v>7.7918789104512047</v>
      </c>
      <c r="CN43" s="22">
        <f t="shared" si="12"/>
        <v>17.692599791839413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9.875</v>
      </c>
      <c r="CT43" s="12">
        <f>IF('Données projet'!$A$140&gt;35,CT42+CS43-DB42,IF(A43&lt;'Données projet'!$A$140,$CQ$205^A43,IF(A43='Données projet'!$A$140,'Données projet'!$B$140,CT42+CS43-DB42)))</f>
        <v>148.5</v>
      </c>
      <c r="CU43" s="17">
        <f>CT43*VLOOKUP('Données projet'!$B$13,Paramètres!$A$1:$I$89,3,0)*VLOOKUP('Données projet'!$B$13,Paramètres!$A$1:$I$89,5,0)</f>
        <v>134.36279999999999</v>
      </c>
      <c r="CV43" s="13">
        <f t="shared" si="41"/>
        <v>35.002529438504695</v>
      </c>
      <c r="CW43" s="20">
        <f t="shared" si="13"/>
        <v>294.97794877206235</v>
      </c>
      <c r="CX43" s="59">
        <f t="shared" si="14"/>
        <v>588.31128210539566</v>
      </c>
      <c r="CY43" s="59">
        <f ca="1">AVERAGE(OFFSET($CX$3,0,0,'Données projet'!$E$13+1,1))-AVERAGE(OFFSET($H$3,0,0,'Données projet'!$E$13+1,1))</f>
        <v>528.15559695545812</v>
      </c>
      <c r="CZ43" s="59">
        <f t="shared" si="42"/>
        <v>276.26988364830532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9.875</v>
      </c>
      <c r="DO43" s="12">
        <f>IF('Données projet'!$A$166&gt;35,DO42+DN43-DW42,IF(A43&lt;'Données projet'!$A$166,$DL$205^A43,IF(A43='Données projet'!$A$166,'Données projet'!$B$166,DO42+DN43-DW42)))</f>
        <v>148.5</v>
      </c>
      <c r="DP43" s="17">
        <f>DO43*VLOOKUP('Données projet'!$B$14,Paramètres!$A$1:$I$89,3,0)*VLOOKUP('Données projet'!$B$14,Paramètres!$A$1:$I$89,5,0)</f>
        <v>150.57900000000001</v>
      </c>
      <c r="DQ43" s="13">
        <f t="shared" si="43"/>
        <v>38.71013593121895</v>
      </c>
      <c r="DR43" s="20">
        <f t="shared" si="16"/>
        <v>329.6785784135397</v>
      </c>
      <c r="DS43" s="59">
        <f t="shared" si="17"/>
        <v>623.01191174687301</v>
      </c>
      <c r="DT43" s="59">
        <f ca="1">AVERAGE(OFFSET($DS$3,0,0,'Données projet'!$E$14+1,1))-AVERAGE(OFFSET($H$3,0,0,'Données projet'!$E$14+1,1))</f>
        <v>586.50020405958992</v>
      </c>
      <c r="DU43" s="59">
        <f t="shared" si="44"/>
        <v>304.44184537595294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192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192</v>
      </c>
      <c r="EK43" s="17">
        <f>EJ43*VLOOKUP('Données projet'!$B$15,Paramètres!$A$1:$I$89,3,0)*VLOOKUP('Données projet'!$B$15,Paramètres!$A$1:$I$89,5,0)</f>
        <v>185.70239999999998</v>
      </c>
      <c r="EL43" s="13">
        <f t="shared" si="45"/>
        <v>46.588553069776829</v>
      </c>
      <c r="EM43" s="20">
        <f t="shared" si="19"/>
        <v>404.57340992986127</v>
      </c>
      <c r="EN43" s="59">
        <f t="shared" si="20"/>
        <v>697.90674326319458</v>
      </c>
      <c r="EO43" s="59">
        <f ca="1">AVERAGE(OFFSET($EN$3,0,0,'Données projet'!$E$15+1,1))-AVERAGE(OFFSET($H$3,0,0,'Données projet'!$E$15+1,1))</f>
        <v>355.72173590705142</v>
      </c>
      <c r="EP43" s="59">
        <f t="shared" si="46"/>
        <v>346.30980704469363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4.3000000000000003E-2</v>
      </c>
      <c r="ET43" s="16">
        <f>IF(ISNA(VLOOKUP(A43,'Données projet'!$A$191:$I$211,6,0)),0%,VLOOKUP(A43,'Données projet'!$A$191:$I$211,6,0)*VLOOKUP('Données projet'!$B$15,Paramètres!$A$1:$I$89,7,0))</f>
        <v>0.17200000000000001</v>
      </c>
      <c r="EU43" s="16">
        <f>IF(ISNA(VLOOKUP(A43,'Données projet'!$A$191:$I$211,7,0)),0%,VLOOKUP(A43,'Données projet'!$A$191:$I$211,7,0))</f>
        <v>0.3</v>
      </c>
      <c r="EV43" s="21">
        <f>EXP(-LN(2)/35)*EV42+(1-EXP(-LN(2)/35))/(LN(2)/35)*ER43*ES43*VLOOKUP('Données projet'!$B$15,Paramètres!$A$1:$I$89,3,0)*0.475*44/12</f>
        <v>1.2873299851054603</v>
      </c>
      <c r="EW43" s="21">
        <f>EXP(-LN(2)/25)*EW42+(1-EXP(-LN(2)/25))/(LN(2)/25)*Calculateur!ER43*Calculateur!ET43*VLOOKUP('Données projet'!$B$15,Paramètres!$A$1:$I$89,3,0)*0.475*44/12</f>
        <v>8.4778649352722582</v>
      </c>
      <c r="EX43" s="21">
        <f>EXP(-LN(2)/2)*EX42+(1-EXP(-LN(2)/2))/(LN(2)/2)*ER43*EU43*VLOOKUP('Données projet'!$B$15,Paramètres!$A$1:$I$89,3,0)*0.475*44/12</f>
        <v>9.4724802440779339</v>
      </c>
      <c r="EY43" s="22">
        <f t="shared" si="21"/>
        <v>19.237675164455652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192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192</v>
      </c>
      <c r="FF43" s="17">
        <f>FE43*VLOOKUP('Données projet'!$B$16,Paramètres!$A$1:$I$89,3,0)*VLOOKUP('Données projet'!$B$16,Paramètres!$A$1:$I$89,5,0)</f>
        <v>155.75040000000001</v>
      </c>
      <c r="FG43" s="13">
        <f t="shared" si="47"/>
        <v>39.882509755133754</v>
      </c>
      <c r="FH43" s="20">
        <f t="shared" si="22"/>
        <v>340.72731782352463</v>
      </c>
      <c r="FI43" s="59">
        <f t="shared" si="23"/>
        <v>634.06065115685794</v>
      </c>
      <c r="FJ43" s="59">
        <f ca="1">AVERAGE(OFFSET($FI$3,0,0,'Données projet'!$E$16+1,1))-AVERAGE(OFFSET($H$3,0,0,'Données projet'!$E$16+1,1))</f>
        <v>304.26232113495314</v>
      </c>
      <c r="FK43" s="59">
        <f t="shared" si="48"/>
        <v>297.47246687305056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5.3000000000000005E-2</v>
      </c>
      <c r="FO43" s="16">
        <f>IF(ISNA(VLOOKUP(A43,'Données projet'!$A$217:$I$237,6,0)),0%,VLOOKUP(A43,'Données projet'!$A$217:$I$237,6,0)*VLOOKUP('Données projet'!$B$16,Paramètres!$A$1:$I$89,7,0))</f>
        <v>0.21200000000000002</v>
      </c>
      <c r="FP43" s="16">
        <f>IF(ISNA(VLOOKUP(A43,'Données projet'!$A$217:$I$237,7,0)),0%,VLOOKUP(A43,'Données projet'!$A$217:$I$237,7,0))</f>
        <v>0.3</v>
      </c>
      <c r="FQ43" s="21">
        <f>EXP(-LN(2)/35)*FQ42+(1-EXP(-LN(2)/35))/(LN(2)/35)*FM43*FN43*VLOOKUP('Données projet'!$B$16,Paramètres!$A$1:$I$89,3,0)*0.475*44/12</f>
        <v>1.3307882366656598</v>
      </c>
      <c r="FR43" s="21">
        <f>EXP(-LN(2)/25)*FR42+(1-EXP(-LN(2)/25))/(LN(2)/25)*Calculateur!FM43*Calculateur!FO43*VLOOKUP('Données projet'!$B$16,Paramètres!$A$1:$I$89,3,0)*0.475*44/12</f>
        <v>8.7640644267105561</v>
      </c>
      <c r="FS43" s="21">
        <f>EXP(-LN(2)/2)*FS42+(1-EXP(-LN(2)/2))/(LN(2)/2)*FM43*FP43*VLOOKUP('Données projet'!$B$16,Paramètres!$A$1:$I$89,3,0)*0.475*44/12</f>
        <v>7.9446608498718154</v>
      </c>
      <c r="FT43" s="22">
        <f t="shared" si="24"/>
        <v>18.039513513248032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8.8000000000000007</v>
      </c>
      <c r="N44" s="13">
        <f>IF('Données projet'!$A$36&gt;35,N43+M44-V43,IF(A44&lt;'Données projet'!$A$36,$K$205^A44,IF(A44='Données projet'!$A$36,'Données projet'!$B$36,N43+M44-V43)))</f>
        <v>183.8000000000001</v>
      </c>
      <c r="O44" s="13">
        <f>N44*VLOOKUP('Données projet'!$B$9,Paramètres!$A$1:$I$89,3,0)*VLOOKUP('Données projet'!$B$9,Paramètres!$A$1:$I$89,5,0)</f>
        <v>160.56768000000011</v>
      </c>
      <c r="P44" s="13">
        <f t="shared" si="33"/>
        <v>40.970530810309917</v>
      </c>
      <c r="Q44" s="20">
        <f t="shared" si="53"/>
        <v>351.01238382795663</v>
      </c>
      <c r="R44" s="59">
        <f t="shared" si="0"/>
        <v>644.34571716128994</v>
      </c>
      <c r="S44" s="59">
        <f ca="1">AVERAGE(OFFSET($R$3,0,0,'Données projet'!$E$9+1,1))-AVERAGE(OFFSET($H$3,0,0,'Données projet'!$E$9+1,1))</f>
        <v>381.72225529388083</v>
      </c>
      <c r="T44" s="59">
        <f t="shared" si="34"/>
        <v>360.05900046417361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19.70749253657706</v>
      </c>
      <c r="AA44" s="21">
        <f>EXP(-LN(2)/25)*AA43+(1-EXP(-LN(2)/25))/(LN(2)/25)*Calculateur!V44*Calculateur!X44*VLOOKUP('Données projet'!$B$9,Paramètres!$A$1:$I$89,3,0)*0.475*44/12</f>
        <v>13.687004773867503</v>
      </c>
      <c r="AB44" s="21">
        <f>EXP(-LN(2)/2)*AB43+(1-EXP(-LN(2)/2))/(LN(2)/2)*V44*Y44*VLOOKUP('Données projet'!$B$9,Paramètres!$A$1:$I$89,3,0)*0.475*44/12</f>
        <v>3.4895898641638987E-2</v>
      </c>
      <c r="AC44" s="22">
        <f t="shared" si="3"/>
        <v>33.4293932090862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</v>
      </c>
      <c r="AI44" s="13">
        <f>IF('Données projet'!$A$62&gt;35,AI43+AH44-AQ43,IF(A44&lt;'Données projet'!$A$62,$AF$205^A44,IF(A44='Données projet'!$A$62,'Données projet'!$B$62,AI43+AH44-AQ43)))</f>
        <v>185.8000000000001</v>
      </c>
      <c r="AJ44" s="13">
        <f>AI44*VLOOKUP('Données projet'!$B$10,Paramètres!$A$1:$I$89,3,0)*VLOOKUP('Données projet'!$B$10,Paramètres!$A$1:$I$89,5,0)</f>
        <v>136.22856000000007</v>
      </c>
      <c r="AK44" s="13">
        <f t="shared" si="35"/>
        <v>35.431653185018021</v>
      </c>
      <c r="AL44" s="20">
        <f t="shared" si="4"/>
        <v>298.97487129723987</v>
      </c>
      <c r="AM44" s="59">
        <f t="shared" si="5"/>
        <v>592.30820463057319</v>
      </c>
      <c r="AN44" s="59">
        <f ca="1">AVERAGE(OFFSET($AM$3,0,0,'Données projet'!$E$10+1,1))-AVERAGE(OFFSET($H$3,0,0,'Données projet'!$E$10+1,1))</f>
        <v>464.3681853739115</v>
      </c>
      <c r="AO44" s="59">
        <f t="shared" si="36"/>
        <v>272.97841038165217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137.00232</v>
      </c>
      <c r="BF44" s="13">
        <f t="shared" si="37"/>
        <v>35.609416420931346</v>
      </c>
      <c r="BG44" s="20">
        <f t="shared" si="7"/>
        <v>300.63210759978875</v>
      </c>
      <c r="BH44" s="59">
        <f t="shared" si="8"/>
        <v>593.96544093312207</v>
      </c>
      <c r="BI44" s="59">
        <f ca="1">AVERAGE(OFFSET($BH$3,0,0,'Données projet'!$E$11+1,1))-AVERAGE(OFFSET($H$3,0,0,'Données projet'!$E$11+1,1))</f>
        <v>299.10536994156814</v>
      </c>
      <c r="BJ44" s="59">
        <f t="shared" si="38"/>
        <v>292.57799203101769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1.2796020546790654</v>
      </c>
      <c r="BQ44" s="21">
        <f>EXP(-LN(2)/25)*BQ43+(1-EXP(-LN(2)/25))/(LN(2)/25)*Calculateur!BL44*Calculateur!BN44*VLOOKUP('Données projet'!$B$11,Paramètres!$A$1:$I$89,3,0)*0.475*44/12</f>
        <v>8.3604796505400358</v>
      </c>
      <c r="BR44" s="21">
        <f>EXP(-LN(2)/2)*BR43+(1-EXP(-LN(2)/2))/(LN(2)/2)*BL44*BO44*VLOOKUP('Données projet'!$B$11,Paramètres!$A$1:$I$89,3,0)*0.475*44/12</f>
        <v>5.5096904157644948</v>
      </c>
      <c r="BS44" s="22">
        <f t="shared" si="9"/>
        <v>15.149772120983595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299.10536994156814</v>
      </c>
      <c r="CE44" s="59">
        <f t="shared" si="40"/>
        <v>292.57799203101769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1.2796020546790654</v>
      </c>
      <c r="CL44" s="21">
        <f>EXP(-LN(2)/25)*CL43+(1-EXP(-LN(2)/25))/(LN(2)/25)*Calculateur!CG44*Calculateur!CI44*VLOOKUP('Données projet'!$B$12,Paramètres!$A$1:$I$89,3,0)*0.475*44/12</f>
        <v>8.3604796505400358</v>
      </c>
      <c r="CM44" s="21">
        <f>EXP(-LN(2)/2)*CM43+(1-EXP(-LN(2)/2))/(LN(2)/2)*CG44*CJ44*VLOOKUP('Données projet'!$B$12,Paramètres!$A$1:$I$89,3,0)*0.475*44/12</f>
        <v>5.5096904157644948</v>
      </c>
      <c r="CN44" s="22">
        <f t="shared" si="12"/>
        <v>15.149772120983595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9.875</v>
      </c>
      <c r="CT44" s="12">
        <f>IF('Données projet'!$A$140&gt;35,CT43+CS44-DB43,IF(A44&lt;'Données projet'!$A$140,$CQ$205^A44,IF(A44='Données projet'!$A$140,'Données projet'!$B$140,CT43+CS44-DB43)))</f>
        <v>158.375</v>
      </c>
      <c r="CU44" s="17">
        <f>CT44*VLOOKUP('Données projet'!$B$13,Paramètres!$A$1:$I$89,3,0)*VLOOKUP('Données projet'!$B$13,Paramètres!$A$1:$I$89,5,0)</f>
        <v>143.29769999999999</v>
      </c>
      <c r="CV44" s="13">
        <f t="shared" si="41"/>
        <v>37.051435567396794</v>
      </c>
      <c r="CW44" s="20">
        <f t="shared" si="13"/>
        <v>314.10807777988271</v>
      </c>
      <c r="CX44" s="59">
        <f t="shared" si="14"/>
        <v>607.44141111321596</v>
      </c>
      <c r="CY44" s="59">
        <f ca="1">AVERAGE(OFFSET($CX$3,0,0,'Données projet'!$E$13+1,1))-AVERAGE(OFFSET($H$3,0,0,'Données projet'!$E$13+1,1))</f>
        <v>528.15559695545812</v>
      </c>
      <c r="CZ44" s="59">
        <f t="shared" si="42"/>
        <v>276.26988364830532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9.875</v>
      </c>
      <c r="DO44" s="12">
        <f>IF('Données projet'!$A$166&gt;35,DO43+DN44-DW43,IF(A44&lt;'Données projet'!$A$166,$DL$205^A44,IF(A44='Données projet'!$A$166,'Données projet'!$B$166,DO43+DN44-DW43)))</f>
        <v>158.375</v>
      </c>
      <c r="DP44" s="17">
        <f>DO44*VLOOKUP('Données projet'!$B$14,Paramètres!$A$1:$I$89,3,0)*VLOOKUP('Données projet'!$B$14,Paramètres!$A$1:$I$89,5,0)</f>
        <v>160.59225000000001</v>
      </c>
      <c r="DQ44" s="13">
        <f t="shared" si="43"/>
        <v>40.976070308877716</v>
      </c>
      <c r="DR44" s="20">
        <f t="shared" si="16"/>
        <v>351.06482453796201</v>
      </c>
      <c r="DS44" s="59">
        <f t="shared" si="17"/>
        <v>644.39815787129533</v>
      </c>
      <c r="DT44" s="59">
        <f ca="1">AVERAGE(OFFSET($DS$3,0,0,'Données projet'!$E$14+1,1))-AVERAGE(OFFSET($H$3,0,0,'Données projet'!$E$14+1,1))</f>
        <v>586.50020405958992</v>
      </c>
      <c r="DU44" s="59">
        <f t="shared" si="44"/>
        <v>304.44184537595294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8.1999999999999993</v>
      </c>
      <c r="EJ44" s="12">
        <f>IF('Données projet'!$A$192&gt;35,EJ43+EI44-ER43,IF(A44&lt;'Données projet'!$A$192,$EG$205^A44,IF(A44='Données projet'!$A$192,'Données projet'!$B$192,EJ43+EI44-ER43)))</f>
        <v>172.2</v>
      </c>
      <c r="EK44" s="17">
        <f>EJ44*VLOOKUP('Données projet'!$B$15,Paramètres!$A$1:$I$89,3,0)*VLOOKUP('Données projet'!$B$15,Paramètres!$A$1:$I$89,5,0)</f>
        <v>166.55184</v>
      </c>
      <c r="EL44" s="13">
        <f t="shared" si="45"/>
        <v>42.316831835556165</v>
      </c>
      <c r="EM44" s="20">
        <f t="shared" si="19"/>
        <v>363.77960344692701</v>
      </c>
      <c r="EN44" s="59">
        <f t="shared" si="20"/>
        <v>657.11293678026027</v>
      </c>
      <c r="EO44" s="59">
        <f ca="1">AVERAGE(OFFSET($EN$3,0,0,'Données projet'!$E$15+1,1))-AVERAGE(OFFSET($H$3,0,0,'Données projet'!$E$15+1,1))</f>
        <v>355.72173590705142</v>
      </c>
      <c r="EP44" s="59">
        <f t="shared" si="46"/>
        <v>346.30980704469363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1.2620862292913018</v>
      </c>
      <c r="EW44" s="21">
        <f>EXP(-LN(2)/25)*EW43+(1-EXP(-LN(2)/25))/(LN(2)/25)*Calculateur!ER44*Calculateur!ET44*VLOOKUP('Données projet'!$B$15,Paramètres!$A$1:$I$89,3,0)*0.475*44/12</f>
        <v>8.2460372727856974</v>
      </c>
      <c r="EX44" s="21">
        <f>EXP(-LN(2)/2)*EX43+(1-EXP(-LN(2)/2))/(LN(2)/2)*ER44*EU44*VLOOKUP('Données projet'!$B$15,Paramètres!$A$1:$I$89,3,0)*0.475*44/12</f>
        <v>6.69805501524311</v>
      </c>
      <c r="EY44" s="22">
        <f t="shared" si="21"/>
        <v>16.206178517320112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172.2</v>
      </c>
      <c r="FF44" s="17">
        <f>FE44*VLOOKUP('Données projet'!$B$16,Paramètres!$A$1:$I$89,3,0)*VLOOKUP('Données projet'!$B$16,Paramètres!$A$1:$I$89,5,0)</f>
        <v>139.68863999999999</v>
      </c>
      <c r="FG44" s="13">
        <f t="shared" si="47"/>
        <v>36.22566805112433</v>
      </c>
      <c r="FH44" s="20">
        <f t="shared" si="22"/>
        <v>306.38408652237484</v>
      </c>
      <c r="FI44" s="59">
        <f t="shared" si="23"/>
        <v>599.71741985570816</v>
      </c>
      <c r="FJ44" s="59">
        <f ca="1">AVERAGE(OFFSET($FI$3,0,0,'Données projet'!$E$16+1,1))-AVERAGE(OFFSET($H$3,0,0,'Données projet'!$E$16+1,1))</f>
        <v>304.26232113495314</v>
      </c>
      <c r="FK44" s="59">
        <f t="shared" si="48"/>
        <v>297.47246687305056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1.3046922910453218</v>
      </c>
      <c r="FR44" s="21">
        <f>EXP(-LN(2)/25)*FR43+(1-EXP(-LN(2)/25))/(LN(2)/25)*Calculateur!FM44*Calculateur!FO44*VLOOKUP('Données projet'!$B$16,Paramètres!$A$1:$I$89,3,0)*0.475*44/12</f>
        <v>8.5244106240800388</v>
      </c>
      <c r="FS44" s="21">
        <f>EXP(-LN(2)/2)*FS43+(1-EXP(-LN(2)/2))/(LN(2)/2)*FM44*FP44*VLOOKUP('Données projet'!$B$16,Paramètres!$A$1:$I$89,3,0)*0.475*44/12</f>
        <v>5.6177235611716405</v>
      </c>
      <c r="FT44" s="22">
        <f t="shared" si="24"/>
        <v>15.446826476297002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8.8000000000000007</v>
      </c>
      <c r="N45" s="13">
        <f>IF('Données projet'!$A$36&gt;35,N44+M45-V44,IF(A45&lt;'Données projet'!$A$36,$K$205^A45,IF(A45='Données projet'!$A$36,'Données projet'!$B$36,N44+M45-V44)))</f>
        <v>192.60000000000011</v>
      </c>
      <c r="O45" s="13">
        <f>N45*VLOOKUP('Données projet'!$B$9,Paramètres!$A$1:$I$89,3,0)*VLOOKUP('Données projet'!$B$9,Paramètres!$A$1:$I$89,5,0)</f>
        <v>168.25536000000011</v>
      </c>
      <c r="P45" s="13">
        <f t="shared" si="33"/>
        <v>42.699047982710923</v>
      </c>
      <c r="Q45" s="20">
        <f t="shared" si="53"/>
        <v>367.41226056988836</v>
      </c>
      <c r="R45" s="59">
        <f t="shared" si="0"/>
        <v>660.74559390322167</v>
      </c>
      <c r="S45" s="59">
        <f ca="1">AVERAGE(OFFSET($R$3,0,0,'Données projet'!$E$9+1,1))-AVERAGE(OFFSET($H$3,0,0,'Données projet'!$E$9+1,1))</f>
        <v>381.72225529388083</v>
      </c>
      <c r="T45" s="59">
        <f t="shared" si="34"/>
        <v>360.05900046417361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19.321040628318318</v>
      </c>
      <c r="AA45" s="21">
        <f>EXP(-LN(2)/25)*AA44+(1-EXP(-LN(2)/25))/(LN(2)/25)*Calculateur!V45*Calculateur!X45*VLOOKUP('Données projet'!$B$9,Paramètres!$A$1:$I$89,3,0)*0.475*44/12</f>
        <v>13.312732908557798</v>
      </c>
      <c r="AB45" s="21">
        <f>EXP(-LN(2)/2)*AB44+(1-EXP(-LN(2)/2))/(LN(2)/2)*V45*Y45*VLOOKUP('Données projet'!$B$9,Paramètres!$A$1:$I$89,3,0)*0.475*44/12</f>
        <v>2.467512656510136E-2</v>
      </c>
      <c r="AC45" s="22">
        <f t="shared" si="3"/>
        <v>32.65844866344122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13.8</v>
      </c>
      <c r="AI45" s="13">
        <f>IF('Données projet'!$A$62&gt;35,AI44+AH45-AQ44,IF(A45&lt;'Données projet'!$A$62,$AF$205^A45,IF(A45='Données projet'!$A$62,'Données projet'!$B$62,AI44+AH45-AQ44)))</f>
        <v>199.60000000000011</v>
      </c>
      <c r="AJ45" s="13">
        <f>AI45*VLOOKUP('Données projet'!$B$10,Paramètres!$A$1:$I$89,3,0)*VLOOKUP('Données projet'!$B$10,Paramètres!$A$1:$I$89,5,0)</f>
        <v>146.34672000000006</v>
      </c>
      <c r="AK45" s="13">
        <f t="shared" si="35"/>
        <v>37.747177010522961</v>
      </c>
      <c r="AL45" s="20">
        <f t="shared" si="4"/>
        <v>320.63020395999428</v>
      </c>
      <c r="AM45" s="59">
        <f t="shared" si="5"/>
        <v>613.96353729332759</v>
      </c>
      <c r="AN45" s="59">
        <f ca="1">AVERAGE(OFFSET($AM$3,0,0,'Données projet'!$E$10+1,1))-AVERAGE(OFFSET($H$3,0,0,'Données projet'!$E$10+1,1))</f>
        <v>464.3681853739115</v>
      </c>
      <c r="AO45" s="59">
        <f t="shared" si="36"/>
        <v>272.97841038165217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143.52624</v>
      </c>
      <c r="BF45" s="13">
        <f t="shared" si="37"/>
        <v>37.103644337236275</v>
      </c>
      <c r="BG45" s="20">
        <f t="shared" si="7"/>
        <v>314.59704855401981</v>
      </c>
      <c r="BH45" s="59">
        <f t="shared" si="8"/>
        <v>607.93038188735318</v>
      </c>
      <c r="BI45" s="59">
        <f ca="1">AVERAGE(OFFSET($BH$3,0,0,'Données projet'!$E$11+1,1))-AVERAGE(OFFSET($H$3,0,0,'Données projet'!$E$11+1,1))</f>
        <v>299.10536994156814</v>
      </c>
      <c r="BJ45" s="59">
        <f t="shared" si="38"/>
        <v>292.57799203101769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1.2545098388669962</v>
      </c>
      <c r="BQ45" s="21">
        <f>EXP(-LN(2)/25)*BQ44+(1-EXP(-LN(2)/25))/(LN(2)/25)*Calculateur!BL45*Calculateur!BN45*VLOOKUP('Données projet'!$B$11,Paramètres!$A$1:$I$89,3,0)*0.475*44/12</f>
        <v>8.1318618948375025</v>
      </c>
      <c r="BR45" s="21">
        <f>EXP(-LN(2)/2)*BR44+(1-EXP(-LN(2)/2))/(LN(2)/2)*BL45*BO45*VLOOKUP('Données projet'!$B$11,Paramètres!$A$1:$I$89,3,0)*0.475*44/12</f>
        <v>3.8959394552256028</v>
      </c>
      <c r="BS45" s="22">
        <f t="shared" si="9"/>
        <v>13.282311188930102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299.10536994156814</v>
      </c>
      <c r="CE45" s="59">
        <f t="shared" si="40"/>
        <v>292.57799203101769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1.2545098388669962</v>
      </c>
      <c r="CL45" s="21">
        <f>EXP(-LN(2)/25)*CL44+(1-EXP(-LN(2)/25))/(LN(2)/25)*Calculateur!CG45*Calculateur!CI45*VLOOKUP('Données projet'!$B$12,Paramètres!$A$1:$I$89,3,0)*0.475*44/12</f>
        <v>8.1318618948375025</v>
      </c>
      <c r="CM45" s="21">
        <f>EXP(-LN(2)/2)*CM44+(1-EXP(-LN(2)/2))/(LN(2)/2)*CG45*CJ45*VLOOKUP('Données projet'!$B$12,Paramètres!$A$1:$I$89,3,0)*0.475*44/12</f>
        <v>3.8959394552256028</v>
      </c>
      <c r="CN45" s="22">
        <f t="shared" si="12"/>
        <v>13.282311188930102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9.875</v>
      </c>
      <c r="CT45" s="12">
        <f>IF('Données projet'!$A$140&gt;35,CT44+CS45-DB44,IF(A45&lt;'Données projet'!$A$140,$CQ$205^A45,IF(A45='Données projet'!$A$140,'Données projet'!$B$140,CT44+CS45-DB44)))</f>
        <v>168.25</v>
      </c>
      <c r="CU45" s="17">
        <f>CT45*VLOOKUP('Données projet'!$B$13,Paramètres!$A$1:$I$89,3,0)*VLOOKUP('Données projet'!$B$13,Paramètres!$A$1:$I$89,5,0)</f>
        <v>152.23259999999999</v>
      </c>
      <c r="CV45" s="13">
        <f t="shared" si="41"/>
        <v>39.085514892085854</v>
      </c>
      <c r="CW45" s="20">
        <f t="shared" si="13"/>
        <v>333.21238343704948</v>
      </c>
      <c r="CX45" s="59">
        <f t="shared" si="14"/>
        <v>626.5457167703828</v>
      </c>
      <c r="CY45" s="59">
        <f ca="1">AVERAGE(OFFSET($CX$3,0,0,'Données projet'!$E$13+1,1))-AVERAGE(OFFSET($H$3,0,0,'Données projet'!$E$13+1,1))</f>
        <v>528.15559695545812</v>
      </c>
      <c r="CZ45" s="59">
        <f t="shared" si="42"/>
        <v>276.26988364830532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9.875</v>
      </c>
      <c r="DO45" s="12">
        <f>IF('Données projet'!$A$166&gt;35,DO44+DN45-DW44,IF(A45&lt;'Données projet'!$A$166,$DL$205^A45,IF(A45='Données projet'!$A$166,'Données projet'!$B$166,DO44+DN45-DW44)))</f>
        <v>168.25</v>
      </c>
      <c r="DP45" s="17">
        <f>DO45*VLOOKUP('Données projet'!$B$14,Paramètres!$A$1:$I$89,3,0)*VLOOKUP('Données projet'!$B$14,Paramètres!$A$1:$I$89,5,0)</f>
        <v>170.60550000000001</v>
      </c>
      <c r="DQ45" s="13">
        <f t="shared" si="43"/>
        <v>43.225607368533112</v>
      </c>
      <c r="DR45" s="20">
        <f t="shared" si="16"/>
        <v>372.42251200019518</v>
      </c>
      <c r="DS45" s="59">
        <f t="shared" si="17"/>
        <v>665.75584533352844</v>
      </c>
      <c r="DT45" s="59">
        <f ca="1">AVERAGE(OFFSET($DS$3,0,0,'Données projet'!$E$14+1,1))-AVERAGE(OFFSET($H$3,0,0,'Données projet'!$E$14+1,1))</f>
        <v>586.50020405958992</v>
      </c>
      <c r="DU45" s="59">
        <f t="shared" si="44"/>
        <v>304.44184537595294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8.1999999999999993</v>
      </c>
      <c r="EJ45" s="12">
        <f>IF('Données projet'!$A$192&gt;35,EJ44+EI45-ER44,IF(A45&lt;'Données projet'!$A$192,$EG$205^A45,IF(A45='Données projet'!$A$192,'Données projet'!$B$192,EJ44+EI45-ER44)))</f>
        <v>180.39999999999998</v>
      </c>
      <c r="EK45" s="17">
        <f>EJ45*VLOOKUP('Données projet'!$B$15,Paramètres!$A$1:$I$89,3,0)*VLOOKUP('Données projet'!$B$15,Paramètres!$A$1:$I$89,5,0)</f>
        <v>174.48287999999999</v>
      </c>
      <c r="EL45" s="13">
        <f t="shared" si="45"/>
        <v>44.092513602166207</v>
      </c>
      <c r="EM45" s="20">
        <f t="shared" si="19"/>
        <v>380.68547719043937</v>
      </c>
      <c r="EN45" s="59">
        <f t="shared" si="20"/>
        <v>674.01881052377269</v>
      </c>
      <c r="EO45" s="59">
        <f ca="1">AVERAGE(OFFSET($EN$3,0,0,'Données projet'!$E$15+1,1))-AVERAGE(OFFSET($H$3,0,0,'Données projet'!$E$15+1,1))</f>
        <v>355.72173590705142</v>
      </c>
      <c r="EP45" s="59">
        <f t="shared" si="46"/>
        <v>346.30980704469363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1.237337488131488</v>
      </c>
      <c r="EW45" s="21">
        <f>EXP(-LN(2)/25)*EW44+(1-EXP(-LN(2)/25))/(LN(2)/25)*Calculateur!ER45*Calculateur!ET45*VLOOKUP('Données projet'!$B$15,Paramètres!$A$1:$I$89,3,0)*0.475*44/12</f>
        <v>8.0205489499211193</v>
      </c>
      <c r="EX45" s="21">
        <f>EXP(-LN(2)/2)*EX44+(1-EXP(-LN(2)/2))/(LN(2)/2)*ER45*EU45*VLOOKUP('Données projet'!$B$15,Paramètres!$A$1:$I$89,3,0)*0.475*44/12</f>
        <v>4.7362401220389669</v>
      </c>
      <c r="EY45" s="22">
        <f t="shared" si="21"/>
        <v>13.994126560091573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180.39999999999998</v>
      </c>
      <c r="FF45" s="17">
        <f>FE45*VLOOKUP('Données projet'!$B$16,Paramètres!$A$1:$I$89,3,0)*VLOOKUP('Données projet'!$B$16,Paramètres!$A$1:$I$89,5,0)</f>
        <v>146.34047999999999</v>
      </c>
      <c r="FG45" s="13">
        <f t="shared" si="47"/>
        <v>37.745754868861937</v>
      </c>
      <c r="FH45" s="20">
        <f t="shared" si="22"/>
        <v>320.6168590632679</v>
      </c>
      <c r="FI45" s="59">
        <f t="shared" si="23"/>
        <v>613.95019239660121</v>
      </c>
      <c r="FJ45" s="59">
        <f ca="1">AVERAGE(OFFSET($FI$3,0,0,'Données projet'!$E$16+1,1))-AVERAGE(OFFSET($H$3,0,0,'Données projet'!$E$16+1,1))</f>
        <v>304.26232113495314</v>
      </c>
      <c r="FK45" s="59">
        <f t="shared" si="48"/>
        <v>297.47246687305056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1.2791080710016434</v>
      </c>
      <c r="FR45" s="21">
        <f>EXP(-LN(2)/25)*FR44+(1-EXP(-LN(2)/25))/(LN(2)/25)*Calculateur!FM45*Calculateur!FO45*VLOOKUP('Données projet'!$B$16,Paramètres!$A$1:$I$89,3,0)*0.475*44/12</f>
        <v>8.2913101672852978</v>
      </c>
      <c r="FS45" s="21">
        <f>EXP(-LN(2)/2)*FS44+(1-EXP(-LN(2)/2))/(LN(2)/2)*FM45*FP45*VLOOKUP('Données projet'!$B$16,Paramètres!$A$1:$I$89,3,0)*0.475*44/12</f>
        <v>3.9723304249359082</v>
      </c>
      <c r="FT45" s="22">
        <f t="shared" si="24"/>
        <v>13.542748663222849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8.8000000000000007</v>
      </c>
      <c r="N46" s="13">
        <f>IF('Données projet'!$A$36&gt;35,N45+M46-V45,IF(A46&lt;'Données projet'!$A$36,$K$205^A46,IF(A46='Données projet'!$A$36,'Données projet'!$B$36,N45+M46-V45)))</f>
        <v>201.40000000000012</v>
      </c>
      <c r="O46" s="13">
        <f>N46*VLOOKUP('Données projet'!$B$9,Paramètres!$A$1:$I$89,3,0)*VLOOKUP('Données projet'!$B$9,Paramètres!$A$1:$I$89,5,0)</f>
        <v>175.94304000000014</v>
      </c>
      <c r="P46" s="13">
        <f t="shared" si="33"/>
        <v>44.418393276556458</v>
      </c>
      <c r="Q46" s="20">
        <f t="shared" si="53"/>
        <v>383.79616295666938</v>
      </c>
      <c r="R46" s="59">
        <f t="shared" si="0"/>
        <v>677.12949629000263</v>
      </c>
      <c r="S46" s="59">
        <f ca="1">AVERAGE(OFFSET($R$3,0,0,'Données projet'!$E$9+1,1))-AVERAGE(OFFSET($H$3,0,0,'Données projet'!$E$9+1,1))</f>
        <v>381.72225529388083</v>
      </c>
      <c r="T46" s="59">
        <f t="shared" si="34"/>
        <v>360.05900046417361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18.942166806268141</v>
      </c>
      <c r="AA46" s="21">
        <f>EXP(-LN(2)/25)*AA45+(1-EXP(-LN(2)/25))/(LN(2)/25)*Calculateur!V46*Calculateur!X46*VLOOKUP('Données projet'!$B$9,Paramètres!$A$1:$I$89,3,0)*0.475*44/12</f>
        <v>12.948695527087088</v>
      </c>
      <c r="AB46" s="21">
        <f>EXP(-LN(2)/2)*AB45+(1-EXP(-LN(2)/2))/(LN(2)/2)*V46*Y46*VLOOKUP('Données projet'!$B$9,Paramètres!$A$1:$I$89,3,0)*0.475*44/12</f>
        <v>1.7447949320819493E-2</v>
      </c>
      <c r="AC46" s="22">
        <f t="shared" si="3"/>
        <v>31.908310282676048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13.8</v>
      </c>
      <c r="AI46" s="13">
        <f>IF('Données projet'!$A$62&gt;35,AI45+AH46-AQ45,IF(A46&lt;'Données projet'!$A$62,$AF$205^A46,IF(A46='Données projet'!$A$62,'Données projet'!$B$62,AI45+AH46-AQ45)))</f>
        <v>213.40000000000012</v>
      </c>
      <c r="AJ46" s="13">
        <f>AI46*VLOOKUP('Données projet'!$B$10,Paramètres!$A$1:$I$89,3,0)*VLOOKUP('Données projet'!$B$10,Paramètres!$A$1:$I$89,5,0)</f>
        <v>156.46488000000008</v>
      </c>
      <c r="AK46" s="13">
        <f t="shared" si="35"/>
        <v>40.044125372544926</v>
      </c>
      <c r="AL46" s="20">
        <f t="shared" si="4"/>
        <v>342.25318435718253</v>
      </c>
      <c r="AM46" s="59">
        <f t="shared" si="5"/>
        <v>635.58651769051585</v>
      </c>
      <c r="AN46" s="59">
        <f ca="1">AVERAGE(OFFSET($AM$3,0,0,'Données projet'!$E$10+1,1))-AVERAGE(OFFSET($H$3,0,0,'Données projet'!$E$10+1,1))</f>
        <v>464.3681853739115</v>
      </c>
      <c r="AO46" s="59">
        <f t="shared" si="36"/>
        <v>272.97841038165217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150.05015999999998</v>
      </c>
      <c r="BF46" s="13">
        <f t="shared" si="37"/>
        <v>38.589984439024569</v>
      </c>
      <c r="BG46" s="20">
        <f t="shared" si="7"/>
        <v>328.54825156463437</v>
      </c>
      <c r="BH46" s="59">
        <f t="shared" si="8"/>
        <v>621.88158489796774</v>
      </c>
      <c r="BI46" s="59">
        <f ca="1">AVERAGE(OFFSET($BH$3,0,0,'Données projet'!$E$11+1,1))-AVERAGE(OFFSET($H$3,0,0,'Données projet'!$E$11+1,1))</f>
        <v>299.10536994156814</v>
      </c>
      <c r="BJ46" s="59">
        <f t="shared" si="38"/>
        <v>292.57799203101769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1.2299096661022613</v>
      </c>
      <c r="BQ46" s="21">
        <f>EXP(-LN(2)/25)*BQ45+(1-EXP(-LN(2)/25))/(LN(2)/25)*Calculateur!BL46*Calculateur!BN46*VLOOKUP('Données projet'!$B$11,Paramètres!$A$1:$I$89,3,0)*0.475*44/12</f>
        <v>7.9094957036871394</v>
      </c>
      <c r="BR46" s="21">
        <f>EXP(-LN(2)/2)*BR45+(1-EXP(-LN(2)/2))/(LN(2)/2)*BL46*BO46*VLOOKUP('Données projet'!$B$11,Paramètres!$A$1:$I$89,3,0)*0.475*44/12</f>
        <v>2.7548452078822478</v>
      </c>
      <c r="BS46" s="22">
        <f t="shared" si="9"/>
        <v>11.894250577671649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299.10536994156814</v>
      </c>
      <c r="CE46" s="59">
        <f t="shared" si="40"/>
        <v>292.57799203101769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1.2299096661022613</v>
      </c>
      <c r="CL46" s="21">
        <f>EXP(-LN(2)/25)*CL45+(1-EXP(-LN(2)/25))/(LN(2)/25)*Calculateur!CG46*Calculateur!CI46*VLOOKUP('Données projet'!$B$12,Paramètres!$A$1:$I$89,3,0)*0.475*44/12</f>
        <v>7.9094957036871394</v>
      </c>
      <c r="CM46" s="21">
        <f>EXP(-LN(2)/2)*CM45+(1-EXP(-LN(2)/2))/(LN(2)/2)*CG46*CJ46*VLOOKUP('Données projet'!$B$12,Paramètres!$A$1:$I$89,3,0)*0.475*44/12</f>
        <v>2.7548452078822478</v>
      </c>
      <c r="CN46" s="22">
        <f t="shared" si="12"/>
        <v>11.894250577671649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9.875</v>
      </c>
      <c r="CT46" s="12">
        <f>IF('Données projet'!$A$140&gt;35,CT45+CS46-DB45,IF(A46&lt;'Données projet'!$A$140,$CQ$205^A46,IF(A46='Données projet'!$A$140,'Données projet'!$B$140,CT45+CS46-DB45)))</f>
        <v>178.125</v>
      </c>
      <c r="CU46" s="17">
        <f>CT46*VLOOKUP('Données projet'!$B$13,Paramètres!$A$1:$I$89,3,0)*VLOOKUP('Données projet'!$B$13,Paramètres!$A$1:$I$89,5,0)</f>
        <v>161.16749999999999</v>
      </c>
      <c r="CV46" s="13">
        <f t="shared" si="41"/>
        <v>41.105736761364199</v>
      </c>
      <c r="CW46" s="20">
        <f t="shared" si="13"/>
        <v>352.29255402604258</v>
      </c>
      <c r="CX46" s="59">
        <f t="shared" si="14"/>
        <v>645.62588735937584</v>
      </c>
      <c r="CY46" s="59">
        <f ca="1">AVERAGE(OFFSET($CX$3,0,0,'Données projet'!$E$13+1,1))-AVERAGE(OFFSET($H$3,0,0,'Données projet'!$E$13+1,1))</f>
        <v>528.15559695545812</v>
      </c>
      <c r="CZ46" s="59">
        <f t="shared" si="42"/>
        <v>276.26988364830532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9.875</v>
      </c>
      <c r="DO46" s="12">
        <f>IF('Données projet'!$A$166&gt;35,DO45+DN46-DW45,IF(A46&lt;'Données projet'!$A$166,$DL$205^A46,IF(A46='Données projet'!$A$166,'Données projet'!$B$166,DO45+DN46-DW45)))</f>
        <v>178.125</v>
      </c>
      <c r="DP46" s="17">
        <f>DO46*VLOOKUP('Données projet'!$B$14,Paramètres!$A$1:$I$89,3,0)*VLOOKUP('Données projet'!$B$14,Paramètres!$A$1:$I$89,5,0)</f>
        <v>180.61875000000001</v>
      </c>
      <c r="DQ46" s="13">
        <f t="shared" si="43"/>
        <v>45.459819136239204</v>
      </c>
      <c r="DR46" s="20">
        <f t="shared" si="16"/>
        <v>393.75350791228328</v>
      </c>
      <c r="DS46" s="59">
        <f t="shared" si="17"/>
        <v>687.0868412456166</v>
      </c>
      <c r="DT46" s="59">
        <f ca="1">AVERAGE(OFFSET($DS$3,0,0,'Données projet'!$E$14+1,1))-AVERAGE(OFFSET($H$3,0,0,'Données projet'!$E$14+1,1))</f>
        <v>586.50020405958992</v>
      </c>
      <c r="DU46" s="59">
        <f t="shared" si="44"/>
        <v>304.44184537595294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8.1999999999999993</v>
      </c>
      <c r="EJ46" s="12">
        <f>IF('Données projet'!$A$192&gt;35,EJ45+EI46-ER45,IF(A46&lt;'Données projet'!$A$192,$EG$205^A46,IF(A46='Données projet'!$A$192,'Données projet'!$B$192,EJ45+EI46-ER45)))</f>
        <v>188.59999999999997</v>
      </c>
      <c r="EK46" s="17">
        <f>EJ46*VLOOKUP('Données projet'!$B$15,Paramètres!$A$1:$I$89,3,0)*VLOOKUP('Données projet'!$B$15,Paramètres!$A$1:$I$89,5,0)</f>
        <v>182.41391999999996</v>
      </c>
      <c r="EL46" s="13">
        <f t="shared" si="45"/>
        <v>45.85882179981607</v>
      </c>
      <c r="EM46" s="20">
        <f t="shared" si="19"/>
        <v>397.57502530134622</v>
      </c>
      <c r="EN46" s="59">
        <f t="shared" si="20"/>
        <v>690.90835863467953</v>
      </c>
      <c r="EO46" s="59">
        <f ca="1">AVERAGE(OFFSET($EN$3,0,0,'Données projet'!$E$15+1,1))-AVERAGE(OFFSET($H$3,0,0,'Données projet'!$E$15+1,1))</f>
        <v>355.72173590705142</v>
      </c>
      <c r="EP46" s="59">
        <f t="shared" si="46"/>
        <v>346.30980704469363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1.2130740546905767</v>
      </c>
      <c r="EW46" s="21">
        <f>EXP(-LN(2)/25)*EW45+(1-EXP(-LN(2)/25))/(LN(2)/25)*Calculateur!ER46*Calculateur!ET46*VLOOKUP('Données projet'!$B$15,Paramètres!$A$1:$I$89,3,0)*0.475*44/12</f>
        <v>7.8012266171031879</v>
      </c>
      <c r="EX46" s="21">
        <f>EXP(-LN(2)/2)*EX45+(1-EXP(-LN(2)/2))/(LN(2)/2)*ER46*EU46*VLOOKUP('Données projet'!$B$15,Paramètres!$A$1:$I$89,3,0)*0.475*44/12</f>
        <v>3.349027507621555</v>
      </c>
      <c r="EY46" s="22">
        <f t="shared" si="21"/>
        <v>12.363328179415319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188.59999999999997</v>
      </c>
      <c r="FF46" s="17">
        <f>FE46*VLOOKUP('Données projet'!$B$16,Paramètres!$A$1:$I$89,3,0)*VLOOKUP('Données projet'!$B$16,Paramètres!$A$1:$I$89,5,0)</f>
        <v>152.99231999999998</v>
      </c>
      <c r="FG46" s="13">
        <f t="shared" si="47"/>
        <v>39.257817366656973</v>
      </c>
      <c r="FH46" s="20">
        <f t="shared" si="22"/>
        <v>334.83565591359422</v>
      </c>
      <c r="FI46" s="59">
        <f t="shared" si="23"/>
        <v>628.16898924692759</v>
      </c>
      <c r="FJ46" s="59">
        <f ca="1">AVERAGE(OFFSET($FI$3,0,0,'Données projet'!$E$16+1,1))-AVERAGE(OFFSET($H$3,0,0,'Données projet'!$E$16+1,1))</f>
        <v>304.26232113495314</v>
      </c>
      <c r="FK46" s="59">
        <f t="shared" si="48"/>
        <v>297.47246687305056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1.2540255419081883</v>
      </c>
      <c r="FR46" s="21">
        <f>EXP(-LN(2)/25)*FR45+(1-EXP(-LN(2)/25))/(LN(2)/25)*Calculateur!FM46*Calculateur!FO46*VLOOKUP('Données projet'!$B$16,Paramètres!$A$1:$I$89,3,0)*0.475*44/12</f>
        <v>8.0645838547398299</v>
      </c>
      <c r="FS46" s="21">
        <f>EXP(-LN(2)/2)*FS45+(1-EXP(-LN(2)/2))/(LN(2)/2)*FM46*FP46*VLOOKUP('Données projet'!$B$16,Paramètres!$A$1:$I$89,3,0)*0.475*44/12</f>
        <v>2.8088617805858207</v>
      </c>
      <c r="FT46" s="22">
        <f t="shared" si="24"/>
        <v>12.127471177233838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8.8000000000000007</v>
      </c>
      <c r="N47" s="13">
        <f>IF('Données projet'!$A$36&gt;35,N46+M47-V46,IF(A47&lt;'Données projet'!$A$36,$K$205^A47,IF(A47='Données projet'!$A$36,'Données projet'!$B$36,N46+M47-V46)))</f>
        <v>210.20000000000013</v>
      </c>
      <c r="O47" s="13">
        <f>N47*VLOOKUP('Données projet'!$B$9,Paramètres!$A$1:$I$89,3,0)*VLOOKUP('Données projet'!$B$9,Paramètres!$A$1:$I$89,5,0)</f>
        <v>183.63072000000014</v>
      </c>
      <c r="P47" s="13">
        <f t="shared" si="33"/>
        <v>46.129013251634483</v>
      </c>
      <c r="Q47" s="20">
        <f t="shared" si="53"/>
        <v>400.16486874659699</v>
      </c>
      <c r="R47" s="59">
        <f t="shared" si="0"/>
        <v>693.49820207993025</v>
      </c>
      <c r="S47" s="59">
        <f ca="1">AVERAGE(OFFSET($R$3,0,0,'Données projet'!$E$9+1,1))-AVERAGE(OFFSET($H$3,0,0,'Données projet'!$E$9+1,1))</f>
        <v>381.72225529388083</v>
      </c>
      <c r="T47" s="59">
        <f t="shared" si="34"/>
        <v>360.05900046417361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18.570722468778154</v>
      </c>
      <c r="AA47" s="21">
        <f>EXP(-LN(2)/25)*AA46+(1-EXP(-LN(2)/25))/(LN(2)/25)*Calculateur!V47*Calculateur!X47*VLOOKUP('Données projet'!$B$9,Paramètres!$A$1:$I$89,3,0)*0.475*44/12</f>
        <v>12.594612766956589</v>
      </c>
      <c r="AB47" s="21">
        <f>EXP(-LN(2)/2)*AB46+(1-EXP(-LN(2)/2))/(LN(2)/2)*V47*Y47*VLOOKUP('Données projet'!$B$9,Paramètres!$A$1:$I$89,3,0)*0.475*44/12</f>
        <v>1.233756328255068E-2</v>
      </c>
      <c r="AC47" s="22">
        <f t="shared" si="3"/>
        <v>31.177672799017294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13.8</v>
      </c>
      <c r="AI47" s="13">
        <f>IF('Données projet'!$A$62&gt;35,AI46+AH47-AQ46,IF(A47&lt;'Données projet'!$A$62,$AF$205^A47,IF(A47='Données projet'!$A$62,'Données projet'!$B$62,AI46+AH47-AQ46)))</f>
        <v>227.20000000000013</v>
      </c>
      <c r="AJ47" s="13">
        <f>AI47*VLOOKUP('Données projet'!$B$10,Paramètres!$A$1:$I$89,3,0)*VLOOKUP('Données projet'!$B$10,Paramètres!$A$1:$I$89,5,0)</f>
        <v>166.58304000000007</v>
      </c>
      <c r="AK47" s="13">
        <f t="shared" si="35"/>
        <v>42.323836208749285</v>
      </c>
      <c r="AL47" s="20">
        <f t="shared" si="4"/>
        <v>363.84614273023845</v>
      </c>
      <c r="AM47" s="59">
        <f t="shared" si="5"/>
        <v>657.17947606357177</v>
      </c>
      <c r="AN47" s="59">
        <f ca="1">AVERAGE(OFFSET($AM$3,0,0,'Données projet'!$E$10+1,1))-AVERAGE(OFFSET($H$3,0,0,'Données projet'!$E$10+1,1))</f>
        <v>464.3681853739115</v>
      </c>
      <c r="AO47" s="59">
        <f t="shared" si="36"/>
        <v>272.97841038165217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156.57407999999998</v>
      </c>
      <c r="BF47" s="13">
        <f t="shared" si="37"/>
        <v>40.068818872547467</v>
      </c>
      <c r="BG47" s="20">
        <f t="shared" si="7"/>
        <v>342.48638220302013</v>
      </c>
      <c r="BH47" s="59">
        <f t="shared" si="8"/>
        <v>635.81971553635344</v>
      </c>
      <c r="BI47" s="59">
        <f ca="1">AVERAGE(OFFSET($BH$3,0,0,'Données projet'!$E$11+1,1))-AVERAGE(OFFSET($H$3,0,0,'Données projet'!$E$11+1,1))</f>
        <v>299.10536994156814</v>
      </c>
      <c r="BJ47" s="59">
        <f t="shared" si="38"/>
        <v>292.57799203101769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1.2057918877208191</v>
      </c>
      <c r="BQ47" s="21">
        <f>EXP(-LN(2)/25)*BQ46+(1-EXP(-LN(2)/25))/(LN(2)/25)*Calculateur!BL47*Calculateur!BN47*VLOOKUP('Données projet'!$B$11,Paramètres!$A$1:$I$89,3,0)*0.475*44/12</f>
        <v>7.6932101277275127</v>
      </c>
      <c r="BR47" s="21">
        <f>EXP(-LN(2)/2)*BR46+(1-EXP(-LN(2)/2))/(LN(2)/2)*BL47*BO47*VLOOKUP('Données projet'!$B$11,Paramètres!$A$1:$I$89,3,0)*0.475*44/12</f>
        <v>1.9479697276128018</v>
      </c>
      <c r="BS47" s="22">
        <f t="shared" si="9"/>
        <v>10.846971743061134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299.10536994156814</v>
      </c>
      <c r="CE47" s="59">
        <f t="shared" si="40"/>
        <v>292.57799203101769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1.2057918877208191</v>
      </c>
      <c r="CL47" s="21">
        <f>EXP(-LN(2)/25)*CL46+(1-EXP(-LN(2)/25))/(LN(2)/25)*Calculateur!CG47*Calculateur!CI47*VLOOKUP('Données projet'!$B$12,Paramètres!$A$1:$I$89,3,0)*0.475*44/12</f>
        <v>7.6932101277275127</v>
      </c>
      <c r="CM47" s="21">
        <f>EXP(-LN(2)/2)*CM46+(1-EXP(-LN(2)/2))/(LN(2)/2)*CG47*CJ47*VLOOKUP('Données projet'!$B$12,Paramètres!$A$1:$I$89,3,0)*0.475*44/12</f>
        <v>1.9479697276128018</v>
      </c>
      <c r="CN47" s="22">
        <f t="shared" si="12"/>
        <v>10.846971743061134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188</v>
      </c>
      <c r="CR47" s="12">
        <f>VLOOKUP(A47,'Données projet'!$A$139:$I$159,9,0)</f>
        <v>9.875</v>
      </c>
      <c r="CS47" s="12">
        <f t="array" ref="CS47">INDEX(CR:CR,MIN(IF(ISNUMBER(CR47:CR243),ROW(CR47:CR243),"")))</f>
        <v>9.875</v>
      </c>
      <c r="CT47" s="12">
        <f>IF('Données projet'!$A$140&gt;35,CT46+CS47-DB46,IF(A47&lt;'Données projet'!$A$140,$CQ$205^A47,IF(A47='Données projet'!$A$140,'Données projet'!$B$140,CT46+CS47-DB46)))</f>
        <v>188</v>
      </c>
      <c r="CU47" s="17">
        <f>CT47*VLOOKUP('Données projet'!$B$13,Paramètres!$A$1:$I$89,3,0)*VLOOKUP('Données projet'!$B$13,Paramètres!$A$1:$I$89,5,0)</f>
        <v>170.10239999999999</v>
      </c>
      <c r="CV47" s="13">
        <f t="shared" si="41"/>
        <v>43.112956975087329</v>
      </c>
      <c r="CW47" s="20">
        <f t="shared" si="13"/>
        <v>371.35008006494377</v>
      </c>
      <c r="CX47" s="59">
        <f t="shared" si="14"/>
        <v>664.68341339827703</v>
      </c>
      <c r="CY47" s="59">
        <f ca="1">AVERAGE(OFFSET($CX$3,0,0,'Données projet'!$E$13+1,1))-AVERAGE(OFFSET($H$3,0,0,'Données projet'!$E$13+1,1))</f>
        <v>528.15559695545812</v>
      </c>
      <c r="CZ47" s="59">
        <f t="shared" si="42"/>
        <v>276.26988364830532</v>
      </c>
      <c r="DA47" s="15">
        <f>IF(ISNA(VLOOKUP(A47,'Données projet'!$A$139:$I$159,3,0)),0,VLOOKUP(A47,'Données projet'!$A$139:$I$159,3,0))</f>
        <v>2</v>
      </c>
      <c r="DB47" s="15">
        <f>IF(ISNA(VLOOKUP(A47,'Données projet'!$A$139:$I$159,4,0)),0,VLOOKUP(A47,'Données projet'!$A$139:$I$159,4,0))</f>
        <v>46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0.215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9.8533210989335007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9.8533210989335007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188</v>
      </c>
      <c r="DM47" s="12">
        <f>VLOOKUP(A47,'Données projet'!$A$165:$I$185,9,0)</f>
        <v>9.875</v>
      </c>
      <c r="DN47" s="12">
        <f t="array" ref="DN47">INDEX(DM:DM,MIN(IF(ISNUMBER(DM47:DM243),ROW(DM47:DM243),"")))</f>
        <v>9.875</v>
      </c>
      <c r="DO47" s="12">
        <f>IF('Données projet'!$A$166&gt;35,DO46+DN47-DW46,IF(A47&lt;'Données projet'!$A$166,$DL$205^A47,IF(A47='Données projet'!$A$166,'Données projet'!$B$166,DO46+DN47-DW46)))</f>
        <v>188</v>
      </c>
      <c r="DP47" s="17">
        <f>DO47*VLOOKUP('Données projet'!$B$14,Paramètres!$A$1:$I$89,3,0)*VLOOKUP('Données projet'!$B$14,Paramètres!$A$1:$I$89,5,0)</f>
        <v>190.63200000000001</v>
      </c>
      <c r="DQ47" s="13">
        <f t="shared" si="43"/>
        <v>47.679652061560311</v>
      </c>
      <c r="DR47" s="20">
        <f t="shared" si="16"/>
        <v>415.05946067388419</v>
      </c>
      <c r="DS47" s="59">
        <f t="shared" si="17"/>
        <v>708.3927940072175</v>
      </c>
      <c r="DT47" s="59">
        <f ca="1">AVERAGE(OFFSET($DS$3,0,0,'Données projet'!$E$14+1,1))-AVERAGE(OFFSET($H$3,0,0,'Données projet'!$E$14+1,1))</f>
        <v>586.50020405958992</v>
      </c>
      <c r="DU47" s="59">
        <f t="shared" si="44"/>
        <v>304.44184537595294</v>
      </c>
      <c r="DV47" s="15">
        <f>IF(ISNA(VLOOKUP(A47,'Données projet'!$A$165:$I$185,3,0)),0,VLOOKUP(A47,'Données projet'!$A$165:$I$185,3,0))</f>
        <v>2</v>
      </c>
      <c r="DW47" s="15">
        <f>IF(ISNA(VLOOKUP(A47,'Données projet'!$A$165:$I$185,4,0)),0,VLOOKUP(A47,'Données projet'!$A$165:$I$185,4,0))</f>
        <v>46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0.215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11.042515024666855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11.042515024666855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8.1999999999999993</v>
      </c>
      <c r="EJ47" s="12">
        <f>IF('Données projet'!$A$192&gt;35,EJ46+EI47-ER46,IF(A47&lt;'Données projet'!$A$192,$EG$205^A47,IF(A47='Données projet'!$A$192,'Données projet'!$B$192,EJ46+EI47-ER46)))</f>
        <v>196.79999999999995</v>
      </c>
      <c r="EK47" s="17">
        <f>EJ47*VLOOKUP('Données projet'!$B$15,Paramètres!$A$1:$I$89,3,0)*VLOOKUP('Données projet'!$B$15,Paramètres!$A$1:$I$89,5,0)</f>
        <v>190.34495999999996</v>
      </c>
      <c r="EL47" s="13">
        <f t="shared" si="45"/>
        <v>47.616210556101123</v>
      </c>
      <c r="EM47" s="20">
        <f t="shared" si="19"/>
        <v>414.44903871854268</v>
      </c>
      <c r="EN47" s="59">
        <f t="shared" si="20"/>
        <v>707.782372051876</v>
      </c>
      <c r="EO47" s="59">
        <f ca="1">AVERAGE(OFFSET($EN$3,0,0,'Données projet'!$E$15+1,1))-AVERAGE(OFFSET($H$3,0,0,'Données projet'!$E$15+1,1))</f>
        <v>355.72173590705142</v>
      </c>
      <c r="EP47" s="59">
        <f t="shared" si="46"/>
        <v>346.30980704469363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1.1892864123802087</v>
      </c>
      <c r="EW47" s="21">
        <f>EXP(-LN(2)/25)*EW46+(1-EXP(-LN(2)/25))/(LN(2)/25)*Calculateur!ER47*Calculateur!ET47*VLOOKUP('Données projet'!$B$15,Paramètres!$A$1:$I$89,3,0)*0.475*44/12</f>
        <v>7.5879016650098237</v>
      </c>
      <c r="EX47" s="21">
        <f>EXP(-LN(2)/2)*EX46+(1-EXP(-LN(2)/2))/(LN(2)/2)*ER47*EU47*VLOOKUP('Données projet'!$B$15,Paramètres!$A$1:$I$89,3,0)*0.475*44/12</f>
        <v>2.3681200610194835</v>
      </c>
      <c r="EY47" s="22">
        <f t="shared" si="21"/>
        <v>11.145308138409517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196.79999999999995</v>
      </c>
      <c r="FF47" s="17">
        <f>FE47*VLOOKUP('Données projet'!$B$16,Paramètres!$A$1:$I$89,3,0)*VLOOKUP('Données projet'!$B$16,Paramètres!$A$1:$I$89,5,0)</f>
        <v>159.64415999999997</v>
      </c>
      <c r="FG47" s="13">
        <f t="shared" si="47"/>
        <v>40.762244304130796</v>
      </c>
      <c r="FH47" s="20">
        <f t="shared" si="22"/>
        <v>349.04115416302778</v>
      </c>
      <c r="FI47" s="59">
        <f t="shared" si="23"/>
        <v>642.3744874963611</v>
      </c>
      <c r="FJ47" s="59">
        <f ca="1">AVERAGE(OFFSET($FI$3,0,0,'Données projet'!$E$16+1,1))-AVERAGE(OFFSET($H$3,0,0,'Données projet'!$E$16+1,1))</f>
        <v>304.26232113495314</v>
      </c>
      <c r="FK47" s="59">
        <f t="shared" si="48"/>
        <v>297.47246687305056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1.2294348659114236</v>
      </c>
      <c r="FR47" s="21">
        <f>EXP(-LN(2)/25)*FR46+(1-EXP(-LN(2)/25))/(LN(2)/25)*Calculateur!FM47*Calculateur!FO47*VLOOKUP('Données projet'!$B$16,Paramètres!$A$1:$I$89,3,0)*0.475*44/12</f>
        <v>7.8440573851339366</v>
      </c>
      <c r="FS47" s="21">
        <f>EXP(-LN(2)/2)*FS46+(1-EXP(-LN(2)/2))/(LN(2)/2)*FM47*FP47*VLOOKUP('Données projet'!$B$16,Paramètres!$A$1:$I$89,3,0)*0.475*44/12</f>
        <v>1.9861652124679543</v>
      </c>
      <c r="FT47" s="22">
        <f t="shared" si="24"/>
        <v>11.059657463513314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219</v>
      </c>
      <c r="L48" s="12">
        <f>VLOOKUP(A48,'Données projet'!$A$35:$I$55,9,0)</f>
        <v>8.8000000000000007</v>
      </c>
      <c r="M48" s="12">
        <f t="array" ref="M48">INDEX(L:L,MIN(IF(ISNUMBER(L48:L244),ROW(L48:L244),"")))</f>
        <v>8.8000000000000007</v>
      </c>
      <c r="N48" s="13">
        <f>IF('Données projet'!$A$36&gt;35,N47+M48-V47,IF(A48&lt;'Données projet'!$A$36,$K$205^A48,IF(A48='Données projet'!$A$36,'Données projet'!$B$36,N47+M48-V47)))</f>
        <v>219.00000000000014</v>
      </c>
      <c r="O48" s="13">
        <f>N48*VLOOKUP('Données projet'!$B$9,Paramètres!$A$1:$I$89,3,0)*VLOOKUP('Données projet'!$B$9,Paramètres!$A$1:$I$89,5,0)</f>
        <v>191.31840000000014</v>
      </c>
      <c r="P48" s="13">
        <f t="shared" si="33"/>
        <v>47.831314962098396</v>
      </c>
      <c r="Q48" s="20">
        <f t="shared" si="53"/>
        <v>416.51908689232158</v>
      </c>
      <c r="R48" s="59">
        <f t="shared" si="0"/>
        <v>709.8524202256549</v>
      </c>
      <c r="S48" s="59">
        <f ca="1">AVERAGE(OFFSET($R$3,0,0,'Données projet'!$E$9+1,1))-AVERAGE(OFFSET($H$3,0,0,'Données projet'!$E$9+1,1))</f>
        <v>381.72225529388083</v>
      </c>
      <c r="T48" s="59">
        <f t="shared" si="34"/>
        <v>360.05900046417361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30</v>
      </c>
      <c r="W48" s="16">
        <f>IF(ISNA(VLOOKUP(A48,'Données projet'!$A$35:$I$55,5,0)),0%,VLOOKUP(A48,'Données projet'!$A$35:$I$55,5,0)*VLOOKUP('Données projet'!$B$9,Paramètres!$A$1:$I$89,7,0))</f>
        <v>0.215</v>
      </c>
      <c r="X48" s="16">
        <f>IF(ISNA(VLOOKUP(A48,'Données projet'!$A$35:$I$55,6,0)),0%,VLOOKUP(A48,'Données projet'!$A$35:$I$55,6,0)*VLOOKUP('Données projet'!$B$9,Paramètres!$A$1:$I$89,7,0))</f>
        <v>0.129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24.435577985149578</v>
      </c>
      <c r="AA48" s="21">
        <f>EXP(-LN(2)/25)*AA47+(1-EXP(-LN(2)/25))/(LN(2)/25)*Calculateur!V48*Calculateur!X48*VLOOKUP('Données projet'!$B$9,Paramètres!$A$1:$I$89,3,0)*0.475*44/12</f>
        <v>15.972906446904931</v>
      </c>
      <c r="AB48" s="21">
        <f>EXP(-LN(2)/2)*AB47+(1-EXP(-LN(2)/2))/(LN(2)/2)*V48*Y48*VLOOKUP('Données projet'!$B$9,Paramètres!$A$1:$I$89,3,0)*0.475*44/12</f>
        <v>8.7239746604097466E-3</v>
      </c>
      <c r="AC48" s="22">
        <f t="shared" si="3"/>
        <v>40.41720840671492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241</v>
      </c>
      <c r="AG48" s="12">
        <f>VLOOKUP(A48,'Données projet'!$A$61:$I$81,9,0)</f>
        <v>13.8</v>
      </c>
      <c r="AH48" s="12">
        <f t="array" ref="AH48">INDEX(AG:AG,MIN(IF(ISNUMBER(AG48:AG244),ROW(AG48:AG244),"")))</f>
        <v>13.8</v>
      </c>
      <c r="AI48" s="13">
        <f>IF('Données projet'!$A$62&gt;35,AI47+AH48-AQ47,IF(A48&lt;'Données projet'!$A$62,$AF$205^A48,IF(A48='Données projet'!$A$62,'Données projet'!$B$62,AI47+AH48-AQ47)))</f>
        <v>241.00000000000014</v>
      </c>
      <c r="AJ48" s="13">
        <f>AI48*VLOOKUP('Données projet'!$B$10,Paramètres!$A$1:$I$89,3,0)*VLOOKUP('Données projet'!$B$10,Paramètres!$A$1:$I$89,5,0)</f>
        <v>176.70120000000011</v>
      </c>
      <c r="AK48" s="13">
        <f t="shared" si="35"/>
        <v>44.587475741993387</v>
      </c>
      <c r="AL48" s="20">
        <f t="shared" si="4"/>
        <v>385.41111025063861</v>
      </c>
      <c r="AM48" s="59">
        <f t="shared" si="5"/>
        <v>678.74444358397193</v>
      </c>
      <c r="AN48" s="59">
        <f ca="1">AVERAGE(OFFSET($AM$3,0,0,'Données projet'!$E$10+1,1))-AVERAGE(OFFSET($H$3,0,0,'Données projet'!$E$10+1,1))</f>
        <v>464.3681853739115</v>
      </c>
      <c r="AO48" s="59">
        <f t="shared" si="36"/>
        <v>272.97841038165217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35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163.09799999999996</v>
      </c>
      <c r="BF48" s="13">
        <f t="shared" si="37"/>
        <v>41.540496136845142</v>
      </c>
      <c r="BG48" s="20">
        <f t="shared" si="7"/>
        <v>356.4120474383385</v>
      </c>
      <c r="BH48" s="59">
        <f t="shared" si="8"/>
        <v>649.74538077167176</v>
      </c>
      <c r="BI48" s="59">
        <f ca="1">AVERAGE(OFFSET($BH$3,0,0,'Données projet'!$E$11+1,1))-AVERAGE(OFFSET($H$3,0,0,'Données projet'!$E$11+1,1))</f>
        <v>299.10536994156814</v>
      </c>
      <c r="BJ48" s="59">
        <f t="shared" si="38"/>
        <v>292.57799203101769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0.159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0.4</v>
      </c>
      <c r="BP48" s="21">
        <f>EXP(-LN(2)/35)*BP47+(1-EXP(-LN(2)/35))/(LN(2)/35)*BL48*BM48*VLOOKUP('Données projet'!$B$11,Paramètres!$A$1:$I$89,3,0)*0.475*44/12</f>
        <v>4.2586808386425856</v>
      </c>
      <c r="BQ48" s="21">
        <f>EXP(-LN(2)/25)*BQ47+(1-EXP(-LN(2)/25))/(LN(2)/25)*Calculateur!BL48*Calculateur!BN48*VLOOKUP('Données projet'!$B$11,Paramètres!$A$1:$I$89,3,0)*0.475*44/12</f>
        <v>7.4828388922164661</v>
      </c>
      <c r="BR48" s="21">
        <f>EXP(-LN(2)/2)*BR47+(1-EXP(-LN(2)/2))/(LN(2)/2)*BL48*BO48*VLOOKUP('Données projet'!$B$11,Paramètres!$A$1:$I$89,3,0)*0.475*44/12</f>
        <v>7.9833187206295371</v>
      </c>
      <c r="BS48" s="22">
        <f t="shared" si="9"/>
        <v>19.724838451488587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299.10536994156814</v>
      </c>
      <c r="CE48" s="59">
        <f t="shared" si="40"/>
        <v>292.57799203101769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0.159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0.4</v>
      </c>
      <c r="CK48" s="21">
        <f>EXP(-LN(2)/35)*CK47+(1-EXP(-LN(2)/35))/(LN(2)/35)*CG48*CH48*VLOOKUP('Données projet'!$B$12,Paramètres!$A$1:$I$89,3,0)*0.475*44/12</f>
        <v>4.2586808386425856</v>
      </c>
      <c r="CL48" s="21">
        <f>EXP(-LN(2)/25)*CL47+(1-EXP(-LN(2)/25))/(LN(2)/25)*Calculateur!CG48*Calculateur!CI48*VLOOKUP('Données projet'!$B$12,Paramètres!$A$1:$I$89,3,0)*0.475*44/12</f>
        <v>7.4828388922164661</v>
      </c>
      <c r="CM48" s="21">
        <f>EXP(-LN(2)/2)*CM47+(1-EXP(-LN(2)/2))/(LN(2)/2)*CG48*CJ48*VLOOKUP('Données projet'!$B$12,Paramètres!$A$1:$I$89,3,0)*0.475*44/12</f>
        <v>7.9833187206295371</v>
      </c>
      <c r="CN48" s="22">
        <f t="shared" si="12"/>
        <v>19.724838451488587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11.25</v>
      </c>
      <c r="CT48" s="12">
        <f>IF('Données projet'!$A$140&gt;35,CT47+CS48-DB47,IF(A48&lt;'Données projet'!$A$140,$CQ$205^A48,IF(A48='Données projet'!$A$140,'Données projet'!$B$140,CT47+CS48-DB47)))</f>
        <v>153.25</v>
      </c>
      <c r="CU48" s="17">
        <f>CT48*VLOOKUP('Données projet'!$B$13,Paramètres!$A$1:$I$89,3,0)*VLOOKUP('Données projet'!$B$13,Paramètres!$A$1:$I$89,5,0)</f>
        <v>138.66059999999999</v>
      </c>
      <c r="CV48" s="13">
        <f t="shared" si="41"/>
        <v>35.989996302499641</v>
      </c>
      <c r="CW48" s="20">
        <f t="shared" si="13"/>
        <v>304.18312189352014</v>
      </c>
      <c r="CX48" s="59">
        <f t="shared" si="14"/>
        <v>597.5164552268534</v>
      </c>
      <c r="CY48" s="59">
        <f ca="1">AVERAGE(OFFSET($CX$3,0,0,'Données projet'!$E$13+1,1))-AVERAGE(OFFSET($H$3,0,0,'Données projet'!$E$13+1,1))</f>
        <v>528.15559695545812</v>
      </c>
      <c r="CZ48" s="59">
        <f t="shared" si="42"/>
        <v>276.26988364830532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9.5838815153195274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9.5838815153195274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11.25</v>
      </c>
      <c r="DO48" s="12">
        <f>IF('Données projet'!$A$166&gt;35,DO47+DN48-DW47,IF(A48&lt;'Données projet'!$A$166,$DL$205^A48,IF(A48='Données projet'!$A$166,'Données projet'!$B$166,DO47+DN48-DW47)))</f>
        <v>153.25</v>
      </c>
      <c r="DP48" s="17">
        <f>DO48*VLOOKUP('Données projet'!$B$14,Paramètres!$A$1:$I$89,3,0)*VLOOKUP('Données projet'!$B$14,Paramètres!$A$1:$I$89,5,0)</f>
        <v>155.3955</v>
      </c>
      <c r="DQ48" s="13">
        <f t="shared" si="43"/>
        <v>39.802199194817561</v>
      </c>
      <c r="DR48" s="20">
        <f t="shared" si="16"/>
        <v>339.96932609764059</v>
      </c>
      <c r="DS48" s="59">
        <f t="shared" si="17"/>
        <v>633.3026594309739</v>
      </c>
      <c r="DT48" s="59">
        <f ca="1">AVERAGE(OFFSET($DS$3,0,0,'Données projet'!$E$14+1,1))-AVERAGE(OFFSET($H$3,0,0,'Données projet'!$E$14+1,1))</f>
        <v>586.50020405958992</v>
      </c>
      <c r="DU48" s="59">
        <f t="shared" si="44"/>
        <v>304.44184537595294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10.740556870616713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10.740556870616713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205</v>
      </c>
      <c r="EH48" s="12">
        <f>VLOOKUP(A48,'Données projet'!$A$191:$I$211,9,0)</f>
        <v>8.1999999999999993</v>
      </c>
      <c r="EI48" s="12">
        <f t="array" ref="EI48">INDEX(EH:EH,MIN(IF(ISNUMBER(EH48:EH244),ROW(EH48:EH244),"")))</f>
        <v>8.1999999999999993</v>
      </c>
      <c r="EJ48" s="12">
        <f>IF('Données projet'!$A$192&gt;35,EJ47+EI48-ER47,IF(A48&lt;'Données projet'!$A$192,$EG$205^A48,IF(A48='Données projet'!$A$192,'Données projet'!$B$192,EJ47+EI48-ER47)))</f>
        <v>204.99999999999994</v>
      </c>
      <c r="EK48" s="17">
        <f>EJ48*VLOOKUP('Données projet'!$B$15,Paramètres!$A$1:$I$89,3,0)*VLOOKUP('Données projet'!$B$15,Paramètres!$A$1:$I$89,5,0)</f>
        <v>198.27599999999995</v>
      </c>
      <c r="EL48" s="13">
        <f t="shared" si="45"/>
        <v>49.36509401359271</v>
      </c>
      <c r="EM48" s="20">
        <f t="shared" si="19"/>
        <v>431.30823874034053</v>
      </c>
      <c r="EN48" s="59">
        <f t="shared" si="20"/>
        <v>724.64157207367384</v>
      </c>
      <c r="EO48" s="59">
        <f ca="1">AVERAGE(OFFSET($EN$3,0,0,'Données projet'!$E$15+1,1))-AVERAGE(OFFSET($H$3,0,0,'Données projet'!$E$15+1,1))</f>
        <v>355.72173590705142</v>
      </c>
      <c r="EP48" s="59">
        <f t="shared" si="46"/>
        <v>346.30980704469363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0.129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0.4</v>
      </c>
      <c r="EV48" s="21">
        <f>EXP(-LN(2)/35)*EV47+(1-EXP(-LN(2)/35))/(LN(2)/35)*ER48*ES48*VLOOKUP('Données projet'!$B$15,Paramètres!$A$1:$I$89,3,0)*0.475*44/12</f>
        <v>4.200385910403674</v>
      </c>
      <c r="EW48" s="21">
        <f>EXP(-LN(2)/25)*EW47+(1-EXP(-LN(2)/25))/(LN(2)/25)*Calculateur!ER48*Calculateur!ET48*VLOOKUP('Données projet'!$B$15,Paramètres!$A$1:$I$89,3,0)*0.475*44/12</f>
        <v>7.380410094949724</v>
      </c>
      <c r="EX48" s="21">
        <f>EXP(-LN(2)/2)*EX47+(1-EXP(-LN(2)/2))/(LN(2)/2)*ER48*EU48*VLOOKUP('Données projet'!$B$15,Paramètres!$A$1:$I$89,3,0)*0.475*44/12</f>
        <v>9.7052109937064941</v>
      </c>
      <c r="EY48" s="22">
        <f t="shared" si="21"/>
        <v>21.286006999059893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205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204.99999999999994</v>
      </c>
      <c r="FF48" s="17">
        <f>FE48*VLOOKUP('Données projet'!$B$16,Paramètres!$A$1:$I$89,3,0)*VLOOKUP('Données projet'!$B$16,Paramètres!$A$1:$I$89,5,0)</f>
        <v>166.29599999999996</v>
      </c>
      <c r="FG48" s="13">
        <f t="shared" si="47"/>
        <v>42.259390211399776</v>
      </c>
      <c r="FH48" s="20">
        <f t="shared" si="22"/>
        <v>363.23397128485459</v>
      </c>
      <c r="FI48" s="59">
        <f t="shared" si="23"/>
        <v>656.5673046181879</v>
      </c>
      <c r="FJ48" s="59">
        <f ca="1">AVERAGE(OFFSET($FI$3,0,0,'Données projet'!$E$16+1,1))-AVERAGE(OFFSET($H$3,0,0,'Données projet'!$E$16+1,1))</f>
        <v>304.26232113495314</v>
      </c>
      <c r="FK48" s="59">
        <f t="shared" si="48"/>
        <v>297.47246687305056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0.159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0.4</v>
      </c>
      <c r="FQ48" s="21">
        <f>EXP(-LN(2)/35)*FQ47+(1-EXP(-LN(2)/35))/(LN(2)/35)*FM48*FN48*VLOOKUP('Données projet'!$B$16,Paramètres!$A$1:$I$89,3,0)*0.475*44/12</f>
        <v>4.3421843844983226</v>
      </c>
      <c r="FR48" s="21">
        <f>EXP(-LN(2)/25)*FR47+(1-EXP(-LN(2)/25))/(LN(2)/25)*Calculateur!FM48*Calculateur!FO48*VLOOKUP('Données projet'!$B$16,Paramètres!$A$1:$I$89,3,0)*0.475*44/12</f>
        <v>7.629561223436399</v>
      </c>
      <c r="FS48" s="21">
        <f>EXP(-LN(2)/2)*FS47+(1-EXP(-LN(2)/2))/(LN(2)/2)*FM48*FP48*VLOOKUP('Données projet'!$B$16,Paramètres!$A$1:$I$89,3,0)*0.475*44/12</f>
        <v>8.1398543818183509</v>
      </c>
      <c r="FT48" s="22">
        <f t="shared" si="24"/>
        <v>20.111599989753074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197.20000000000013</v>
      </c>
      <c r="O49" s="13">
        <f>N49*VLOOKUP('Données projet'!$B$9,Paramètres!$A$1:$I$89,3,0)*VLOOKUP('Données projet'!$B$9,Paramètres!$A$1:$I$89,5,0)</f>
        <v>172.27392000000015</v>
      </c>
      <c r="P49" s="13">
        <f t="shared" si="33"/>
        <v>43.59891151369964</v>
      </c>
      <c r="Q49" s="20">
        <f t="shared" si="53"/>
        <v>375.97851488636047</v>
      </c>
      <c r="R49" s="59">
        <f t="shared" si="0"/>
        <v>669.31184821969373</v>
      </c>
      <c r="S49" s="59">
        <f ca="1">AVERAGE(OFFSET($R$3,0,0,'Données projet'!$E$9+1,1))-AVERAGE(OFFSET($H$3,0,0,'Données projet'!$E$9+1,1))</f>
        <v>381.72225529388083</v>
      </c>
      <c r="T49" s="59">
        <f t="shared" si="34"/>
        <v>360.05900046417361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23.956411205091694</v>
      </c>
      <c r="AA49" s="21">
        <f>EXP(-LN(2)/25)*AA48+(1-EXP(-LN(2)/25))/(LN(2)/25)*Calculateur!V49*Calculateur!X49*VLOOKUP('Données projet'!$B$9,Paramètres!$A$1:$I$89,3,0)*0.475*44/12</f>
        <v>15.536126480135673</v>
      </c>
      <c r="AB49" s="21">
        <f>EXP(-LN(2)/2)*AB48+(1-EXP(-LN(2)/2))/(LN(2)/2)*V49*Y49*VLOOKUP('Données projet'!$B$9,Paramètres!$A$1:$I$89,3,0)*0.475*44/12</f>
        <v>6.16878164127534E-3</v>
      </c>
      <c r="AC49" s="22">
        <f t="shared" si="3"/>
        <v>39.498706466868647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13.6</v>
      </c>
      <c r="AI49" s="13">
        <f>IF('Données projet'!$A$62&gt;35,AI48+AH49-AQ48,IF(A49&lt;'Données projet'!$A$62,$AF$205^A49,IF(A49='Données projet'!$A$62,'Données projet'!$B$62,AI48+AH49-AQ48)))</f>
        <v>219.60000000000014</v>
      </c>
      <c r="AJ49" s="13">
        <f>AI49*VLOOKUP('Données projet'!$B$10,Paramètres!$A$1:$I$89,3,0)*VLOOKUP('Données projet'!$B$10,Paramètres!$A$1:$I$89,5,0)</f>
        <v>161.01072000000011</v>
      </c>
      <c r="AK49" s="13">
        <f t="shared" si="35"/>
        <v>41.070402507024554</v>
      </c>
      <c r="AL49" s="20">
        <f t="shared" si="4"/>
        <v>351.95795503306795</v>
      </c>
      <c r="AM49" s="59">
        <f t="shared" si="5"/>
        <v>645.2912883664012</v>
      </c>
      <c r="AN49" s="59">
        <f ca="1">AVERAGE(OFFSET($AM$3,0,0,'Données projet'!$E$10+1,1))-AVERAGE(OFFSET($H$3,0,0,'Données projet'!$E$10+1,1))</f>
        <v>464.3681853739115</v>
      </c>
      <c r="AO49" s="59">
        <f t="shared" si="36"/>
        <v>272.97841038165217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151.32311999999996</v>
      </c>
      <c r="BF49" s="13">
        <f t="shared" si="37"/>
        <v>38.879115530839606</v>
      </c>
      <c r="BG49" s="20">
        <f t="shared" si="7"/>
        <v>331.26889354954557</v>
      </c>
      <c r="BH49" s="59">
        <f t="shared" si="8"/>
        <v>624.60222688287888</v>
      </c>
      <c r="BI49" s="59">
        <f ca="1">AVERAGE(OFFSET($BH$3,0,0,'Données projet'!$E$11+1,1))-AVERAGE(OFFSET($H$3,0,0,'Données projet'!$E$11+1,1))</f>
        <v>299.10536994156814</v>
      </c>
      <c r="BJ49" s="59">
        <f t="shared" si="38"/>
        <v>292.57799203101769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4.1751707049356304</v>
      </c>
      <c r="BQ49" s="21">
        <f>EXP(-LN(2)/25)*BQ48+(1-EXP(-LN(2)/25))/(LN(2)/25)*Calculateur!BL49*Calculateur!BN49*VLOOKUP('Données projet'!$B$11,Paramètres!$A$1:$I$89,3,0)*0.475*44/12</f>
        <v>7.2782202692034117</v>
      </c>
      <c r="BR49" s="21">
        <f>EXP(-LN(2)/2)*BR48+(1-EXP(-LN(2)/2))/(LN(2)/2)*BL49*BO49*VLOOKUP('Données projet'!$B$11,Paramètres!$A$1:$I$89,3,0)*0.475*44/12</f>
        <v>5.6450588037306586</v>
      </c>
      <c r="BS49" s="22">
        <f t="shared" si="9"/>
        <v>17.0984497778697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299.10536994156814</v>
      </c>
      <c r="CE49" s="59">
        <f t="shared" si="40"/>
        <v>292.57799203101769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4.1751707049356304</v>
      </c>
      <c r="CL49" s="21">
        <f>EXP(-LN(2)/25)*CL48+(1-EXP(-LN(2)/25))/(LN(2)/25)*Calculateur!CG49*Calculateur!CI49*VLOOKUP('Données projet'!$B$12,Paramètres!$A$1:$I$89,3,0)*0.475*44/12</f>
        <v>7.2782202692034117</v>
      </c>
      <c r="CM49" s="21">
        <f>EXP(-LN(2)/2)*CM48+(1-EXP(-LN(2)/2))/(LN(2)/2)*CG49*CJ49*VLOOKUP('Données projet'!$B$12,Paramètres!$A$1:$I$89,3,0)*0.475*44/12</f>
        <v>5.6450588037306586</v>
      </c>
      <c r="CN49" s="22">
        <f t="shared" si="12"/>
        <v>17.0984497778697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11.25</v>
      </c>
      <c r="CT49" s="12">
        <f>IF('Données projet'!$A$140&gt;35,CT48+CS49-DB48,IF(A49&lt;'Données projet'!$A$140,$CQ$205^A49,IF(A49='Données projet'!$A$140,'Données projet'!$B$140,CT48+CS49-DB48)))</f>
        <v>164.5</v>
      </c>
      <c r="CU49" s="17">
        <f>CT49*VLOOKUP('Données projet'!$B$13,Paramètres!$A$1:$I$89,3,0)*VLOOKUP('Données projet'!$B$13,Paramètres!$A$1:$I$89,5,0)</f>
        <v>148.83959999999999</v>
      </c>
      <c r="CV49" s="13">
        <f t="shared" si="41"/>
        <v>38.314761484407484</v>
      </c>
      <c r="CW49" s="20">
        <f t="shared" si="13"/>
        <v>325.96051291867633</v>
      </c>
      <c r="CX49" s="59">
        <f t="shared" si="14"/>
        <v>619.29384625200964</v>
      </c>
      <c r="CY49" s="59">
        <f ca="1">AVERAGE(OFFSET($CX$3,0,0,'Données projet'!$E$13+1,1))-AVERAGE(OFFSET($H$3,0,0,'Données projet'!$E$13+1,1))</f>
        <v>528.15559695545812</v>
      </c>
      <c r="CZ49" s="59">
        <f t="shared" si="42"/>
        <v>276.26988364830532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9.3218097712886898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9.3218097712886898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11.25</v>
      </c>
      <c r="DO49" s="12">
        <f>IF('Données projet'!$A$166&gt;35,DO48+DN49-DW48,IF(A49&lt;'Données projet'!$A$166,$DL$205^A49,IF(A49='Données projet'!$A$166,'Données projet'!$B$166,DO48+DN49-DW48)))</f>
        <v>164.5</v>
      </c>
      <c r="DP49" s="17">
        <f>DO49*VLOOKUP('Données projet'!$B$14,Paramètres!$A$1:$I$89,3,0)*VLOOKUP('Données projet'!$B$14,Paramètres!$A$1:$I$89,5,0)</f>
        <v>166.803</v>
      </c>
      <c r="DQ49" s="13">
        <f t="shared" si="43"/>
        <v>42.373212708510096</v>
      </c>
      <c r="DR49" s="20">
        <f t="shared" si="16"/>
        <v>364.31523713398838</v>
      </c>
      <c r="DS49" s="59">
        <f t="shared" si="17"/>
        <v>657.64857046732163</v>
      </c>
      <c r="DT49" s="59">
        <f ca="1">AVERAGE(OFFSET($DS$3,0,0,'Données projet'!$E$14+1,1))-AVERAGE(OFFSET($H$3,0,0,'Données projet'!$E$14+1,1))</f>
        <v>586.50020405958992</v>
      </c>
      <c r="DU49" s="59">
        <f t="shared" si="44"/>
        <v>304.44184537595294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10.446855778168361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10.446855778168361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7.2</v>
      </c>
      <c r="EJ49" s="12">
        <f>IF('Données projet'!$A$192&gt;35,EJ48+EI49-ER48,IF(A49&lt;'Données projet'!$A$192,$EG$205^A49,IF(A49='Données projet'!$A$192,'Données projet'!$B$192,EJ48+EI49-ER48)))</f>
        <v>190.19999999999993</v>
      </c>
      <c r="EK49" s="17">
        <f>EJ49*VLOOKUP('Données projet'!$B$15,Paramètres!$A$1:$I$89,3,0)*VLOOKUP('Données projet'!$B$15,Paramètres!$A$1:$I$89,5,0)</f>
        <v>183.96143999999995</v>
      </c>
      <c r="EL49" s="13">
        <f t="shared" si="45"/>
        <v>46.202413833061925</v>
      </c>
      <c r="EM49" s="20">
        <f t="shared" si="19"/>
        <v>400.86871209258271</v>
      </c>
      <c r="EN49" s="59">
        <f t="shared" si="20"/>
        <v>694.20204542591603</v>
      </c>
      <c r="EO49" s="59">
        <f ca="1">AVERAGE(OFFSET($EN$3,0,0,'Données projet'!$E$15+1,1))-AVERAGE(OFFSET($H$3,0,0,'Données projet'!$E$15+1,1))</f>
        <v>355.72173590705142</v>
      </c>
      <c r="EP49" s="59">
        <f t="shared" si="46"/>
        <v>346.30980704469363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4.1180189046830886</v>
      </c>
      <c r="EW49" s="21">
        <f>EXP(-LN(2)/25)*EW48+(1-EXP(-LN(2)/25))/(LN(2)/25)*Calculateur!ER49*Calculateur!ET49*VLOOKUP('Données projet'!$B$15,Paramètres!$A$1:$I$89,3,0)*0.475*44/12</f>
        <v>7.1785923927844246</v>
      </c>
      <c r="EX49" s="21">
        <f>EXP(-LN(2)/2)*EX48+(1-EXP(-LN(2)/2))/(LN(2)/2)*ER49*EU49*VLOOKUP('Données projet'!$B$15,Paramètres!$A$1:$I$89,3,0)*0.475*44/12</f>
        <v>6.8626205064960937</v>
      </c>
      <c r="EY49" s="22">
        <f t="shared" si="21"/>
        <v>18.159231803963607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190.19999999999993</v>
      </c>
      <c r="FF49" s="17">
        <f>FE49*VLOOKUP('Données projet'!$B$16,Paramètres!$A$1:$I$89,3,0)*VLOOKUP('Données projet'!$B$16,Paramètres!$A$1:$I$89,5,0)</f>
        <v>154.29023999999995</v>
      </c>
      <c r="FG49" s="13">
        <f t="shared" si="47"/>
        <v>39.551952121114581</v>
      </c>
      <c r="FH49" s="20">
        <f t="shared" si="22"/>
        <v>337.6084846109411</v>
      </c>
      <c r="FI49" s="59">
        <f t="shared" si="23"/>
        <v>630.94181794427436</v>
      </c>
      <c r="FJ49" s="59">
        <f ca="1">AVERAGE(OFFSET($FI$3,0,0,'Données projet'!$E$16+1,1))-AVERAGE(OFFSET($H$3,0,0,'Données projet'!$E$16+1,1))</f>
        <v>304.26232113495314</v>
      </c>
      <c r="FK49" s="59">
        <f t="shared" si="48"/>
        <v>297.47246687305056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4.2570367971892704</v>
      </c>
      <c r="FR49" s="21">
        <f>EXP(-LN(2)/25)*FR48+(1-EXP(-LN(2)/25))/(LN(2)/25)*Calculateur!FM49*Calculateur!FO49*VLOOKUP('Données projet'!$B$16,Paramètres!$A$1:$I$89,3,0)*0.475*44/12</f>
        <v>7.4209304705603438</v>
      </c>
      <c r="FS49" s="21">
        <f>EXP(-LN(2)/2)*FS48+(1-EXP(-LN(2)/2))/(LN(2)/2)*FM49*FP49*VLOOKUP('Données projet'!$B$16,Paramètres!$A$1:$I$89,3,0)*0.475*44/12</f>
        <v>5.7557462312547889</v>
      </c>
      <c r="FT49" s="22">
        <f t="shared" si="24"/>
        <v>17.433713499004405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205.40000000000012</v>
      </c>
      <c r="O50" s="13">
        <f>N50*VLOOKUP('Données projet'!$B$9,Paramètres!$A$1:$I$89,3,0)*VLOOKUP('Données projet'!$B$9,Paramètres!$A$1:$I$89,5,0)</f>
        <v>179.43744000000012</v>
      </c>
      <c r="P50" s="13">
        <f t="shared" si="33"/>
        <v>45.197004138831659</v>
      </c>
      <c r="Q50" s="20">
        <f t="shared" si="53"/>
        <v>391.23832354179859</v>
      </c>
      <c r="R50" s="59">
        <f t="shared" si="0"/>
        <v>684.57165687513191</v>
      </c>
      <c r="S50" s="59">
        <f ca="1">AVERAGE(OFFSET($R$3,0,0,'Données projet'!$E$9+1,1))-AVERAGE(OFFSET($H$3,0,0,'Données projet'!$E$9+1,1))</f>
        <v>381.72225529388083</v>
      </c>
      <c r="T50" s="59">
        <f t="shared" si="34"/>
        <v>360.05900046417361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23.48664059332787</v>
      </c>
      <c r="AA50" s="21">
        <f>EXP(-LN(2)/25)*AA49+(1-EXP(-LN(2)/25))/(LN(2)/25)*Calculateur!V50*Calculateur!X50*VLOOKUP('Données projet'!$B$9,Paramètres!$A$1:$I$89,3,0)*0.475*44/12</f>
        <v>15.11129028452698</v>
      </c>
      <c r="AB50" s="21">
        <f>EXP(-LN(2)/2)*AB49+(1-EXP(-LN(2)/2))/(LN(2)/2)*V50*Y50*VLOOKUP('Données projet'!$B$9,Paramètres!$A$1:$I$89,3,0)*0.475*44/12</f>
        <v>4.3619873302048733E-3</v>
      </c>
      <c r="AC50" s="22">
        <f t="shared" si="3"/>
        <v>38.602292865185056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13.6</v>
      </c>
      <c r="AI50" s="13">
        <f>IF('Données projet'!$A$62&gt;35,AI49+AH50-AQ49,IF(A50&lt;'Données projet'!$A$62,$AF$205^A50,IF(A50='Données projet'!$A$62,'Données projet'!$B$62,AI49+AH50-AQ49)))</f>
        <v>233.20000000000013</v>
      </c>
      <c r="AJ50" s="13">
        <f>AI50*VLOOKUP('Données projet'!$B$10,Paramètres!$A$1:$I$89,3,0)*VLOOKUP('Données projet'!$B$10,Paramètres!$A$1:$I$89,5,0)</f>
        <v>170.9822400000001</v>
      </c>
      <c r="AK50" s="13">
        <f t="shared" si="35"/>
        <v>43.309938852702771</v>
      </c>
      <c r="AL50" s="20">
        <f t="shared" si="4"/>
        <v>373.22554483512414</v>
      </c>
      <c r="AM50" s="59">
        <f t="shared" si="5"/>
        <v>666.55887816845745</v>
      </c>
      <c r="AN50" s="59">
        <f ca="1">AVERAGE(OFFSET($AM$3,0,0,'Données projet'!$E$10+1,1))-AVERAGE(OFFSET($H$3,0,0,'Données projet'!$E$10+1,1))</f>
        <v>464.3681853739115</v>
      </c>
      <c r="AO50" s="59">
        <f t="shared" si="36"/>
        <v>272.97841038165217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157.05143999999996</v>
      </c>
      <c r="BF50" s="13">
        <f t="shared" si="37"/>
        <v>40.176741230099708</v>
      </c>
      <c r="BG50" s="20">
        <f t="shared" si="7"/>
        <v>343.50574897575689</v>
      </c>
      <c r="BH50" s="59">
        <f t="shared" si="8"/>
        <v>636.83908230909014</v>
      </c>
      <c r="BI50" s="59">
        <f ca="1">AVERAGE(OFFSET($BH$3,0,0,'Données projet'!$E$11+1,1))-AVERAGE(OFFSET($H$3,0,0,'Données projet'!$E$11+1,1))</f>
        <v>299.10536994156814</v>
      </c>
      <c r="BJ50" s="59">
        <f t="shared" si="38"/>
        <v>292.57799203101769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4.0932981540145166</v>
      </c>
      <c r="BQ50" s="21">
        <f>EXP(-LN(2)/25)*BQ49+(1-EXP(-LN(2)/25))/(LN(2)/25)*Calculateur!BL50*Calculateur!BN50*VLOOKUP('Données projet'!$B$11,Paramètres!$A$1:$I$89,3,0)*0.475*44/12</f>
        <v>7.0791969531970746</v>
      </c>
      <c r="BR50" s="21">
        <f>EXP(-LN(2)/2)*BR49+(1-EXP(-LN(2)/2))/(LN(2)/2)*BL50*BO50*VLOOKUP('Données projet'!$B$11,Paramètres!$A$1:$I$89,3,0)*0.475*44/12</f>
        <v>3.991659360314769</v>
      </c>
      <c r="BS50" s="22">
        <f t="shared" si="9"/>
        <v>15.164154467526361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299.10536994156814</v>
      </c>
      <c r="CE50" s="59">
        <f t="shared" si="40"/>
        <v>292.57799203101769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4.0932981540145166</v>
      </c>
      <c r="CL50" s="21">
        <f>EXP(-LN(2)/25)*CL49+(1-EXP(-LN(2)/25))/(LN(2)/25)*Calculateur!CG50*Calculateur!CI50*VLOOKUP('Données projet'!$B$12,Paramètres!$A$1:$I$89,3,0)*0.475*44/12</f>
        <v>7.0791969531970746</v>
      </c>
      <c r="CM50" s="21">
        <f>EXP(-LN(2)/2)*CM49+(1-EXP(-LN(2)/2))/(LN(2)/2)*CG50*CJ50*VLOOKUP('Données projet'!$B$12,Paramètres!$A$1:$I$89,3,0)*0.475*44/12</f>
        <v>3.991659360314769</v>
      </c>
      <c r="CN50" s="22">
        <f t="shared" si="12"/>
        <v>15.164154467526361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11.25</v>
      </c>
      <c r="CT50" s="12">
        <f>IF('Données projet'!$A$140&gt;35,CT49+CS50-DB49,IF(A50&lt;'Données projet'!$A$140,$CQ$205^A50,IF(A50='Données projet'!$A$140,'Données projet'!$B$140,CT49+CS50-DB49)))</f>
        <v>175.75</v>
      </c>
      <c r="CU50" s="17">
        <f>CT50*VLOOKUP('Données projet'!$B$13,Paramètres!$A$1:$I$89,3,0)*VLOOKUP('Données projet'!$B$13,Paramètres!$A$1:$I$89,5,0)</f>
        <v>159.01859999999999</v>
      </c>
      <c r="CV50" s="13">
        <f t="shared" si="41"/>
        <v>40.62107869517753</v>
      </c>
      <c r="CW50" s="20">
        <f t="shared" si="13"/>
        <v>347.70577372743418</v>
      </c>
      <c r="CX50" s="59">
        <f t="shared" si="14"/>
        <v>641.03910706076749</v>
      </c>
      <c r="CY50" s="59">
        <f ca="1">AVERAGE(OFFSET($CX$3,0,0,'Données projet'!$E$13+1,1))-AVERAGE(OFFSET($H$3,0,0,'Données projet'!$E$13+1,1))</f>
        <v>528.15559695545812</v>
      </c>
      <c r="CZ50" s="59">
        <f t="shared" si="42"/>
        <v>276.26988364830532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9.0669043928801294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9.0669043928801294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11.25</v>
      </c>
      <c r="DO50" s="12">
        <f>IF('Données projet'!$A$166&gt;35,DO49+DN50-DW49,IF(A50&lt;'Données projet'!$A$166,$DL$205^A50,IF(A50='Données projet'!$A$166,'Données projet'!$B$166,DO49+DN50-DW49)))</f>
        <v>175.75</v>
      </c>
      <c r="DP50" s="17">
        <f>DO50*VLOOKUP('Données projet'!$B$14,Paramètres!$A$1:$I$89,3,0)*VLOOKUP('Données projet'!$B$14,Paramètres!$A$1:$I$89,5,0)</f>
        <v>178.2105</v>
      </c>
      <c r="DQ50" s="13">
        <f t="shared" si="43"/>
        <v>44.923824168926657</v>
      </c>
      <c r="DR50" s="20">
        <f t="shared" si="16"/>
        <v>388.62561459421386</v>
      </c>
      <c r="DS50" s="59">
        <f t="shared" si="17"/>
        <v>681.95894792754711</v>
      </c>
      <c r="DT50" s="59">
        <f ca="1">AVERAGE(OFFSET($DS$3,0,0,'Données projet'!$E$14+1,1))-AVERAGE(OFFSET($H$3,0,0,'Données projet'!$E$14+1,1))</f>
        <v>586.50020405958992</v>
      </c>
      <c r="DU50" s="59">
        <f t="shared" si="44"/>
        <v>304.44184537595294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10.161185957538079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10.161185957538079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7.2</v>
      </c>
      <c r="EJ50" s="12">
        <f>IF('Données projet'!$A$192&gt;35,EJ49+EI50-ER49,IF(A50&lt;'Données projet'!$A$192,$EG$205^A50,IF(A50='Données projet'!$A$192,'Données projet'!$B$192,EJ49+EI50-ER49)))</f>
        <v>197.39999999999992</v>
      </c>
      <c r="EK50" s="17">
        <f>EJ50*VLOOKUP('Données projet'!$B$15,Paramètres!$A$1:$I$89,3,0)*VLOOKUP('Données projet'!$B$15,Paramètres!$A$1:$I$89,5,0)</f>
        <v>190.92527999999993</v>
      </c>
      <c r="EL50" s="13">
        <f t="shared" si="45"/>
        <v>47.74446124692539</v>
      </c>
      <c r="EM50" s="20">
        <f t="shared" si="19"/>
        <v>415.68313267172829</v>
      </c>
      <c r="EN50" s="59">
        <f t="shared" si="20"/>
        <v>709.0164660050616</v>
      </c>
      <c r="EO50" s="59">
        <f ca="1">AVERAGE(OFFSET($EN$3,0,0,'Données projet'!$E$15+1,1))-AVERAGE(OFFSET($H$3,0,0,'Données projet'!$E$15+1,1))</f>
        <v>355.72173590705142</v>
      </c>
      <c r="EP50" s="59">
        <f t="shared" si="46"/>
        <v>346.30980704469363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4.0372670657057714</v>
      </c>
      <c r="EW50" s="21">
        <f>EXP(-LN(2)/25)*EW49+(1-EXP(-LN(2)/25))/(LN(2)/25)*Calculateur!ER50*Calculateur!ET50*VLOOKUP('Données projet'!$B$15,Paramètres!$A$1:$I$89,3,0)*0.475*44/12</f>
        <v>6.9822934062979671</v>
      </c>
      <c r="EX50" s="21">
        <f>EXP(-LN(2)/2)*EX49+(1-EXP(-LN(2)/2))/(LN(2)/2)*ER50*EU50*VLOOKUP('Données projet'!$B$15,Paramètres!$A$1:$I$89,3,0)*0.475*44/12</f>
        <v>4.8526054968532479</v>
      </c>
      <c r="EY50" s="22">
        <f t="shared" si="21"/>
        <v>15.872165968856986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197.39999999999992</v>
      </c>
      <c r="FF50" s="17">
        <f>FE50*VLOOKUP('Données projet'!$B$16,Paramètres!$A$1:$I$89,3,0)*VLOOKUP('Données projet'!$B$16,Paramètres!$A$1:$I$89,5,0)</f>
        <v>160.13087999999996</v>
      </c>
      <c r="FG50" s="13">
        <f t="shared" si="47"/>
        <v>40.872034351060186</v>
      </c>
      <c r="FH50" s="20">
        <f t="shared" si="22"/>
        <v>350.08007582809643</v>
      </c>
      <c r="FI50" s="59">
        <f t="shared" si="23"/>
        <v>643.41340916142974</v>
      </c>
      <c r="FJ50" s="59">
        <f ca="1">AVERAGE(OFFSET($FI$3,0,0,'Données projet'!$E$16+1,1))-AVERAGE(OFFSET($H$3,0,0,'Données projet'!$E$16+1,1))</f>
        <v>304.26232113495314</v>
      </c>
      <c r="FK50" s="59">
        <f t="shared" si="48"/>
        <v>297.47246687305056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4.1735589021324486</v>
      </c>
      <c r="FR50" s="21">
        <f>EXP(-LN(2)/25)*FR49+(1-EXP(-LN(2)/25))/(LN(2)/25)*Calculateur!FM50*Calculateur!FO50*VLOOKUP('Données projet'!$B$16,Paramètres!$A$1:$I$89,3,0)*0.475*44/12</f>
        <v>7.2180047365930982</v>
      </c>
      <c r="FS50" s="21">
        <f>EXP(-LN(2)/2)*FS49+(1-EXP(-LN(2)/2))/(LN(2)/2)*FM50*FP50*VLOOKUP('Données projet'!$B$16,Paramètres!$A$1:$I$89,3,0)*0.475*44/12</f>
        <v>4.0699271909091754</v>
      </c>
      <c r="FT50" s="22">
        <f t="shared" si="24"/>
        <v>15.461490829634723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213.60000000000011</v>
      </c>
      <c r="O51" s="13">
        <f>N51*VLOOKUP('Données projet'!$B$9,Paramètres!$A$1:$I$89,3,0)*VLOOKUP('Données projet'!$B$9,Paramètres!$A$1:$I$89,5,0)</f>
        <v>186.60096000000013</v>
      </c>
      <c r="P51" s="13">
        <f t="shared" si="33"/>
        <v>46.787685683664144</v>
      </c>
      <c r="Q51" s="20">
        <f t="shared" si="53"/>
        <v>406.48522456571527</v>
      </c>
      <c r="R51" s="59">
        <f t="shared" si="0"/>
        <v>699.81855789904853</v>
      </c>
      <c r="S51" s="59">
        <f ca="1">AVERAGE(OFFSET($R$3,0,0,'Données projet'!$E$9+1,1))-AVERAGE(OFFSET($H$3,0,0,'Données projet'!$E$9+1,1))</f>
        <v>381.72225529388083</v>
      </c>
      <c r="T51" s="59">
        <f t="shared" si="34"/>
        <v>360.05900046417361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23.026081896728954</v>
      </c>
      <c r="AA51" s="21">
        <f>EXP(-LN(2)/25)*AA50+(1-EXP(-LN(2)/25))/(LN(2)/25)*Calculateur!V51*Calculateur!X51*VLOOKUP('Données projet'!$B$9,Paramètres!$A$1:$I$89,3,0)*0.475*44/12</f>
        <v>14.698071257028371</v>
      </c>
      <c r="AB51" s="21">
        <f>EXP(-LN(2)/2)*AB50+(1-EXP(-LN(2)/2))/(LN(2)/2)*V51*Y51*VLOOKUP('Données projet'!$B$9,Paramètres!$A$1:$I$89,3,0)*0.475*44/12</f>
        <v>3.08439082063767E-3</v>
      </c>
      <c r="AC51" s="22">
        <f t="shared" si="3"/>
        <v>37.727237544577967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13.6</v>
      </c>
      <c r="AI51" s="13">
        <f>IF('Données projet'!$A$62&gt;35,AI50+AH51-AQ50,IF(A51&lt;'Données projet'!$A$62,$AF$205^A51,IF(A51='Données projet'!$A$62,'Données projet'!$B$62,AI50+AH51-AQ50)))</f>
        <v>246.80000000000013</v>
      </c>
      <c r="AJ51" s="13">
        <f>AI51*VLOOKUP('Données projet'!$B$10,Paramètres!$A$1:$I$89,3,0)*VLOOKUP('Données projet'!$B$10,Paramètres!$A$1:$I$89,5,0)</f>
        <v>180.95376000000007</v>
      </c>
      <c r="AK51" s="13">
        <f t="shared" si="35"/>
        <v>45.534314886343658</v>
      </c>
      <c r="AL51" s="20">
        <f t="shared" si="4"/>
        <v>394.46673042704862</v>
      </c>
      <c r="AM51" s="59">
        <f t="shared" si="5"/>
        <v>687.80006376038193</v>
      </c>
      <c r="AN51" s="59">
        <f ca="1">AVERAGE(OFFSET($AM$3,0,0,'Données projet'!$E$10+1,1))-AVERAGE(OFFSET($H$3,0,0,'Données projet'!$E$10+1,1))</f>
        <v>464.3681853739115</v>
      </c>
      <c r="AO51" s="59">
        <f t="shared" si="36"/>
        <v>272.97841038165217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162.77975999999995</v>
      </c>
      <c r="BF51" s="13">
        <f t="shared" si="37"/>
        <v>41.468868129640057</v>
      </c>
      <c r="BG51" s="20">
        <f t="shared" si="7"/>
        <v>355.73302732578964</v>
      </c>
      <c r="BH51" s="59">
        <f t="shared" si="8"/>
        <v>649.06636065912289</v>
      </c>
      <c r="BI51" s="59">
        <f ca="1">AVERAGE(OFFSET($BH$3,0,0,'Données projet'!$E$11+1,1))-AVERAGE(OFFSET($H$3,0,0,'Données projet'!$E$11+1,1))</f>
        <v>299.10536994156814</v>
      </c>
      <c r="BJ51" s="59">
        <f t="shared" si="38"/>
        <v>292.57799203101769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4.0130310738796409</v>
      </c>
      <c r="BQ51" s="21">
        <f>EXP(-LN(2)/25)*BQ50+(1-EXP(-LN(2)/25))/(LN(2)/25)*Calculateur!BL51*Calculateur!BN51*VLOOKUP('Données projet'!$B$11,Paramètres!$A$1:$I$89,3,0)*0.475*44/12</f>
        <v>6.8856159402331123</v>
      </c>
      <c r="BR51" s="21">
        <f>EXP(-LN(2)/2)*BR50+(1-EXP(-LN(2)/2))/(LN(2)/2)*BL51*BO51*VLOOKUP('Données projet'!$B$11,Paramètres!$A$1:$I$89,3,0)*0.475*44/12</f>
        <v>2.8225294018653297</v>
      </c>
      <c r="BS51" s="22">
        <f t="shared" si="9"/>
        <v>13.721176415978084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299.10536994156814</v>
      </c>
      <c r="CE51" s="59">
        <f t="shared" si="40"/>
        <v>292.57799203101769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4.0130310738796409</v>
      </c>
      <c r="CL51" s="21">
        <f>EXP(-LN(2)/25)*CL50+(1-EXP(-LN(2)/25))/(LN(2)/25)*Calculateur!CG51*Calculateur!CI51*VLOOKUP('Données projet'!$B$12,Paramètres!$A$1:$I$89,3,0)*0.475*44/12</f>
        <v>6.8856159402331123</v>
      </c>
      <c r="CM51" s="21">
        <f>EXP(-LN(2)/2)*CM50+(1-EXP(-LN(2)/2))/(LN(2)/2)*CG51*CJ51*VLOOKUP('Données projet'!$B$12,Paramètres!$A$1:$I$89,3,0)*0.475*44/12</f>
        <v>2.8225294018653297</v>
      </c>
      <c r="CN51" s="22">
        <f t="shared" si="12"/>
        <v>13.721176415978084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11.25</v>
      </c>
      <c r="CT51" s="12">
        <f>IF('Données projet'!$A$140&gt;35,CT50+CS51-DB50,IF(A51&lt;'Données projet'!$A$140,$CQ$205^A51,IF(A51='Données projet'!$A$140,'Données projet'!$B$140,CT50+CS51-DB50)))</f>
        <v>187</v>
      </c>
      <c r="CU51" s="17">
        <f>CT51*VLOOKUP('Données projet'!$B$13,Paramètres!$A$1:$I$89,3,0)*VLOOKUP('Données projet'!$B$13,Paramètres!$A$1:$I$89,5,0)</f>
        <v>169.19759999999999</v>
      </c>
      <c r="CV51" s="13">
        <f t="shared" si="41"/>
        <v>42.910263223432885</v>
      </c>
      <c r="CW51" s="20">
        <f t="shared" si="13"/>
        <v>369.42119511414558</v>
      </c>
      <c r="CX51" s="59">
        <f t="shared" si="14"/>
        <v>662.75452844747883</v>
      </c>
      <c r="CY51" s="59">
        <f ca="1">AVERAGE(OFFSET($CX$3,0,0,'Données projet'!$E$13+1,1))-AVERAGE(OFFSET($H$3,0,0,'Données projet'!$E$13+1,1))</f>
        <v>528.15559695545812</v>
      </c>
      <c r="CZ51" s="59">
        <f t="shared" si="42"/>
        <v>276.26988364830532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8.8189694154490432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8.8189694154490432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11.25</v>
      </c>
      <c r="DO51" s="12">
        <f>IF('Données projet'!$A$166&gt;35,DO50+DN51-DW50,IF(A51&lt;'Données projet'!$A$166,$DL$205^A51,IF(A51='Données projet'!$A$166,'Données projet'!$B$166,DO50+DN51-DW50)))</f>
        <v>187</v>
      </c>
      <c r="DP51" s="17">
        <f>DO51*VLOOKUP('Données projet'!$B$14,Paramètres!$A$1:$I$89,3,0)*VLOOKUP('Données projet'!$B$14,Paramètres!$A$1:$I$89,5,0)</f>
        <v>189.61799999999999</v>
      </c>
      <c r="DQ51" s="13">
        <f t="shared" si="43"/>
        <v>47.4554881852685</v>
      </c>
      <c r="DR51" s="20">
        <f t="shared" si="16"/>
        <v>412.90299192267594</v>
      </c>
      <c r="DS51" s="59">
        <f t="shared" si="17"/>
        <v>706.2363252560092</v>
      </c>
      <c r="DT51" s="59">
        <f ca="1">AVERAGE(OFFSET($DS$3,0,0,'Données projet'!$E$14+1,1))-AVERAGE(OFFSET($H$3,0,0,'Données projet'!$E$14+1,1))</f>
        <v>586.50020405958992</v>
      </c>
      <c r="DU51" s="59">
        <f t="shared" si="44"/>
        <v>304.44184537595294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9.8833277931756545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9.8833277931756545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7.2</v>
      </c>
      <c r="EJ51" s="12">
        <f>IF('Données projet'!$A$192&gt;35,EJ50+EI51-ER50,IF(A51&lt;'Données projet'!$A$192,$EG$205^A51,IF(A51='Données projet'!$A$192,'Données projet'!$B$192,EJ50+EI51-ER50)))</f>
        <v>204.59999999999991</v>
      </c>
      <c r="EK51" s="17">
        <f>EJ51*VLOOKUP('Données projet'!$B$15,Paramètres!$A$1:$I$89,3,0)*VLOOKUP('Données projet'!$B$15,Paramètres!$A$1:$I$89,5,0)</f>
        <v>197.88911999999993</v>
      </c>
      <c r="EL51" s="13">
        <f t="shared" si="45"/>
        <v>49.279974103179534</v>
      </c>
      <c r="EM51" s="20">
        <f t="shared" si="19"/>
        <v>430.48617222970421</v>
      </c>
      <c r="EN51" s="59">
        <f t="shared" si="20"/>
        <v>723.81950556303752</v>
      </c>
      <c r="EO51" s="59">
        <f ca="1">AVERAGE(OFFSET($EN$3,0,0,'Données projet'!$E$15+1,1))-AVERAGE(OFFSET($H$3,0,0,'Données projet'!$E$15+1,1))</f>
        <v>355.72173590705142</v>
      </c>
      <c r="EP51" s="59">
        <f t="shared" si="46"/>
        <v>346.30980704469363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3.9580987210370409</v>
      </c>
      <c r="EW51" s="21">
        <f>EXP(-LN(2)/25)*EW50+(1-EXP(-LN(2)/25))/(LN(2)/25)*Calculateur!ER51*Calculateur!ET51*VLOOKUP('Données projet'!$B$15,Paramètres!$A$1:$I$89,3,0)*0.475*44/12</f>
        <v>6.7913622259198974</v>
      </c>
      <c r="EX51" s="21">
        <f>EXP(-LN(2)/2)*EX50+(1-EXP(-LN(2)/2))/(LN(2)/2)*ER51*EU51*VLOOKUP('Données projet'!$B$15,Paramètres!$A$1:$I$89,3,0)*0.475*44/12</f>
        <v>3.4313102532480477</v>
      </c>
      <c r="EY51" s="22">
        <f t="shared" si="21"/>
        <v>14.180771200204987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204.59999999999991</v>
      </c>
      <c r="FF51" s="17">
        <f>FE51*VLOOKUP('Données projet'!$B$16,Paramètres!$A$1:$I$89,3,0)*VLOOKUP('Données projet'!$B$16,Paramètres!$A$1:$I$89,5,0)</f>
        <v>165.97151999999994</v>
      </c>
      <c r="FG51" s="13">
        <f t="shared" si="47"/>
        <v>42.186522619819392</v>
      </c>
      <c r="FH51" s="20">
        <f t="shared" si="22"/>
        <v>362.54192422951866</v>
      </c>
      <c r="FI51" s="59">
        <f t="shared" si="23"/>
        <v>655.87525756285197</v>
      </c>
      <c r="FJ51" s="59">
        <f ca="1">AVERAGE(OFFSET($FI$3,0,0,'Données projet'!$E$16+1,1))-AVERAGE(OFFSET($H$3,0,0,'Données projet'!$E$16+1,1))</f>
        <v>304.26232113495314</v>
      </c>
      <c r="FK51" s="59">
        <f t="shared" si="48"/>
        <v>297.47246687305056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4.0917179576812028</v>
      </c>
      <c r="FR51" s="21">
        <f>EXP(-LN(2)/25)*FR50+(1-EXP(-LN(2)/25))/(LN(2)/25)*Calculateur!FM51*Calculateur!FO51*VLOOKUP('Données projet'!$B$16,Paramètres!$A$1:$I$89,3,0)*0.475*44/12</f>
        <v>7.0206280174925881</v>
      </c>
      <c r="FS51" s="21">
        <f>EXP(-LN(2)/2)*FS50+(1-EXP(-LN(2)/2))/(LN(2)/2)*FM51*FP51*VLOOKUP('Données projet'!$B$16,Paramètres!$A$1:$I$89,3,0)*0.475*44/12</f>
        <v>2.8778731156273945</v>
      </c>
      <c r="FT51" s="22">
        <f t="shared" si="24"/>
        <v>13.990219090801187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221.8000000000001</v>
      </c>
      <c r="O52" s="13">
        <f>N52*VLOOKUP('Données projet'!$B$9,Paramètres!$A$1:$I$89,3,0)*VLOOKUP('Données projet'!$B$9,Paramètres!$A$1:$I$89,5,0)</f>
        <v>193.76448000000011</v>
      </c>
      <c r="P52" s="13">
        <f t="shared" si="33"/>
        <v>48.371273222646494</v>
      </c>
      <c r="Q52" s="20">
        <f t="shared" si="53"/>
        <v>421.71977019610949</v>
      </c>
      <c r="R52" s="59">
        <f t="shared" si="0"/>
        <v>715.05310352944275</v>
      </c>
      <c r="S52" s="59">
        <f ca="1">AVERAGE(OFFSET($R$3,0,0,'Données projet'!$E$9+1,1))-AVERAGE(OFFSET($H$3,0,0,'Données projet'!$E$9+1,1))</f>
        <v>381.72225529388083</v>
      </c>
      <c r="T52" s="59">
        <f t="shared" si="34"/>
        <v>360.05900046417361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22.574554475257276</v>
      </c>
      <c r="AA52" s="21">
        <f>EXP(-LN(2)/25)*AA51+(1-EXP(-LN(2)/25))/(LN(2)/25)*Calculateur!V52*Calculateur!X52*VLOOKUP('Données projet'!$B$9,Paramètres!$A$1:$I$89,3,0)*0.475*44/12</f>
        <v>14.296151725566956</v>
      </c>
      <c r="AB52" s="21">
        <f>EXP(-LN(2)/2)*AB51+(1-EXP(-LN(2)/2))/(LN(2)/2)*V52*Y52*VLOOKUP('Données projet'!$B$9,Paramètres!$A$1:$I$89,3,0)*0.475*44/12</f>
        <v>2.1809936651024367E-3</v>
      </c>
      <c r="AC52" s="22">
        <f t="shared" si="3"/>
        <v>36.87288719448933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13.6</v>
      </c>
      <c r="AI52" s="13">
        <f>IF('Données projet'!$A$62&gt;35,AI51+AH52-AQ51,IF(A52&lt;'Données projet'!$A$62,$AF$205^A52,IF(A52='Données projet'!$A$62,'Données projet'!$B$62,AI51+AH52-AQ51)))</f>
        <v>260.40000000000015</v>
      </c>
      <c r="AJ52" s="13">
        <f>AI52*VLOOKUP('Données projet'!$B$10,Paramètres!$A$1:$I$89,3,0)*VLOOKUP('Données projet'!$B$10,Paramètres!$A$1:$I$89,5,0)</f>
        <v>190.9252800000001</v>
      </c>
      <c r="AK52" s="13">
        <f t="shared" si="35"/>
        <v>47.744461246925432</v>
      </c>
      <c r="AL52" s="20">
        <f t="shared" si="4"/>
        <v>415.68313267172863</v>
      </c>
      <c r="AM52" s="59">
        <f t="shared" si="5"/>
        <v>709.01646600506194</v>
      </c>
      <c r="AN52" s="59">
        <f ca="1">AVERAGE(OFFSET($AM$3,0,0,'Données projet'!$E$10+1,1))-AVERAGE(OFFSET($H$3,0,0,'Données projet'!$E$10+1,1))</f>
        <v>464.3681853739115</v>
      </c>
      <c r="AO52" s="59">
        <f t="shared" si="36"/>
        <v>272.97841038165217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168.50807999999992</v>
      </c>
      <c r="BF52" s="13">
        <f t="shared" si="37"/>
        <v>42.755711908378117</v>
      </c>
      <c r="BG52" s="20">
        <f t="shared" si="7"/>
        <v>367.95110424042508</v>
      </c>
      <c r="BH52" s="59">
        <f t="shared" si="8"/>
        <v>661.2844375737584</v>
      </c>
      <c r="BI52" s="59">
        <f ca="1">AVERAGE(OFFSET($BH$3,0,0,'Données projet'!$E$11+1,1))-AVERAGE(OFFSET($H$3,0,0,'Données projet'!$E$11+1,1))</f>
        <v>299.10536994156814</v>
      </c>
      <c r="BJ52" s="59">
        <f t="shared" si="38"/>
        <v>292.57799203101769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3.9343379822281253</v>
      </c>
      <c r="BQ52" s="21">
        <f>EXP(-LN(2)/25)*BQ51+(1-EXP(-LN(2)/25))/(LN(2)/25)*Calculateur!BL52*Calculateur!BN52*VLOOKUP('Données projet'!$B$11,Paramètres!$A$1:$I$89,3,0)*0.475*44/12</f>
        <v>6.697328410248633</v>
      </c>
      <c r="BR52" s="21">
        <f>EXP(-LN(2)/2)*BR51+(1-EXP(-LN(2)/2))/(LN(2)/2)*BL52*BO52*VLOOKUP('Données projet'!$B$11,Paramètres!$A$1:$I$89,3,0)*0.475*44/12</f>
        <v>1.9958296801573847</v>
      </c>
      <c r="BS52" s="22">
        <f t="shared" si="9"/>
        <v>12.627496072634143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299.10536994156814</v>
      </c>
      <c r="CE52" s="59">
        <f t="shared" si="40"/>
        <v>292.57799203101769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3.9343379822281253</v>
      </c>
      <c r="CL52" s="21">
        <f>EXP(-LN(2)/25)*CL51+(1-EXP(-LN(2)/25))/(LN(2)/25)*Calculateur!CG52*Calculateur!CI52*VLOOKUP('Données projet'!$B$12,Paramètres!$A$1:$I$89,3,0)*0.475*44/12</f>
        <v>6.697328410248633</v>
      </c>
      <c r="CM52" s="21">
        <f>EXP(-LN(2)/2)*CM51+(1-EXP(-LN(2)/2))/(LN(2)/2)*CG52*CJ52*VLOOKUP('Données projet'!$B$12,Paramètres!$A$1:$I$89,3,0)*0.475*44/12</f>
        <v>1.9958296801573847</v>
      </c>
      <c r="CN52" s="22">
        <f t="shared" si="12"/>
        <v>12.627496072634143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11.25</v>
      </c>
      <c r="CT52" s="12">
        <f>IF('Données projet'!$A$140&gt;35,CT51+CS52-DB51,IF(A52&lt;'Données projet'!$A$140,$CQ$205^A52,IF(A52='Données projet'!$A$140,'Données projet'!$B$140,CT51+CS52-DB51)))</f>
        <v>198.25</v>
      </c>
      <c r="CU52" s="17">
        <f>CT52*VLOOKUP('Données projet'!$B$13,Paramètres!$A$1:$I$89,3,0)*VLOOKUP('Données projet'!$B$13,Paramètres!$A$1:$I$89,5,0)</f>
        <v>179.3766</v>
      </c>
      <c r="CV52" s="13">
        <f t="shared" si="41"/>
        <v>45.18346315973151</v>
      </c>
      <c r="CW52" s="20">
        <f t="shared" si="13"/>
        <v>391.10877666986568</v>
      </c>
      <c r="CX52" s="59">
        <f t="shared" si="14"/>
        <v>684.44211000319899</v>
      </c>
      <c r="CY52" s="59">
        <f ca="1">AVERAGE(OFFSET($CX$3,0,0,'Données projet'!$E$13+1,1))-AVERAGE(OFFSET($H$3,0,0,'Données projet'!$E$13+1,1))</f>
        <v>528.15559695545812</v>
      </c>
      <c r="CZ52" s="59">
        <f t="shared" si="42"/>
        <v>276.26988364830532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8.5778142330141431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8.5778142330141431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11.25</v>
      </c>
      <c r="DO52" s="12">
        <f>IF('Données projet'!$A$166&gt;35,DO51+DN52-DW51,IF(A52&lt;'Données projet'!$A$166,$DL$205^A52,IF(A52='Données projet'!$A$166,'Données projet'!$B$166,DO51+DN52-DW51)))</f>
        <v>198.25</v>
      </c>
      <c r="DP52" s="17">
        <f>DO52*VLOOKUP('Données projet'!$B$14,Paramètres!$A$1:$I$89,3,0)*VLOOKUP('Données projet'!$B$14,Paramètres!$A$1:$I$89,5,0)</f>
        <v>201.02550000000002</v>
      </c>
      <c r="DQ52" s="13">
        <f t="shared" si="43"/>
        <v>49.969474458390742</v>
      </c>
      <c r="DR52" s="20">
        <f t="shared" si="16"/>
        <v>437.14958051503055</v>
      </c>
      <c r="DS52" s="59">
        <f t="shared" si="17"/>
        <v>730.48291384836386</v>
      </c>
      <c r="DT52" s="59">
        <f ca="1">AVERAGE(OFFSET($DS$3,0,0,'Données projet'!$E$14+1,1))-AVERAGE(OFFSET($H$3,0,0,'Données projet'!$E$14+1,1))</f>
        <v>586.50020405958992</v>
      </c>
      <c r="DU52" s="59">
        <f t="shared" si="44"/>
        <v>304.44184537595294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9.6130676749296455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9.6130676749296455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7.2</v>
      </c>
      <c r="EJ52" s="12">
        <f>IF('Données projet'!$A$192&gt;35,EJ51+EI52-ER51,IF(A52&lt;'Données projet'!$A$192,$EG$205^A52,IF(A52='Données projet'!$A$192,'Données projet'!$B$192,EJ51+EI52-ER51)))</f>
        <v>211.7999999999999</v>
      </c>
      <c r="EK52" s="17">
        <f>EJ52*VLOOKUP('Données projet'!$B$15,Paramètres!$A$1:$I$89,3,0)*VLOOKUP('Données projet'!$B$15,Paramètres!$A$1:$I$89,5,0)</f>
        <v>204.85295999999991</v>
      </c>
      <c r="EL52" s="13">
        <f t="shared" si="45"/>
        <v>50.809208706178609</v>
      </c>
      <c r="EM52" s="20">
        <f t="shared" si="19"/>
        <v>445.27827716326095</v>
      </c>
      <c r="EN52" s="59">
        <f t="shared" si="20"/>
        <v>738.61161049659427</v>
      </c>
      <c r="EO52" s="59">
        <f ca="1">AVERAGE(OFFSET($EN$3,0,0,'Données projet'!$E$15+1,1))-AVERAGE(OFFSET($H$3,0,0,'Données projet'!$E$15+1,1))</f>
        <v>355.72173590705142</v>
      </c>
      <c r="EP52" s="59">
        <f t="shared" si="46"/>
        <v>346.30980704469363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3.8804828193193415</v>
      </c>
      <c r="EW52" s="21">
        <f>EXP(-LN(2)/25)*EW51+(1-EXP(-LN(2)/25))/(LN(2)/25)*Calculateur!ER52*Calculateur!ET52*VLOOKUP('Données projet'!$B$15,Paramètres!$A$1:$I$89,3,0)*0.475*44/12</f>
        <v>6.6056520687099001</v>
      </c>
      <c r="EX52" s="21">
        <f>EXP(-LN(2)/2)*EX51+(1-EXP(-LN(2)/2))/(LN(2)/2)*ER52*EU52*VLOOKUP('Données projet'!$B$15,Paramètres!$A$1:$I$89,3,0)*0.475*44/12</f>
        <v>2.4263027484266244</v>
      </c>
      <c r="EY52" s="22">
        <f t="shared" si="21"/>
        <v>12.912437636455866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211.7999999999999</v>
      </c>
      <c r="FF52" s="17">
        <f>FE52*VLOOKUP('Données projet'!$B$16,Paramètres!$A$1:$I$89,3,0)*VLOOKUP('Données projet'!$B$16,Paramètres!$A$1:$I$89,5,0)</f>
        <v>171.81215999999992</v>
      </c>
      <c r="FG52" s="13">
        <f t="shared" si="47"/>
        <v>43.49563633881931</v>
      </c>
      <c r="FH52" s="20">
        <f t="shared" si="22"/>
        <v>374.99441195677679</v>
      </c>
      <c r="FI52" s="59">
        <f t="shared" si="23"/>
        <v>668.3277452901101</v>
      </c>
      <c r="FJ52" s="59">
        <f ca="1">AVERAGE(OFFSET($FI$3,0,0,'Données projet'!$E$16+1,1))-AVERAGE(OFFSET($H$3,0,0,'Données projet'!$E$16+1,1))</f>
        <v>304.26232113495314</v>
      </c>
      <c r="FK52" s="59">
        <f t="shared" si="48"/>
        <v>297.47246687305056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4.0114818642325982</v>
      </c>
      <c r="FR52" s="21">
        <f>EXP(-LN(2)/25)*FR51+(1-EXP(-LN(2)/25))/(LN(2)/25)*Calculateur!FM52*Calculateur!FO52*VLOOKUP('Données projet'!$B$16,Paramètres!$A$1:$I$89,3,0)*0.475*44/12</f>
        <v>6.828648575155472</v>
      </c>
      <c r="FS52" s="21">
        <f>EXP(-LN(2)/2)*FS51+(1-EXP(-LN(2)/2))/(LN(2)/2)*FM52*FP52*VLOOKUP('Données projet'!$B$16,Paramètres!$A$1:$I$89,3,0)*0.475*44/12</f>
        <v>2.0349635954545877</v>
      </c>
      <c r="FT52" s="22">
        <f t="shared" si="24"/>
        <v>12.875094034842657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230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230.00000000000009</v>
      </c>
      <c r="O53" s="13">
        <f>N53*VLOOKUP('Données projet'!$B$9,Paramètres!$A$1:$I$89,3,0)*VLOOKUP('Données projet'!$B$9,Paramètres!$A$1:$I$89,5,0)</f>
        <v>200.92800000000011</v>
      </c>
      <c r="P53" s="13">
        <f t="shared" si="33"/>
        <v>49.948059057189084</v>
      </c>
      <c r="Q53" s="20">
        <f t="shared" si="53"/>
        <v>436.94246952460452</v>
      </c>
      <c r="R53" s="59">
        <f t="shared" si="0"/>
        <v>730.27580285793783</v>
      </c>
      <c r="S53" s="59">
        <f ca="1">AVERAGE(OFFSET($R$3,0,0,'Données projet'!$E$9+1,1))-AVERAGE(OFFSET($H$3,0,0,'Données projet'!$E$9+1,1))</f>
        <v>381.72225529388083</v>
      </c>
      <c r="T53" s="59">
        <f t="shared" si="34"/>
        <v>360.05900046417361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0.215</v>
      </c>
      <c r="X53" s="16">
        <f>IF(ISNA(VLOOKUP(A53,'Données projet'!$A$35:$I$55,6,0)),0%,VLOOKUP(A53,'Données projet'!$A$35:$I$55,6,0)*VLOOKUP('Données projet'!$B$9,Paramètres!$A$1:$I$89,7,0))</f>
        <v>0.129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27.945629550947235</v>
      </c>
      <c r="AA53" s="21">
        <f>EXP(-LN(2)/25)*AA52+(1-EXP(-LN(2)/25))/(LN(2)/25)*Calculateur!V53*Calculateur!X53*VLOOKUP('Données projet'!$B$9,Paramètres!$A$1:$I$89,3,0)*0.475*44/12</f>
        <v>17.379737131319878</v>
      </c>
      <c r="AB53" s="21">
        <f>EXP(-LN(2)/2)*AB52+(1-EXP(-LN(2)/2))/(LN(2)/2)*V53*Y53*VLOOKUP('Données projet'!$B$9,Paramètres!$A$1:$I$89,3,0)*0.475*44/12</f>
        <v>1.542195410318835E-3</v>
      </c>
      <c r="AC53" s="22">
        <f t="shared" si="3"/>
        <v>45.326908877677432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274</v>
      </c>
      <c r="AG53" s="12">
        <f>VLOOKUP(A53,'Données projet'!$A$61:$I$81,9,0)</f>
        <v>13.6</v>
      </c>
      <c r="AH53" s="12">
        <f t="array" ref="AH53">INDEX(AG:AG,MIN(IF(ISNUMBER(AG53:AG249),ROW(AG53:AG249),"")))</f>
        <v>13.6</v>
      </c>
      <c r="AI53" s="13">
        <f>IF('Données projet'!$A$62&gt;35,AI52+AH53-AQ52,IF(A53&lt;'Données projet'!$A$62,$AF$205^A53,IF(A53='Données projet'!$A$62,'Données projet'!$B$62,AI52+AH53-AQ52)))</f>
        <v>274.00000000000017</v>
      </c>
      <c r="AJ53" s="13">
        <f>AI53*VLOOKUP('Données projet'!$B$10,Paramètres!$A$1:$I$89,3,0)*VLOOKUP('Données projet'!$B$10,Paramètres!$A$1:$I$89,5,0)</f>
        <v>200.89680000000016</v>
      </c>
      <c r="AK53" s="13">
        <f t="shared" si="35"/>
        <v>49.941205873360261</v>
      </c>
      <c r="AL53" s="20">
        <f t="shared" si="4"/>
        <v>436.8761935627694</v>
      </c>
      <c r="AM53" s="59">
        <f t="shared" si="5"/>
        <v>730.20952689610272</v>
      </c>
      <c r="AN53" s="59">
        <f ca="1">AVERAGE(OFFSET($AM$3,0,0,'Données projet'!$E$10+1,1))-AVERAGE(OFFSET($H$3,0,0,'Données projet'!$E$10+1,1))</f>
        <v>464.3681853739115</v>
      </c>
      <c r="AO53" s="59">
        <f t="shared" si="36"/>
        <v>272.97841038165217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35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0.215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6.07522983798561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6.07522983798561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174.23639999999992</v>
      </c>
      <c r="BF53" s="13">
        <f t="shared" si="37"/>
        <v>44.03747274965864</v>
      </c>
      <c r="BG53" s="20">
        <f t="shared" si="7"/>
        <v>380.160328372322</v>
      </c>
      <c r="BH53" s="59">
        <f t="shared" si="8"/>
        <v>673.49366170565531</v>
      </c>
      <c r="BI53" s="59">
        <f ca="1">AVERAGE(OFFSET($BH$3,0,0,'Données projet'!$E$11+1,1))-AVERAGE(OFFSET($H$3,0,0,'Données projet'!$E$11+1,1))</f>
        <v>299.10536994156814</v>
      </c>
      <c r="BJ53" s="59">
        <f t="shared" si="38"/>
        <v>292.57799203101769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0.159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0.4</v>
      </c>
      <c r="BP53" s="21">
        <f>EXP(-LN(2)/35)*BP52+(1-EXP(-LN(2)/35))/(LN(2)/35)*BL53*BM53*VLOOKUP('Données projet'!$B$11,Paramètres!$A$1:$I$89,3,0)*0.475*44/12</f>
        <v>6.2345095824900394</v>
      </c>
      <c r="BQ53" s="21">
        <f>EXP(-LN(2)/25)*BQ52+(1-EXP(-LN(2)/25))/(LN(2)/25)*Calculateur!BL53*Calculateur!BN53*VLOOKUP('Données projet'!$B$11,Paramètres!$A$1:$I$89,3,0)*0.475*44/12</f>
        <v>6.5141896126731904</v>
      </c>
      <c r="BR53" s="21">
        <f>EXP(-LN(2)/2)*BR52+(1-EXP(-LN(2)/2))/(LN(2)/2)*BL53*BO53*VLOOKUP('Données projet'!$B$11,Paramètres!$A$1:$I$89,3,0)*0.475*44/12</f>
        <v>6.5158207911009844</v>
      </c>
      <c r="BS53" s="22">
        <f t="shared" si="9"/>
        <v>19.264519986264215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299.10536994156814</v>
      </c>
      <c r="CE53" s="59">
        <f t="shared" si="40"/>
        <v>292.57799203101769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0.159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0.4</v>
      </c>
      <c r="CK53" s="21">
        <f>EXP(-LN(2)/35)*CK52+(1-EXP(-LN(2)/35))/(LN(2)/35)*CG53*CH53*VLOOKUP('Données projet'!$B$12,Paramètres!$A$1:$I$89,3,0)*0.475*44/12</f>
        <v>6.2345095824900394</v>
      </c>
      <c r="CL53" s="21">
        <f>EXP(-LN(2)/25)*CL52+(1-EXP(-LN(2)/25))/(LN(2)/25)*Calculateur!CG53*Calculateur!CI53*VLOOKUP('Données projet'!$B$12,Paramètres!$A$1:$I$89,3,0)*0.475*44/12</f>
        <v>6.5141896126731904</v>
      </c>
      <c r="CM53" s="21">
        <f>EXP(-LN(2)/2)*CM52+(1-EXP(-LN(2)/2))/(LN(2)/2)*CG53*CJ53*VLOOKUP('Données projet'!$B$12,Paramètres!$A$1:$I$89,3,0)*0.475*44/12</f>
        <v>6.5158207911009844</v>
      </c>
      <c r="CN53" s="22">
        <f t="shared" si="12"/>
        <v>19.264519986264215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11.25</v>
      </c>
      <c r="CT53" s="12">
        <f>IF('Données projet'!$A$140&gt;35,CT52+CS53-DB52,IF(A53&lt;'Données projet'!$A$140,$CQ$205^A53,IF(A53='Données projet'!$A$140,'Données projet'!$B$140,CT52+CS53-DB52)))</f>
        <v>209.5</v>
      </c>
      <c r="CU53" s="17">
        <f>CT53*VLOOKUP('Données projet'!$B$13,Paramètres!$A$1:$I$89,3,0)*VLOOKUP('Données projet'!$B$13,Paramètres!$A$1:$I$89,5,0)</f>
        <v>189.5556</v>
      </c>
      <c r="CV53" s="13">
        <f t="shared" si="41"/>
        <v>47.441688934734636</v>
      </c>
      <c r="CW53" s="20">
        <f t="shared" si="13"/>
        <v>412.77027822799613</v>
      </c>
      <c r="CX53" s="59">
        <f t="shared" si="14"/>
        <v>706.10361156132944</v>
      </c>
      <c r="CY53" s="59">
        <f ca="1">AVERAGE(OFFSET($CX$3,0,0,'Données projet'!$E$13+1,1))-AVERAGE(OFFSET($H$3,0,0,'Données projet'!$E$13+1,1))</f>
        <v>528.15559695545812</v>
      </c>
      <c r="CZ53" s="59">
        <f t="shared" si="42"/>
        <v>276.26988364830532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8.3432534517247259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8.3432534517247259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11.25</v>
      </c>
      <c r="DO53" s="12">
        <f>IF('Données projet'!$A$166&gt;35,DO52+DN53-DW52,IF(A53&lt;'Données projet'!$A$166,$DL$205^A53,IF(A53='Données projet'!$A$166,'Données projet'!$B$166,DO52+DN53-DW52)))</f>
        <v>209.5</v>
      </c>
      <c r="DP53" s="17">
        <f>DO53*VLOOKUP('Données projet'!$B$14,Paramètres!$A$1:$I$89,3,0)*VLOOKUP('Données projet'!$B$14,Paramètres!$A$1:$I$89,5,0)</f>
        <v>212.43300000000002</v>
      </c>
      <c r="DQ53" s="13">
        <f t="shared" si="43"/>
        <v>52.466900447770541</v>
      </c>
      <c r="DR53" s="20">
        <f t="shared" si="16"/>
        <v>461.36732661320042</v>
      </c>
      <c r="DS53" s="59">
        <f t="shared" si="17"/>
        <v>754.70065994653373</v>
      </c>
      <c r="DT53" s="59">
        <f ca="1">AVERAGE(OFFSET($DS$3,0,0,'Données projet'!$E$14+1,1))-AVERAGE(OFFSET($H$3,0,0,'Données projet'!$E$14+1,1))</f>
        <v>586.50020405958992</v>
      </c>
      <c r="DU53" s="59">
        <f t="shared" si="44"/>
        <v>304.44184537595294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9.3501978338294371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9.3501978338294371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219</v>
      </c>
      <c r="EH53" s="12">
        <f>VLOOKUP(A53,'Données projet'!$A$191:$I$211,9,0)</f>
        <v>7.2</v>
      </c>
      <c r="EI53" s="12">
        <f t="array" ref="EI53">INDEX(EH:EH,MIN(IF(ISNUMBER(EH53:EH249),ROW(EH53:EH249),"")))</f>
        <v>7.2</v>
      </c>
      <c r="EJ53" s="12">
        <f>IF('Données projet'!$A$192&gt;35,EJ52+EI53-ER52,IF(A53&lt;'Données projet'!$A$192,$EG$205^A53,IF(A53='Données projet'!$A$192,'Données projet'!$B$192,EJ52+EI53-ER52)))</f>
        <v>218.99999999999989</v>
      </c>
      <c r="EK53" s="17">
        <f>EJ53*VLOOKUP('Données projet'!$B$15,Paramètres!$A$1:$I$89,3,0)*VLOOKUP('Données projet'!$B$15,Paramètres!$A$1:$I$89,5,0)</f>
        <v>211.81679999999989</v>
      </c>
      <c r="EL53" s="13">
        <f t="shared" si="45"/>
        <v>52.332402945946782</v>
      </c>
      <c r="EM53" s="20">
        <f t="shared" si="19"/>
        <v>460.05986179752381</v>
      </c>
      <c r="EN53" s="59">
        <f t="shared" si="20"/>
        <v>753.39319513085707</v>
      </c>
      <c r="EO53" s="59">
        <f ca="1">AVERAGE(OFFSET($EN$3,0,0,'Données projet'!$E$15+1,1))-AVERAGE(OFFSET($H$3,0,0,'Données projet'!$E$15+1,1))</f>
        <v>355.72173590705142</v>
      </c>
      <c r="EP53" s="59">
        <f t="shared" si="46"/>
        <v>346.30980704469363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17</v>
      </c>
      <c r="ES53" s="16">
        <f>IF(ISNA(VLOOKUP(A53,'Données projet'!$A$191:$I$211,5,0)),0%,VLOOKUP(A53,'Données projet'!$A$191:$I$211,5,0)*VLOOKUP('Données projet'!$B$15,Paramètres!$A$1:$I$89,7,0))</f>
        <v>0.129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0.4</v>
      </c>
      <c r="EV53" s="21">
        <f>EXP(-LN(2)/35)*EV52+(1-EXP(-LN(2)/35))/(LN(2)/35)*ER53*ES53*VLOOKUP('Données projet'!$B$15,Paramètres!$A$1:$I$89,3,0)*0.475*44/12</f>
        <v>6.1491685338211033</v>
      </c>
      <c r="EW53" s="21">
        <f>EXP(-LN(2)/25)*EW52+(1-EXP(-LN(2)/25))/(LN(2)/25)*Calculateur!ER53*Calculateur!ET53*VLOOKUP('Données projet'!$B$15,Paramètres!$A$1:$I$89,3,0)*0.475*44/12</f>
        <v>6.4250201655148826</v>
      </c>
      <c r="EX53" s="21">
        <f>EXP(-LN(2)/2)*EX52+(1-EXP(-LN(2)/2))/(LN(2)/2)*ER53*EU53*VLOOKUP('Données projet'!$B$15,Paramètres!$A$1:$I$89,3,0)*0.475*44/12</f>
        <v>7.9211939029070777</v>
      </c>
      <c r="EY53" s="22">
        <f t="shared" si="21"/>
        <v>20.495382602243062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219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218.99999999999989</v>
      </c>
      <c r="FF53" s="17">
        <f>FE53*VLOOKUP('Données projet'!$B$16,Paramètres!$A$1:$I$89,3,0)*VLOOKUP('Données projet'!$B$16,Paramètres!$A$1:$I$89,5,0)</f>
        <v>177.6527999999999</v>
      </c>
      <c r="FG53" s="13">
        <f t="shared" si="47"/>
        <v>44.799579155749704</v>
      </c>
      <c r="FH53" s="20">
        <f t="shared" si="22"/>
        <v>387.43789369626387</v>
      </c>
      <c r="FI53" s="59">
        <f t="shared" si="23"/>
        <v>680.77122702959718</v>
      </c>
      <c r="FJ53" s="59">
        <f ca="1">AVERAGE(OFFSET($FI$3,0,0,'Données projet'!$E$16+1,1))-AVERAGE(OFFSET($H$3,0,0,'Données projet'!$E$16+1,1))</f>
        <v>304.26232113495314</v>
      </c>
      <c r="FK53" s="59">
        <f t="shared" si="48"/>
        <v>297.47246687305056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0.159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0.4</v>
      </c>
      <c r="FQ53" s="21">
        <f>EXP(-LN(2)/35)*FQ52+(1-EXP(-LN(2)/35))/(LN(2)/35)*FM53*FN53*VLOOKUP('Données projet'!$B$16,Paramètres!$A$1:$I$89,3,0)*0.475*44/12</f>
        <v>6.3567548684212163</v>
      </c>
      <c r="FR53" s="21">
        <f>EXP(-LN(2)/25)*FR52+(1-EXP(-LN(2)/25))/(LN(2)/25)*Calculateur!FM53*Calculateur!FO53*VLOOKUP('Données projet'!$B$16,Paramètres!$A$1:$I$89,3,0)*0.475*44/12</f>
        <v>6.6419188207648245</v>
      </c>
      <c r="FS53" s="21">
        <f>EXP(-LN(2)/2)*FS52+(1-EXP(-LN(2)/2))/(LN(2)/2)*FM53*FP53*VLOOKUP('Données projet'!$B$16,Paramètres!$A$1:$I$89,3,0)*0.475*44/12</f>
        <v>6.6435819830833553</v>
      </c>
      <c r="FT53" s="22">
        <f t="shared" si="24"/>
        <v>19.642255672269396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209.40000000000009</v>
      </c>
      <c r="O54" s="13">
        <f>N54*VLOOKUP('Données projet'!$B$9,Paramètres!$A$1:$I$89,3,0)*VLOOKUP('Données projet'!$B$9,Paramètres!$A$1:$I$89,5,0)</f>
        <v>182.93184000000011</v>
      </c>
      <c r="P54" s="13">
        <f t="shared" si="33"/>
        <v>45.973851929814685</v>
      </c>
      <c r="Q54" s="20">
        <f t="shared" si="53"/>
        <v>398.67741344442743</v>
      </c>
      <c r="R54" s="59">
        <f t="shared" si="0"/>
        <v>692.01074677776069</v>
      </c>
      <c r="S54" s="59">
        <f ca="1">AVERAGE(OFFSET($R$3,0,0,'Données projet'!$E$9+1,1))-AVERAGE(OFFSET($H$3,0,0,'Données projet'!$E$9+1,1))</f>
        <v>381.72225529388083</v>
      </c>
      <c r="T54" s="59">
        <f t="shared" si="34"/>
        <v>360.05900046417361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27.397632800604118</v>
      </c>
      <c r="AA54" s="21">
        <f>EXP(-LN(2)/25)*AA53+(1-EXP(-LN(2)/25))/(LN(2)/25)*Calculateur!V54*Calculateur!X54*VLOOKUP('Données projet'!$B$9,Paramètres!$A$1:$I$89,3,0)*0.475*44/12</f>
        <v>16.904487305503281</v>
      </c>
      <c r="AB54" s="21">
        <f>EXP(-LN(2)/2)*AB53+(1-EXP(-LN(2)/2))/(LN(2)/2)*V54*Y54*VLOOKUP('Données projet'!$B$9,Paramètres!$A$1:$I$89,3,0)*0.475*44/12</f>
        <v>1.0904968325512183E-3</v>
      </c>
      <c r="AC54" s="22">
        <f t="shared" si="3"/>
        <v>44.303210602939949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</v>
      </c>
      <c r="AI54" s="13">
        <f>IF('Données projet'!$A$62&gt;35,AI53+AH54-AQ53,IF(A54&lt;'Données projet'!$A$62,$AF$205^A54,IF(A54='Données projet'!$A$62,'Données projet'!$B$62,AI53+AH54-AQ53)))</f>
        <v>252.40000000000015</v>
      </c>
      <c r="AJ54" s="13">
        <f>AI54*VLOOKUP('Données projet'!$B$10,Paramètres!$A$1:$I$89,3,0)*VLOOKUP('Données projet'!$B$10,Paramètres!$A$1:$I$89,5,0)</f>
        <v>185.0596800000001</v>
      </c>
      <c r="AK54" s="13">
        <f t="shared" si="35"/>
        <v>46.44604914943055</v>
      </c>
      <c r="AL54" s="20">
        <f t="shared" si="4"/>
        <v>403.20581160192501</v>
      </c>
      <c r="AM54" s="59">
        <f t="shared" si="5"/>
        <v>696.53914493525826</v>
      </c>
      <c r="AN54" s="59">
        <f ca="1">AVERAGE(OFFSET($AM$3,0,0,'Données projet'!$E$10+1,1))-AVERAGE(OFFSET($H$3,0,0,'Données projet'!$E$10+1,1))</f>
        <v>464.3681853739115</v>
      </c>
      <c r="AO54" s="59">
        <f t="shared" si="36"/>
        <v>272.97841038165217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5.909102358583441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5.909102358583441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165.48479999999992</v>
      </c>
      <c r="BF54" s="13">
        <f t="shared" si="37"/>
        <v>42.077190125964002</v>
      </c>
      <c r="BG54" s="20">
        <f t="shared" si="7"/>
        <v>361.5037994693871</v>
      </c>
      <c r="BH54" s="59">
        <f t="shared" si="8"/>
        <v>654.83713280272036</v>
      </c>
      <c r="BI54" s="59">
        <f ca="1">AVERAGE(OFFSET($BH$3,0,0,'Données projet'!$E$11+1,1))-AVERAGE(OFFSET($H$3,0,0,'Données projet'!$E$11+1,1))</f>
        <v>299.10536994156814</v>
      </c>
      <c r="BJ54" s="59">
        <f t="shared" si="38"/>
        <v>292.57799203101769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6.1122546522527719</v>
      </c>
      <c r="BQ54" s="21">
        <f>EXP(-LN(2)/25)*BQ53+(1-EXP(-LN(2)/25))/(LN(2)/25)*Calculateur!BL54*Calculateur!BN54*VLOOKUP('Données projet'!$B$11,Paramètres!$A$1:$I$89,3,0)*0.475*44/12</f>
        <v>6.336058755148299</v>
      </c>
      <c r="BR54" s="21">
        <f>EXP(-LN(2)/2)*BR53+(1-EXP(-LN(2)/2))/(LN(2)/2)*BL54*BO54*VLOOKUP('Données projet'!$B$11,Paramètres!$A$1:$I$89,3,0)*0.475*44/12</f>
        <v>4.6073810663838008</v>
      </c>
      <c r="BS54" s="22">
        <f t="shared" si="9"/>
        <v>17.055694473784872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299.10536994156814</v>
      </c>
      <c r="CE54" s="59">
        <f t="shared" si="40"/>
        <v>292.57799203101769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6.1122546522527719</v>
      </c>
      <c r="CL54" s="21">
        <f>EXP(-LN(2)/25)*CL53+(1-EXP(-LN(2)/25))/(LN(2)/25)*Calculateur!CG54*Calculateur!CI54*VLOOKUP('Données projet'!$B$12,Paramètres!$A$1:$I$89,3,0)*0.475*44/12</f>
        <v>6.336058755148299</v>
      </c>
      <c r="CM54" s="21">
        <f>EXP(-LN(2)/2)*CM53+(1-EXP(-LN(2)/2))/(LN(2)/2)*CG54*CJ54*VLOOKUP('Données projet'!$B$12,Paramètres!$A$1:$I$89,3,0)*0.475*44/12</f>
        <v>4.6073810663838008</v>
      </c>
      <c r="CN54" s="22">
        <f t="shared" si="12"/>
        <v>17.055694473784872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11.25</v>
      </c>
      <c r="CT54" s="12">
        <f>IF('Données projet'!$A$140&gt;35,CT53+CS54-DB53,IF(A54&lt;'Données projet'!$A$140,$CQ$205^A54,IF(A54='Données projet'!$A$140,'Données projet'!$B$140,CT53+CS54-DB53)))</f>
        <v>220.75</v>
      </c>
      <c r="CU54" s="17">
        <f>CT54*VLOOKUP('Données projet'!$B$13,Paramètres!$A$1:$I$89,3,0)*VLOOKUP('Données projet'!$B$13,Paramètres!$A$1:$I$89,5,0)</f>
        <v>199.7346</v>
      </c>
      <c r="CV54" s="13">
        <f t="shared" si="41"/>
        <v>49.685836331348902</v>
      </c>
      <c r="CW54" s="20">
        <f t="shared" si="13"/>
        <v>434.40725994376595</v>
      </c>
      <c r="CX54" s="59">
        <f t="shared" si="14"/>
        <v>727.74059327709926</v>
      </c>
      <c r="CY54" s="59">
        <f ca="1">AVERAGE(OFFSET($CX$3,0,0,'Données projet'!$E$13+1,1))-AVERAGE(OFFSET($H$3,0,0,'Données projet'!$E$13+1,1))</f>
        <v>528.15559695545812</v>
      </c>
      <c r="CZ54" s="59">
        <f t="shared" si="42"/>
        <v>276.26988364830532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8.1151067473346838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8.1151067473346838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11.25</v>
      </c>
      <c r="DO54" s="12">
        <f>IF('Données projet'!$A$166&gt;35,DO53+DN54-DW53,IF(A54&lt;'Données projet'!$A$166,$DL$205^A54,IF(A54='Données projet'!$A$166,'Données projet'!$B$166,DO53+DN54-DW53)))</f>
        <v>220.75</v>
      </c>
      <c r="DP54" s="17">
        <f>DO54*VLOOKUP('Données projet'!$B$14,Paramètres!$A$1:$I$89,3,0)*VLOOKUP('Données projet'!$B$14,Paramètres!$A$1:$I$89,5,0)</f>
        <v>223.84050000000002</v>
      </c>
      <c r="DQ54" s="13">
        <f t="shared" si="43"/>
        <v>54.948756821186457</v>
      </c>
      <c r="DR54" s="20">
        <f t="shared" si="16"/>
        <v>485.55795563023315</v>
      </c>
      <c r="DS54" s="59">
        <f t="shared" si="17"/>
        <v>778.89128896356647</v>
      </c>
      <c r="DT54" s="59">
        <f ca="1">AVERAGE(OFFSET($DS$3,0,0,'Données projet'!$E$14+1,1))-AVERAGE(OFFSET($H$3,0,0,'Données projet'!$E$14+1,1))</f>
        <v>586.50020405958992</v>
      </c>
      <c r="DU54" s="59">
        <f t="shared" si="44"/>
        <v>304.44184537595294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9.0945161823578378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9.0945161823578378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</v>
      </c>
      <c r="EJ54" s="12">
        <f>IF('Données projet'!$A$192&gt;35,EJ53+EI54-ER53,IF(A54&lt;'Données projet'!$A$192,$EG$205^A54,IF(A54='Données projet'!$A$192,'Données projet'!$B$192,EJ53+EI54-ER53)))</f>
        <v>207.99999999999989</v>
      </c>
      <c r="EK54" s="17">
        <f>EJ54*VLOOKUP('Données projet'!$B$15,Paramètres!$A$1:$I$89,3,0)*VLOOKUP('Données projet'!$B$15,Paramètres!$A$1:$I$89,5,0)</f>
        <v>201.1775999999999</v>
      </c>
      <c r="EL54" s="13">
        <f t="shared" si="45"/>
        <v>50.002880070410683</v>
      </c>
      <c r="EM54" s="20">
        <f t="shared" si="19"/>
        <v>437.4726694559651</v>
      </c>
      <c r="EN54" s="59">
        <f t="shared" si="20"/>
        <v>730.80600278929842</v>
      </c>
      <c r="EO54" s="59">
        <f ca="1">AVERAGE(OFFSET($EN$3,0,0,'Données projet'!$E$15+1,1))-AVERAGE(OFFSET($H$3,0,0,'Données projet'!$E$15+1,1))</f>
        <v>355.72173590705142</v>
      </c>
      <c r="EP54" s="59">
        <f t="shared" si="46"/>
        <v>346.30980704469363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6.0285870894953337</v>
      </c>
      <c r="EW54" s="21">
        <f>EXP(-LN(2)/25)*EW53+(1-EXP(-LN(2)/25))/(LN(2)/25)*Calculateur!ER54*Calculateur!ET54*VLOOKUP('Données projet'!$B$15,Paramètres!$A$1:$I$89,3,0)*0.475*44/12</f>
        <v>6.2493276512117522</v>
      </c>
      <c r="EX54" s="21">
        <f>EXP(-LN(2)/2)*EX53+(1-EXP(-LN(2)/2))/(LN(2)/2)*ER54*EU54*VLOOKUP('Données projet'!$B$15,Paramètres!$A$1:$I$89,3,0)*0.475*44/12</f>
        <v>5.6011299238391299</v>
      </c>
      <c r="EY54" s="22">
        <f t="shared" si="21"/>
        <v>17.879044664546214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</v>
      </c>
      <c r="FE54" s="12">
        <f>IF('Données projet'!$A$218&gt;35,FE53+FD54-FM53,IF(A54&lt;'Données projet'!$A$218,$FB$205^A54,IF(A54='Données projet'!$A$218,'Données projet'!$B$218,FE53+FD54-FM53)))</f>
        <v>207.99999999999989</v>
      </c>
      <c r="FF54" s="17">
        <f>FE54*VLOOKUP('Données projet'!$B$16,Paramètres!$A$1:$I$89,3,0)*VLOOKUP('Données projet'!$B$16,Paramètres!$A$1:$I$89,5,0)</f>
        <v>168.72959999999992</v>
      </c>
      <c r="FG54" s="13">
        <f t="shared" si="47"/>
        <v>42.805372152385068</v>
      </c>
      <c r="FH54" s="20">
        <f t="shared" si="22"/>
        <v>368.42340983207049</v>
      </c>
      <c r="FI54" s="59">
        <f t="shared" si="23"/>
        <v>661.7567431654038</v>
      </c>
      <c r="FJ54" s="59">
        <f ca="1">AVERAGE(OFFSET($FI$3,0,0,'Données projet'!$E$16+1,1))-AVERAGE(OFFSET($H$3,0,0,'Données projet'!$E$16+1,1))</f>
        <v>304.26232113495314</v>
      </c>
      <c r="FK54" s="59">
        <f t="shared" si="48"/>
        <v>297.47246687305056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6.2321027826891005</v>
      </c>
      <c r="FR54" s="21">
        <f>EXP(-LN(2)/25)*FR53+(1-EXP(-LN(2)/25))/(LN(2)/25)*Calculateur!FM54*Calculateur!FO54*VLOOKUP('Données projet'!$B$16,Paramètres!$A$1:$I$89,3,0)*0.475*44/12</f>
        <v>6.4602952013276802</v>
      </c>
      <c r="FS54" s="21">
        <f>EXP(-LN(2)/2)*FS53+(1-EXP(-LN(2)/2))/(LN(2)/2)*FM54*FP54*VLOOKUP('Données projet'!$B$16,Paramètres!$A$1:$I$89,3,0)*0.475*44/12</f>
        <v>4.6977218716070119</v>
      </c>
      <c r="FT54" s="22">
        <f t="shared" si="24"/>
        <v>17.390119855623794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216.8000000000001</v>
      </c>
      <c r="O55" s="13">
        <f>N55*VLOOKUP('Données projet'!$B$9,Paramètres!$A$1:$I$89,3,0)*VLOOKUP('Données projet'!$B$9,Paramètres!$A$1:$I$89,5,0)</f>
        <v>189.39648000000011</v>
      </c>
      <c r="P55" s="13">
        <f t="shared" si="33"/>
        <v>47.406498452084548</v>
      </c>
      <c r="Q55" s="20">
        <f t="shared" si="53"/>
        <v>412.43185413738075</v>
      </c>
      <c r="R55" s="59">
        <f t="shared" si="0"/>
        <v>705.76518747071407</v>
      </c>
      <c r="S55" s="59">
        <f ca="1">AVERAGE(OFFSET($R$3,0,0,'Données projet'!$E$9+1,1))-AVERAGE(OFFSET($H$3,0,0,'Données projet'!$E$9+1,1))</f>
        <v>381.72225529388083</v>
      </c>
      <c r="T55" s="59">
        <f t="shared" si="34"/>
        <v>360.05900046417361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26.860381932290213</v>
      </c>
      <c r="AA55" s="21">
        <f>EXP(-LN(2)/25)*AA54+(1-EXP(-LN(2)/25))/(LN(2)/25)*Calculateur!V55*Calculateur!X55*VLOOKUP('Données projet'!$B$9,Paramètres!$A$1:$I$89,3,0)*0.475*44/12</f>
        <v>16.442233211165941</v>
      </c>
      <c r="AB55" s="21">
        <f>EXP(-LN(2)/2)*AB54+(1-EXP(-LN(2)/2))/(LN(2)/2)*V55*Y55*VLOOKUP('Données projet'!$B$9,Paramètres!$A$1:$I$89,3,0)*0.475*44/12</f>
        <v>7.710977051594175E-4</v>
      </c>
      <c r="AC55" s="22">
        <f t="shared" si="3"/>
        <v>43.303386241161313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</v>
      </c>
      <c r="AI55" s="13">
        <f>IF('Données projet'!$A$62&gt;35,AI54+AH55-AQ54,IF(A55&lt;'Données projet'!$A$62,$AF$205^A55,IF(A55='Données projet'!$A$62,'Données projet'!$B$62,AI54+AH55-AQ54)))</f>
        <v>265.80000000000013</v>
      </c>
      <c r="AJ55" s="13">
        <f>AI55*VLOOKUP('Données projet'!$B$10,Paramètres!$A$1:$I$89,3,0)*VLOOKUP('Données projet'!$B$10,Paramètres!$A$1:$I$89,5,0)</f>
        <v>194.88456000000011</v>
      </c>
      <c r="AK55" s="13">
        <f t="shared" si="35"/>
        <v>48.618259190257319</v>
      </c>
      <c r="AL55" s="20">
        <f t="shared" si="4"/>
        <v>424.10074342303164</v>
      </c>
      <c r="AM55" s="59">
        <f t="shared" si="5"/>
        <v>717.4340767563649</v>
      </c>
      <c r="AN55" s="59">
        <f ca="1">AVERAGE(OFFSET($AM$3,0,0,'Données projet'!$E$10+1,1))-AVERAGE(OFFSET($H$3,0,0,'Données projet'!$E$10+1,1))</f>
        <v>464.3681853739115</v>
      </c>
      <c r="AO55" s="59">
        <f t="shared" si="36"/>
        <v>272.97841038165217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5.747517643841789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5.747517643841789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170.25839999999991</v>
      </c>
      <c r="BF55" s="13">
        <f t="shared" si="37"/>
        <v>43.147891472685018</v>
      </c>
      <c r="BG55" s="20">
        <f t="shared" si="7"/>
        <v>371.68262431492622</v>
      </c>
      <c r="BH55" s="59">
        <f t="shared" si="8"/>
        <v>665.01595764825947</v>
      </c>
      <c r="BI55" s="59">
        <f ca="1">AVERAGE(OFFSET($BH$3,0,0,'Données projet'!$E$11+1,1))-AVERAGE(OFFSET($H$3,0,0,'Données projet'!$E$11+1,1))</f>
        <v>299.10536994156814</v>
      </c>
      <c r="BJ55" s="59">
        <f t="shared" si="38"/>
        <v>292.57799203101769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5.9923970666293132</v>
      </c>
      <c r="BQ55" s="21">
        <f>EXP(-LN(2)/25)*BQ54+(1-EXP(-LN(2)/25))/(LN(2)/25)*Calculateur!BL55*Calculateur!BN55*VLOOKUP('Données projet'!$B$11,Paramètres!$A$1:$I$89,3,0)*0.475*44/12</f>
        <v>6.16279889528992</v>
      </c>
      <c r="BR55" s="21">
        <f>EXP(-LN(2)/2)*BR54+(1-EXP(-LN(2)/2))/(LN(2)/2)*BL55*BO55*VLOOKUP('Données projet'!$B$11,Paramètres!$A$1:$I$89,3,0)*0.475*44/12</f>
        <v>3.2579103955504927</v>
      </c>
      <c r="BS55" s="22">
        <f t="shared" si="9"/>
        <v>15.413106357469726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299.10536994156814</v>
      </c>
      <c r="CE55" s="59">
        <f t="shared" si="40"/>
        <v>292.57799203101769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5.9923970666293132</v>
      </c>
      <c r="CL55" s="21">
        <f>EXP(-LN(2)/25)*CL54+(1-EXP(-LN(2)/25))/(LN(2)/25)*Calculateur!CG55*Calculateur!CI55*VLOOKUP('Données projet'!$B$12,Paramètres!$A$1:$I$89,3,0)*0.475*44/12</f>
        <v>6.16279889528992</v>
      </c>
      <c r="CM55" s="21">
        <f>EXP(-LN(2)/2)*CM54+(1-EXP(-LN(2)/2))/(LN(2)/2)*CG55*CJ55*VLOOKUP('Données projet'!$B$12,Paramètres!$A$1:$I$89,3,0)*0.475*44/12</f>
        <v>3.2579103955504927</v>
      </c>
      <c r="CN55" s="22">
        <f t="shared" si="12"/>
        <v>15.413106357469726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232</v>
      </c>
      <c r="CR55" s="12">
        <f>VLOOKUP(A55,'Données projet'!$A$139:$I$159,9,0)</f>
        <v>11.25</v>
      </c>
      <c r="CS55" s="12">
        <f t="array" ref="CS55">INDEX(CR:CR,MIN(IF(ISNUMBER(CR55:CR251),ROW(CR55:CR251),"")))</f>
        <v>11.25</v>
      </c>
      <c r="CT55" s="12">
        <f>IF('Données projet'!$A$140&gt;35,CT54+CS55-DB54,IF(A55&lt;'Données projet'!$A$140,$CQ$205^A55,IF(A55='Données projet'!$A$140,'Données projet'!$B$140,CT54+CS55-DB54)))</f>
        <v>232</v>
      </c>
      <c r="CU55" s="17">
        <f>CT55*VLOOKUP('Données projet'!$B$13,Paramètres!$A$1:$I$89,3,0)*VLOOKUP('Données projet'!$B$13,Paramètres!$A$1:$I$89,5,0)</f>
        <v>209.9136</v>
      </c>
      <c r="CV55" s="13">
        <f t="shared" si="41"/>
        <v>51.916704672341318</v>
      </c>
      <c r="CW55" s="20">
        <f t="shared" si="13"/>
        <v>456.02111397099435</v>
      </c>
      <c r="CX55" s="59">
        <f t="shared" si="14"/>
        <v>749.35444730432766</v>
      </c>
      <c r="CY55" s="59">
        <f ca="1">AVERAGE(OFFSET($CX$3,0,0,'Données projet'!$E$13+1,1))-AVERAGE(OFFSET($H$3,0,0,'Données projet'!$E$13+1,1))</f>
        <v>528.15559695545812</v>
      </c>
      <c r="CZ55" s="59">
        <f t="shared" si="42"/>
        <v>276.26988364830532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63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0.215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21.387964579461087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21.387964579461087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232</v>
      </c>
      <c r="DM55" s="12">
        <f>VLOOKUP(A55,'Données projet'!$A$165:$I$185,9,0)</f>
        <v>11.25</v>
      </c>
      <c r="DN55" s="12">
        <f t="array" ref="DN55">INDEX(DM:DM,MIN(IF(ISNUMBER(DM55:DM251),ROW(DM55:DM251),"")))</f>
        <v>11.25</v>
      </c>
      <c r="DO55" s="12">
        <f>IF('Données projet'!$A$166&gt;35,DO54+DN55-DW54,IF(A55&lt;'Données projet'!$A$166,$DL$205^A55,IF(A55='Données projet'!$A$166,'Données projet'!$B$166,DO54+DN55-DW54)))</f>
        <v>232</v>
      </c>
      <c r="DP55" s="17">
        <f>DO55*VLOOKUP('Données projet'!$B$14,Paramètres!$A$1:$I$89,3,0)*VLOOKUP('Données projet'!$B$14,Paramètres!$A$1:$I$89,5,0)</f>
        <v>235.24800000000002</v>
      </c>
      <c r="DQ55" s="13">
        <f t="shared" si="43"/>
        <v>57.41592756883739</v>
      </c>
      <c r="DR55" s="20">
        <f t="shared" si="16"/>
        <v>509.72300718239177</v>
      </c>
      <c r="DS55" s="59">
        <f t="shared" si="17"/>
        <v>803.05634051572508</v>
      </c>
      <c r="DT55" s="59">
        <f ca="1">AVERAGE(OFFSET($DS$3,0,0,'Données projet'!$E$14+1,1))-AVERAGE(OFFSET($H$3,0,0,'Données projet'!$E$14+1,1))</f>
        <v>586.50020405958992</v>
      </c>
      <c r="DU55" s="59">
        <f t="shared" si="44"/>
        <v>304.44184537595294</v>
      </c>
      <c r="DV55" s="15">
        <f>IF(ISNA(VLOOKUP(A55,'Données projet'!$A$165:$I$185,3,0)),0,VLOOKUP(A55,'Données projet'!$A$165:$I$185,3,0))</f>
        <v>3</v>
      </c>
      <c r="DW55" s="15">
        <f>IF(ISNA(VLOOKUP(A55,'Données projet'!$A$165:$I$185,4,0)),0,VLOOKUP(A55,'Données projet'!$A$165:$I$185,4,0))</f>
        <v>63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0.215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23.969270649396051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23.969270649396051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</v>
      </c>
      <c r="EJ55" s="12">
        <f>IF('Données projet'!$A$192&gt;35,EJ54+EI55-ER54,IF(A55&lt;'Données projet'!$A$192,$EG$205^A55,IF(A55='Données projet'!$A$192,'Données projet'!$B$192,EJ54+EI55-ER54)))</f>
        <v>213.99999999999989</v>
      </c>
      <c r="EK55" s="17">
        <f>EJ55*VLOOKUP('Données projet'!$B$15,Paramètres!$A$1:$I$89,3,0)*VLOOKUP('Données projet'!$B$15,Paramètres!$A$1:$I$89,5,0)</f>
        <v>206.98079999999987</v>
      </c>
      <c r="EL55" s="13">
        <f t="shared" si="45"/>
        <v>51.275259496675744</v>
      </c>
      <c r="EM55" s="20">
        <f t="shared" si="19"/>
        <v>449.79597029004339</v>
      </c>
      <c r="EN55" s="59">
        <f t="shared" si="20"/>
        <v>743.1293036233767</v>
      </c>
      <c r="EO55" s="59">
        <f ca="1">AVERAGE(OFFSET($EN$3,0,0,'Données projet'!$E$15+1,1))-AVERAGE(OFFSET($H$3,0,0,'Données projet'!$E$15+1,1))</f>
        <v>355.72173590705142</v>
      </c>
      <c r="EP55" s="59">
        <f t="shared" si="46"/>
        <v>346.30980704469363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5.910370173745374</v>
      </c>
      <c r="EW55" s="21">
        <f>EXP(-LN(2)/25)*EW54+(1-EXP(-LN(2)/25))/(LN(2)/25)*Calculateur!ER55*Calculateur!ET55*VLOOKUP('Données projet'!$B$15,Paramètres!$A$1:$I$89,3,0)*0.475*44/12</f>
        <v>6.0784394579515091</v>
      </c>
      <c r="EX55" s="21">
        <f>EXP(-LN(2)/2)*EX54+(1-EXP(-LN(2)/2))/(LN(2)/2)*ER55*EU55*VLOOKUP('Données projet'!$B$15,Paramètres!$A$1:$I$89,3,0)*0.475*44/12</f>
        <v>3.9605969514535393</v>
      </c>
      <c r="EY55" s="22">
        <f t="shared" si="21"/>
        <v>15.949406583150422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</v>
      </c>
      <c r="FE55" s="12">
        <f>IF('Données projet'!$A$218&gt;35,FE54+FD55-FM54,IF(A55&lt;'Données projet'!$A$218,$FB$205^A55,IF(A55='Données projet'!$A$218,'Données projet'!$B$218,FE54+FD55-FM54)))</f>
        <v>213.99999999999989</v>
      </c>
      <c r="FF55" s="17">
        <f>FE55*VLOOKUP('Données projet'!$B$16,Paramètres!$A$1:$I$89,3,0)*VLOOKUP('Données projet'!$B$16,Paramètres!$A$1:$I$89,5,0)</f>
        <v>173.59679999999992</v>
      </c>
      <c r="FG55" s="13">
        <f t="shared" si="47"/>
        <v>43.894602908365897</v>
      </c>
      <c r="FH55" s="20">
        <f t="shared" si="22"/>
        <v>378.79752673207048</v>
      </c>
      <c r="FI55" s="59">
        <f t="shared" si="23"/>
        <v>672.13086006540379</v>
      </c>
      <c r="FJ55" s="59">
        <f ca="1">AVERAGE(OFFSET($FI$3,0,0,'Données projet'!$E$16+1,1))-AVERAGE(OFFSET($H$3,0,0,'Données projet'!$E$16+1,1))</f>
        <v>304.26232113495314</v>
      </c>
      <c r="FK55" s="59">
        <f t="shared" si="48"/>
        <v>297.47246687305056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6.1098950483279264</v>
      </c>
      <c r="FR55" s="21">
        <f>EXP(-LN(2)/25)*FR54+(1-EXP(-LN(2)/25))/(LN(2)/25)*Calculateur!FM55*Calculateur!FO55*VLOOKUP('Données projet'!$B$16,Paramètres!$A$1:$I$89,3,0)*0.475*44/12</f>
        <v>6.2836380893152155</v>
      </c>
      <c r="FS55" s="21">
        <f>EXP(-LN(2)/2)*FS54+(1-EXP(-LN(2)/2))/(LN(2)/2)*FM55*FP55*VLOOKUP('Données projet'!$B$16,Paramètres!$A$1:$I$89,3,0)*0.475*44/12</f>
        <v>3.3217909915416781</v>
      </c>
      <c r="FT55" s="22">
        <f t="shared" si="24"/>
        <v>15.715324129184822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224.2000000000001</v>
      </c>
      <c r="O56" s="13">
        <f>N56*VLOOKUP('Données projet'!$B$9,Paramètres!$A$1:$I$89,3,0)*VLOOKUP('Données projet'!$B$9,Paramètres!$A$1:$I$89,5,0)</f>
        <v>195.86112000000011</v>
      </c>
      <c r="P56" s="13">
        <f t="shared" si="33"/>
        <v>48.833463106716465</v>
      </c>
      <c r="Q56" s="20">
        <f t="shared" si="53"/>
        <v>426.17639891086469</v>
      </c>
      <c r="R56" s="59">
        <f t="shared" si="0"/>
        <v>719.50973224419795</v>
      </c>
      <c r="S56" s="59">
        <f ca="1">AVERAGE(OFFSET($R$3,0,0,'Données projet'!$E$9+1,1))-AVERAGE(OFFSET($H$3,0,0,'Données projet'!$E$9+1,1))</f>
        <v>381.72225529388083</v>
      </c>
      <c r="T56" s="59">
        <f t="shared" si="34"/>
        <v>360.05900046417361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26.333666225813271</v>
      </c>
      <c r="AA56" s="21">
        <f>EXP(-LN(2)/25)*AA55+(1-EXP(-LN(2)/25))/(LN(2)/25)*Calculateur!V56*Calculateur!X56*VLOOKUP('Données projet'!$B$9,Paramètres!$A$1:$I$89,3,0)*0.475*44/12</f>
        <v>15.992619479347143</v>
      </c>
      <c r="AB56" s="21">
        <f>EXP(-LN(2)/2)*AB55+(1-EXP(-LN(2)/2))/(LN(2)/2)*V56*Y56*VLOOKUP('Données projet'!$B$9,Paramètres!$A$1:$I$89,3,0)*0.475*44/12</f>
        <v>5.4524841627560917E-4</v>
      </c>
      <c r="AC56" s="22">
        <f t="shared" si="3"/>
        <v>42.326830953576689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</v>
      </c>
      <c r="AI56" s="13">
        <f>IF('Données projet'!$A$62&gt;35,AI55+AH56-AQ55,IF(A56&lt;'Données projet'!$A$62,$AF$205^A56,IF(A56='Données projet'!$A$62,'Données projet'!$B$62,AI55+AH56-AQ55)))</f>
        <v>279.2000000000001</v>
      </c>
      <c r="AJ56" s="13">
        <f>AI56*VLOOKUP('Données projet'!$B$10,Paramètres!$A$1:$I$89,3,0)*VLOOKUP('Données projet'!$B$10,Paramètres!$A$1:$I$89,5,0)</f>
        <v>204.70944000000009</v>
      </c>
      <c r="AK56" s="13">
        <f t="shared" si="35"/>
        <v>50.777753970997388</v>
      </c>
      <c r="AL56" s="20">
        <f t="shared" si="4"/>
        <v>444.97352949948726</v>
      </c>
      <c r="AM56" s="59">
        <f t="shared" si="5"/>
        <v>738.30686283282057</v>
      </c>
      <c r="AN56" s="59">
        <f ca="1">AVERAGE(OFFSET($AM$3,0,0,'Données projet'!$E$10+1,1))-AVERAGE(OFFSET($H$3,0,0,'Données projet'!$E$10+1,1))</f>
        <v>464.3681853739115</v>
      </c>
      <c r="AO56" s="59">
        <f t="shared" si="36"/>
        <v>272.97841038165217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5.5903514716221183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5.5903514716221183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175.03199999999993</v>
      </c>
      <c r="BF56" s="13">
        <f t="shared" si="37"/>
        <v>44.215103743191008</v>
      </c>
      <c r="BG56" s="20">
        <f t="shared" si="7"/>
        <v>381.85537235272426</v>
      </c>
      <c r="BH56" s="59">
        <f t="shared" si="8"/>
        <v>675.18870568605757</v>
      </c>
      <c r="BI56" s="59">
        <f ca="1">AVERAGE(OFFSET($BH$3,0,0,'Données projet'!$E$11+1,1))-AVERAGE(OFFSET($H$3,0,0,'Données projet'!$E$11+1,1))</f>
        <v>299.10536994156814</v>
      </c>
      <c r="BJ56" s="59">
        <f t="shared" si="38"/>
        <v>292.57799203101769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5.8748898151540212</v>
      </c>
      <c r="BQ56" s="21">
        <f>EXP(-LN(2)/25)*BQ55+(1-EXP(-LN(2)/25))/(LN(2)/25)*Calculateur!BL56*Calculateur!BN56*VLOOKUP('Données projet'!$B$11,Paramètres!$A$1:$I$89,3,0)*0.475*44/12</f>
        <v>5.9942768354107088</v>
      </c>
      <c r="BR56" s="21">
        <f>EXP(-LN(2)/2)*BR55+(1-EXP(-LN(2)/2))/(LN(2)/2)*BL56*BO56*VLOOKUP('Données projet'!$B$11,Paramètres!$A$1:$I$89,3,0)*0.475*44/12</f>
        <v>2.3036905331919009</v>
      </c>
      <c r="BS56" s="22">
        <f t="shared" si="9"/>
        <v>14.17285718375663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299.10536994156814</v>
      </c>
      <c r="CE56" s="59">
        <f t="shared" si="40"/>
        <v>292.57799203101769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5.8748898151540212</v>
      </c>
      <c r="CL56" s="21">
        <f>EXP(-LN(2)/25)*CL55+(1-EXP(-LN(2)/25))/(LN(2)/25)*Calculateur!CG56*Calculateur!CI56*VLOOKUP('Données projet'!$B$12,Paramètres!$A$1:$I$89,3,0)*0.475*44/12</f>
        <v>5.9942768354107088</v>
      </c>
      <c r="CM56" s="21">
        <f>EXP(-LN(2)/2)*CM55+(1-EXP(-LN(2)/2))/(LN(2)/2)*CG56*CJ56*VLOOKUP('Données projet'!$B$12,Paramètres!$A$1:$I$89,3,0)*0.475*44/12</f>
        <v>2.3036905331919009</v>
      </c>
      <c r="CN56" s="22">
        <f t="shared" si="12"/>
        <v>14.17285718375663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10.125</v>
      </c>
      <c r="CT56" s="12">
        <f>IF('Données projet'!$A$140&gt;35,CT55+CS56-DB55,IF(A56&lt;'Données projet'!$A$140,$CQ$205^A56,IF(A56='Données projet'!$A$140,'Données projet'!$B$140,CT55+CS56-DB55)))</f>
        <v>179.125</v>
      </c>
      <c r="CU56" s="17">
        <f>CT56*VLOOKUP('Données projet'!$B$13,Paramètres!$A$1:$I$89,3,0)*VLOOKUP('Données projet'!$B$13,Paramètres!$A$1:$I$89,5,0)</f>
        <v>162.07230000000001</v>
      </c>
      <c r="CV56" s="13">
        <f t="shared" si="41"/>
        <v>41.309577807279609</v>
      </c>
      <c r="CW56" s="20">
        <f t="shared" si="13"/>
        <v>354.223437181012</v>
      </c>
      <c r="CX56" s="59">
        <f t="shared" si="14"/>
        <v>647.55677051434532</v>
      </c>
      <c r="CY56" s="59">
        <f ca="1">AVERAGE(OFFSET($CX$3,0,0,'Données projet'!$E$13+1,1))-AVERAGE(OFFSET($H$3,0,0,'Données projet'!$E$13+1,1))</f>
        <v>528.15559695545812</v>
      </c>
      <c r="CZ56" s="59">
        <f t="shared" si="42"/>
        <v>276.26988364830532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20.803109563291549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20.803109563291549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10.125</v>
      </c>
      <c r="DO56" s="12">
        <f>IF('Données projet'!$A$166&gt;35,DO55+DN56-DW55,IF(A56&lt;'Données projet'!$A$166,$DL$205^A56,IF(A56='Données projet'!$A$166,'Données projet'!$B$166,DO55+DN56-DW55)))</f>
        <v>179.125</v>
      </c>
      <c r="DP56" s="17">
        <f>DO56*VLOOKUP('Données projet'!$B$14,Paramètres!$A$1:$I$89,3,0)*VLOOKUP('Données projet'!$B$14,Paramètres!$A$1:$I$89,5,0)</f>
        <v>181.63275000000002</v>
      </c>
      <c r="DQ56" s="13">
        <f t="shared" si="43"/>
        <v>45.685251832742189</v>
      </c>
      <c r="DR56" s="20">
        <f t="shared" si="16"/>
        <v>395.91218652535935</v>
      </c>
      <c r="DS56" s="59">
        <f t="shared" si="17"/>
        <v>689.24551985869266</v>
      </c>
      <c r="DT56" s="59">
        <f ca="1">AVERAGE(OFFSET($DS$3,0,0,'Données projet'!$E$14+1,1))-AVERAGE(OFFSET($H$3,0,0,'Données projet'!$E$14+1,1))</f>
        <v>586.50020405958992</v>
      </c>
      <c r="DU56" s="59">
        <f t="shared" si="44"/>
        <v>304.44184537595294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23.313829682999156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23.313829682999156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</v>
      </c>
      <c r="EJ56" s="12">
        <f>IF('Données projet'!$A$192&gt;35,EJ55+EI56-ER55,IF(A56&lt;'Données projet'!$A$192,$EG$205^A56,IF(A56='Données projet'!$A$192,'Données projet'!$B$192,EJ55+EI56-ER55)))</f>
        <v>219.99999999999989</v>
      </c>
      <c r="EK56" s="17">
        <f>EJ56*VLOOKUP('Données projet'!$B$15,Paramètres!$A$1:$I$89,3,0)*VLOOKUP('Données projet'!$B$15,Paramètres!$A$1:$I$89,5,0)</f>
        <v>212.78399999999988</v>
      </c>
      <c r="EL56" s="13">
        <f t="shared" si="45"/>
        <v>52.543492641808065</v>
      </c>
      <c r="EM56" s="20">
        <f t="shared" si="19"/>
        <v>462.11204968448214</v>
      </c>
      <c r="EN56" s="59">
        <f t="shared" si="20"/>
        <v>755.4453830178154</v>
      </c>
      <c r="EO56" s="59">
        <f ca="1">AVERAGE(OFFSET($EN$3,0,0,'Données projet'!$E$15+1,1))-AVERAGE(OFFSET($H$3,0,0,'Données projet'!$E$15+1,1))</f>
        <v>355.72173590705142</v>
      </c>
      <c r="EP56" s="59">
        <f t="shared" si="46"/>
        <v>346.30980704469363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5.7944714196080715</v>
      </c>
      <c r="EW56" s="21">
        <f>EXP(-LN(2)/25)*EW55+(1-EXP(-LN(2)/25))/(LN(2)/25)*Calculateur!ER56*Calculateur!ET56*VLOOKUP('Données projet'!$B$15,Paramètres!$A$1:$I$89,3,0)*0.475*44/12</f>
        <v>5.9122242113225862</v>
      </c>
      <c r="EX56" s="21">
        <f>EXP(-LN(2)/2)*EX55+(1-EXP(-LN(2)/2))/(LN(2)/2)*ER56*EU56*VLOOKUP('Données projet'!$B$15,Paramètres!$A$1:$I$89,3,0)*0.475*44/12</f>
        <v>2.8005649619195654</v>
      </c>
      <c r="EY56" s="22">
        <f t="shared" si="21"/>
        <v>14.507260592850223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</v>
      </c>
      <c r="FE56" s="12">
        <f>IF('Données projet'!$A$218&gt;35,FE55+FD56-FM55,IF(A56&lt;'Données projet'!$A$218,$FB$205^A56,IF(A56='Données projet'!$A$218,'Données projet'!$B$218,FE55+FD56-FM55)))</f>
        <v>219.99999999999989</v>
      </c>
      <c r="FF56" s="17">
        <f>FE56*VLOOKUP('Données projet'!$B$16,Paramètres!$A$1:$I$89,3,0)*VLOOKUP('Données projet'!$B$16,Paramètres!$A$1:$I$89,5,0)</f>
        <v>178.46399999999991</v>
      </c>
      <c r="FG56" s="13">
        <f t="shared" si="47"/>
        <v>44.980284206661821</v>
      </c>
      <c r="FH56" s="20">
        <f t="shared" si="22"/>
        <v>389.16546165993583</v>
      </c>
      <c r="FI56" s="59">
        <f t="shared" si="23"/>
        <v>682.49879499326914</v>
      </c>
      <c r="FJ56" s="59">
        <f ca="1">AVERAGE(OFFSET($FI$3,0,0,'Données projet'!$E$16+1,1))-AVERAGE(OFFSET($H$3,0,0,'Données projet'!$E$16+1,1))</f>
        <v>304.26232113495314</v>
      </c>
      <c r="FK56" s="59">
        <f t="shared" si="48"/>
        <v>297.47246687305056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5.9900837330982171</v>
      </c>
      <c r="FR56" s="21">
        <f>EXP(-LN(2)/25)*FR55+(1-EXP(-LN(2)/25))/(LN(2)/25)*Calculateur!FM56*Calculateur!FO56*VLOOKUP('Données projet'!$B$16,Paramètres!$A$1:$I$89,3,0)*0.475*44/12</f>
        <v>6.111811675320725</v>
      </c>
      <c r="FS56" s="21">
        <f>EXP(-LN(2)/2)*FS55+(1-EXP(-LN(2)/2))/(LN(2)/2)*FM56*FP56*VLOOKUP('Données projet'!$B$16,Paramètres!$A$1:$I$89,3,0)*0.475*44/12</f>
        <v>2.3488609358035064</v>
      </c>
      <c r="FT56" s="22">
        <f t="shared" si="24"/>
        <v>14.450756344222448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231.60000000000011</v>
      </c>
      <c r="O57" s="13">
        <f>N57*VLOOKUP('Données projet'!$B$9,Paramètres!$A$1:$I$89,3,0)*VLOOKUP('Données projet'!$B$9,Paramètres!$A$1:$I$89,5,0)</f>
        <v>202.32576000000014</v>
      </c>
      <c r="P57" s="13">
        <f t="shared" si="33"/>
        <v>50.254954935552938</v>
      </c>
      <c r="Q57" s="20">
        <f t="shared" si="53"/>
        <v>439.91141184608824</v>
      </c>
      <c r="R57" s="59">
        <f t="shared" si="0"/>
        <v>733.24474517942156</v>
      </c>
      <c r="S57" s="59">
        <f ca="1">AVERAGE(OFFSET($R$3,0,0,'Données projet'!$E$9+1,1))-AVERAGE(OFFSET($H$3,0,0,'Données projet'!$E$9+1,1))</f>
        <v>381.72225529388083</v>
      </c>
      <c r="T57" s="59">
        <f t="shared" si="34"/>
        <v>360.05900046417361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25.817279093075484</v>
      </c>
      <c r="AA57" s="21">
        <f>EXP(-LN(2)/25)*AA56+(1-EXP(-LN(2)/25))/(LN(2)/25)*Calculateur!V57*Calculateur!X57*VLOOKUP('Données projet'!$B$9,Paramètres!$A$1:$I$89,3,0)*0.475*44/12</f>
        <v>15.555300458669088</v>
      </c>
      <c r="AB57" s="21">
        <f>EXP(-LN(2)/2)*AB56+(1-EXP(-LN(2)/2))/(LN(2)/2)*V57*Y57*VLOOKUP('Données projet'!$B$9,Paramètres!$A$1:$I$89,3,0)*0.475*44/12</f>
        <v>3.8554885257970875E-4</v>
      </c>
      <c r="AC57" s="22">
        <f t="shared" si="3"/>
        <v>41.372965100597149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</v>
      </c>
      <c r="AI57" s="13">
        <f>IF('Données projet'!$A$62&gt;35,AI56+AH57-AQ56,IF(A57&lt;'Données projet'!$A$62,$AF$205^A57,IF(A57='Données projet'!$A$62,'Données projet'!$B$62,AI56+AH57-AQ56)))</f>
        <v>292.60000000000008</v>
      </c>
      <c r="AJ57" s="13">
        <f>AI57*VLOOKUP('Données projet'!$B$10,Paramètres!$A$1:$I$89,3,0)*VLOOKUP('Données projet'!$B$10,Paramètres!$A$1:$I$89,5,0)</f>
        <v>214.53432000000004</v>
      </c>
      <c r="AK57" s="13">
        <f t="shared" si="35"/>
        <v>52.925213420081342</v>
      </c>
      <c r="AL57" s="20">
        <f t="shared" si="4"/>
        <v>465.82535403997502</v>
      </c>
      <c r="AM57" s="59">
        <f t="shared" si="5"/>
        <v>759.15868737330834</v>
      </c>
      <c r="AN57" s="59">
        <f ca="1">AVERAGE(OFFSET($AM$3,0,0,'Données projet'!$E$10+1,1))-AVERAGE(OFFSET($H$3,0,0,'Données projet'!$E$10+1,1))</f>
        <v>464.3681853739115</v>
      </c>
      <c r="AO57" s="59">
        <f t="shared" si="36"/>
        <v>272.97841038165217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5.4374830166468042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5.4374830166468042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179.80559999999991</v>
      </c>
      <c r="BF57" s="13">
        <f t="shared" si="37"/>
        <v>45.278933028529984</v>
      </c>
      <c r="BG57" s="20">
        <f t="shared" si="7"/>
        <v>392.02222835802286</v>
      </c>
      <c r="BH57" s="59">
        <f t="shared" si="8"/>
        <v>685.35556169135612</v>
      </c>
      <c r="BI57" s="59">
        <f ca="1">AVERAGE(OFFSET($BH$3,0,0,'Données projet'!$E$11+1,1))-AVERAGE(OFFSET($H$3,0,0,'Données projet'!$E$11+1,1))</f>
        <v>299.10536994156814</v>
      </c>
      <c r="BJ57" s="59">
        <f t="shared" si="38"/>
        <v>292.57799203101769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5.759686809207814</v>
      </c>
      <c r="BQ57" s="21">
        <f>EXP(-LN(2)/25)*BQ56+(1-EXP(-LN(2)/25))/(LN(2)/25)*Calculateur!BL57*Calculateur!BN57*VLOOKUP('Données projet'!$B$11,Paramètres!$A$1:$I$89,3,0)*0.475*44/12</f>
        <v>5.8303630201210845</v>
      </c>
      <c r="BR57" s="21">
        <f>EXP(-LN(2)/2)*BR56+(1-EXP(-LN(2)/2))/(LN(2)/2)*BL57*BO57*VLOOKUP('Données projet'!$B$11,Paramètres!$A$1:$I$89,3,0)*0.475*44/12</f>
        <v>1.6289551977752466</v>
      </c>
      <c r="BS57" s="22">
        <f t="shared" si="9"/>
        <v>13.219005027104144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299.10536994156814</v>
      </c>
      <c r="CE57" s="59">
        <f t="shared" si="40"/>
        <v>292.57799203101769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5.759686809207814</v>
      </c>
      <c r="CL57" s="21">
        <f>EXP(-LN(2)/25)*CL56+(1-EXP(-LN(2)/25))/(LN(2)/25)*Calculateur!CG57*Calculateur!CI57*VLOOKUP('Données projet'!$B$12,Paramètres!$A$1:$I$89,3,0)*0.475*44/12</f>
        <v>5.8303630201210845</v>
      </c>
      <c r="CM57" s="21">
        <f>EXP(-LN(2)/2)*CM56+(1-EXP(-LN(2)/2))/(LN(2)/2)*CG57*CJ57*VLOOKUP('Données projet'!$B$12,Paramètres!$A$1:$I$89,3,0)*0.475*44/12</f>
        <v>1.6289551977752466</v>
      </c>
      <c r="CN57" s="22">
        <f t="shared" si="12"/>
        <v>13.219005027104144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10.125</v>
      </c>
      <c r="CT57" s="12">
        <f>IF('Données projet'!$A$140&gt;35,CT56+CS57-DB56,IF(A57&lt;'Données projet'!$A$140,$CQ$205^A57,IF(A57='Données projet'!$A$140,'Données projet'!$B$140,CT56+CS57-DB56)))</f>
        <v>189.25</v>
      </c>
      <c r="CU57" s="17">
        <f>CT57*VLOOKUP('Données projet'!$B$13,Paramètres!$A$1:$I$89,3,0)*VLOOKUP('Données projet'!$B$13,Paramètres!$A$1:$I$89,5,0)</f>
        <v>171.23339999999999</v>
      </c>
      <c r="CV57" s="13">
        <f t="shared" si="41"/>
        <v>43.366147824369882</v>
      </c>
      <c r="CW57" s="20">
        <f t="shared" si="13"/>
        <v>373.76087912744418</v>
      </c>
      <c r="CX57" s="59">
        <f t="shared" si="14"/>
        <v>667.0942124607775</v>
      </c>
      <c r="CY57" s="59">
        <f ca="1">AVERAGE(OFFSET($CX$3,0,0,'Données projet'!$E$13+1,1))-AVERAGE(OFFSET($H$3,0,0,'Données projet'!$E$13+1,1))</f>
        <v>528.15559695545812</v>
      </c>
      <c r="CZ57" s="59">
        <f t="shared" si="42"/>
        <v>276.26988364830532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20.234247438295355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20.234247438295355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10.125</v>
      </c>
      <c r="DO57" s="12">
        <f>IF('Données projet'!$A$166&gt;35,DO56+DN57-DW56,IF(A57&lt;'Données projet'!$A$166,$DL$205^A57,IF(A57='Données projet'!$A$166,'Données projet'!$B$166,DO56+DN57-DW56)))</f>
        <v>189.25</v>
      </c>
      <c r="DP57" s="17">
        <f>DO57*VLOOKUP('Données projet'!$B$14,Paramètres!$A$1:$I$89,3,0)*VLOOKUP('Données projet'!$B$14,Paramètres!$A$1:$I$89,5,0)</f>
        <v>191.89950000000002</v>
      </c>
      <c r="DQ57" s="13">
        <f t="shared" si="43"/>
        <v>47.959661887978321</v>
      </c>
      <c r="DR57" s="20">
        <f t="shared" si="16"/>
        <v>417.75470695489565</v>
      </c>
      <c r="DS57" s="59">
        <f t="shared" si="17"/>
        <v>711.08804028822897</v>
      </c>
      <c r="DT57" s="59">
        <f ca="1">AVERAGE(OFFSET($DS$3,0,0,'Données projet'!$E$14+1,1))-AVERAGE(OFFSET($H$3,0,0,'Données projet'!$E$14+1,1))</f>
        <v>586.50020405958992</v>
      </c>
      <c r="DU57" s="59">
        <f t="shared" si="44"/>
        <v>304.44184537595294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22.676311784296526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22.676311784296526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</v>
      </c>
      <c r="EJ57" s="12">
        <f>IF('Données projet'!$A$192&gt;35,EJ56+EI57-ER56,IF(A57&lt;'Données projet'!$A$192,$EG$205^A57,IF(A57='Données projet'!$A$192,'Données projet'!$B$192,EJ56+EI57-ER56)))</f>
        <v>225.99999999999989</v>
      </c>
      <c r="EK57" s="17">
        <f>EJ57*VLOOKUP('Données projet'!$B$15,Paramètres!$A$1:$I$89,3,0)*VLOOKUP('Données projet'!$B$15,Paramètres!$A$1:$I$89,5,0)</f>
        <v>218.58719999999988</v>
      </c>
      <c r="EL57" s="13">
        <f t="shared" si="45"/>
        <v>53.807705580242128</v>
      </c>
      <c r="EM57" s="20">
        <f t="shared" si="19"/>
        <v>474.42112721892153</v>
      </c>
      <c r="EN57" s="59">
        <f t="shared" si="20"/>
        <v>767.75446055225484</v>
      </c>
      <c r="EO57" s="59">
        <f ca="1">AVERAGE(OFFSET($EN$3,0,0,'Données projet'!$E$15+1,1))-AVERAGE(OFFSET($H$3,0,0,'Données projet'!$E$15+1,1))</f>
        <v>355.72173590705142</v>
      </c>
      <c r="EP57" s="59">
        <f t="shared" si="46"/>
        <v>346.30980704469363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5.680845369348142</v>
      </c>
      <c r="EW57" s="21">
        <f>EXP(-LN(2)/25)*EW56+(1-EXP(-LN(2)/25))/(LN(2)/25)*Calculateur!ER57*Calculateur!ET57*VLOOKUP('Données projet'!$B$15,Paramètres!$A$1:$I$89,3,0)*0.475*44/12</f>
        <v>5.7505541293536115</v>
      </c>
      <c r="EX57" s="21">
        <f>EXP(-LN(2)/2)*EX56+(1-EXP(-LN(2)/2))/(LN(2)/2)*ER57*EU57*VLOOKUP('Données projet'!$B$15,Paramètres!$A$1:$I$89,3,0)*0.475*44/12</f>
        <v>1.9802984757267701</v>
      </c>
      <c r="EY57" s="22">
        <f t="shared" si="21"/>
        <v>13.411697974428524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</v>
      </c>
      <c r="FE57" s="12">
        <f>IF('Données projet'!$A$218&gt;35,FE56+FD57-FM56,IF(A57&lt;'Données projet'!$A$218,$FB$205^A57,IF(A57='Données projet'!$A$218,'Données projet'!$B$218,FE56+FD57-FM56)))</f>
        <v>225.99999999999989</v>
      </c>
      <c r="FF57" s="17">
        <f>FE57*VLOOKUP('Données projet'!$B$16,Paramètres!$A$1:$I$89,3,0)*VLOOKUP('Données projet'!$B$16,Paramètres!$A$1:$I$89,5,0)</f>
        <v>183.33119999999991</v>
      </c>
      <c r="FG57" s="13">
        <f t="shared" si="47"/>
        <v>46.062523974317784</v>
      </c>
      <c r="FH57" s="20">
        <f t="shared" si="22"/>
        <v>399.52740258860331</v>
      </c>
      <c r="FI57" s="59">
        <f t="shared" si="23"/>
        <v>692.86073592193657</v>
      </c>
      <c r="FJ57" s="59">
        <f ca="1">AVERAGE(OFFSET($FI$3,0,0,'Données projet'!$E$16+1,1))-AVERAGE(OFFSET($H$3,0,0,'Données projet'!$E$16+1,1))</f>
        <v>304.26232113495314</v>
      </c>
      <c r="FK57" s="59">
        <f t="shared" si="48"/>
        <v>297.47246687305056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5.8726218446824765</v>
      </c>
      <c r="FR57" s="21">
        <f>EXP(-LN(2)/25)*FR56+(1-EXP(-LN(2)/25))/(LN(2)/25)*Calculateur!FM57*Calculateur!FO57*VLOOKUP('Données projet'!$B$16,Paramètres!$A$1:$I$89,3,0)*0.475*44/12</f>
        <v>5.9446838636528723</v>
      </c>
      <c r="FS57" s="21">
        <f>EXP(-LN(2)/2)*FS56+(1-EXP(-LN(2)/2))/(LN(2)/2)*FM57*FP57*VLOOKUP('Données projet'!$B$16,Paramètres!$A$1:$I$89,3,0)*0.475*44/12</f>
        <v>1.6608954957708393</v>
      </c>
      <c r="FT57" s="22">
        <f t="shared" si="24"/>
        <v>13.478201204106188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239.00000000000011</v>
      </c>
      <c r="O58" s="13">
        <f>N58*VLOOKUP('Données projet'!$B$9,Paramètres!$A$1:$I$89,3,0)*VLOOKUP('Données projet'!$B$9,Paramètres!$A$1:$I$89,5,0)</f>
        <v>208.79040000000015</v>
      </c>
      <c r="P58" s="13">
        <f t="shared" si="33"/>
        <v>51.671168863475195</v>
      </c>
      <c r="Q58" s="20">
        <f t="shared" si="53"/>
        <v>453.63723243721955</v>
      </c>
      <c r="R58" s="59">
        <f t="shared" si="0"/>
        <v>746.97056577055287</v>
      </c>
      <c r="S58" s="59">
        <f ca="1">AVERAGE(OFFSET($R$3,0,0,'Données projet'!$E$9+1,1))-AVERAGE(OFFSET($H$3,0,0,'Données projet'!$E$9+1,1))</f>
        <v>381.72225529388083</v>
      </c>
      <c r="T58" s="59">
        <f t="shared" si="34"/>
        <v>360.05900046417361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26</v>
      </c>
      <c r="W58" s="16">
        <f>IF(ISNA(VLOOKUP(A58,'Données projet'!$A$35:$I$55,5,0)),0%,VLOOKUP(A58,'Données projet'!$A$35:$I$55,5,0)*VLOOKUP('Données projet'!$B$9,Paramètres!$A$1:$I$89,7,0))</f>
        <v>0.30099999999999999</v>
      </c>
      <c r="X58" s="16">
        <f>IF(ISNA(VLOOKUP(A58,'Données projet'!$A$35:$I$55,6,0)),0%,VLOOKUP(A58,'Données projet'!$A$35:$I$55,6,0)*VLOOKUP('Données projet'!$B$9,Paramètres!$A$1:$I$89,7,0))</f>
        <v>4.3000000000000003E-2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32.868890812826081</v>
      </c>
      <c r="AA58" s="21">
        <f>EXP(-LN(2)/25)*AA57+(1-EXP(-LN(2)/25))/(LN(2)/25)*Calculateur!V58*Calculateur!X58*VLOOKUP('Données projet'!$B$9,Paramètres!$A$1:$I$89,3,0)*0.475*44/12</f>
        <v>16.205384891141854</v>
      </c>
      <c r="AB58" s="21">
        <f>EXP(-LN(2)/2)*AB57+(1-EXP(-LN(2)/2))/(LN(2)/2)*V58*Y58*VLOOKUP('Données projet'!$B$9,Paramètres!$A$1:$I$89,3,0)*0.475*44/12</f>
        <v>2.7262420813780458E-4</v>
      </c>
      <c r="AC58" s="22">
        <f t="shared" si="3"/>
        <v>49.074548328176071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306</v>
      </c>
      <c r="AG58" s="12">
        <f>VLOOKUP(A58,'Données projet'!$A$61:$I$81,9,0)</f>
        <v>13.4</v>
      </c>
      <c r="AH58" s="12">
        <f t="array" ref="AH58">INDEX(AG:AG,MIN(IF(ISNUMBER(AG58:AG254),ROW(AG58:AG254),"")))</f>
        <v>13.4</v>
      </c>
      <c r="AI58" s="13">
        <f>IF('Données projet'!$A$62&gt;35,AI57+AH58-AQ57,IF(A58&lt;'Données projet'!$A$62,$AF$205^A58,IF(A58='Données projet'!$A$62,'Données projet'!$B$62,AI57+AH58-AQ57)))</f>
        <v>306.00000000000006</v>
      </c>
      <c r="AJ58" s="13">
        <f>AI58*VLOOKUP('Données projet'!$B$10,Paramètres!$A$1:$I$89,3,0)*VLOOKUP('Données projet'!$B$10,Paramètres!$A$1:$I$89,5,0)</f>
        <v>224.35920000000004</v>
      </c>
      <c r="AK58" s="13">
        <f t="shared" si="35"/>
        <v>55.061251669487255</v>
      </c>
      <c r="AL58" s="20">
        <f t="shared" si="4"/>
        <v>486.65728665769035</v>
      </c>
      <c r="AM58" s="59">
        <f t="shared" si="5"/>
        <v>779.99061999102366</v>
      </c>
      <c r="AN58" s="59">
        <f ca="1">AVERAGE(OFFSET($AM$3,0,0,'Données projet'!$E$10+1,1))-AVERAGE(OFFSET($H$3,0,0,'Données projet'!$E$10+1,1))</f>
        <v>464.3681853739115</v>
      </c>
      <c r="AO58" s="59">
        <f t="shared" si="36"/>
        <v>272.97841038165217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0.215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11.364024595597403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11.364024595597403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184.57919999999993</v>
      </c>
      <c r="BF58" s="13">
        <f t="shared" si="37"/>
        <v>46.339479465836618</v>
      </c>
      <c r="BG58" s="20">
        <f t="shared" si="7"/>
        <v>402.18336673633195</v>
      </c>
      <c r="BH58" s="59">
        <f t="shared" si="8"/>
        <v>695.51670006966526</v>
      </c>
      <c r="BI58" s="59">
        <f ca="1">AVERAGE(OFFSET($BH$3,0,0,'Données projet'!$E$11+1,1))-AVERAGE(OFFSET($H$3,0,0,'Données projet'!$E$11+1,1))</f>
        <v>299.10536994156814</v>
      </c>
      <c r="BJ58" s="59">
        <f t="shared" si="38"/>
        <v>292.57799203101769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0.26500000000000001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0.3</v>
      </c>
      <c r="BP58" s="21">
        <f>EXP(-LN(2)/35)*BP57+(1-EXP(-LN(2)/35))/(LN(2)/35)*BL58*BM58*VLOOKUP('Données projet'!$B$11,Paramètres!$A$1:$I$89,3,0)*0.475*44/12</f>
        <v>8.6766625099211669</v>
      </c>
      <c r="BQ58" s="21">
        <f>EXP(-LN(2)/25)*BQ57+(1-EXP(-LN(2)/25))/(LN(2)/25)*Calculateur!BL58*Calculateur!BN58*VLOOKUP('Données projet'!$B$11,Paramètres!$A$1:$I$89,3,0)*0.475*44/12</f>
        <v>5.6709314367304078</v>
      </c>
      <c r="BR58" s="21">
        <f>EXP(-LN(2)/2)*BR57+(1-EXP(-LN(2)/2))/(LN(2)/2)*BL58*BO58*VLOOKUP('Données projet'!$B$11,Paramètres!$A$1:$I$89,3,0)*0.475*44/12</f>
        <v>4.0794583183101327</v>
      </c>
      <c r="BS58" s="22">
        <f t="shared" si="9"/>
        <v>18.427052264961709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299.10536994156814</v>
      </c>
      <c r="CE58" s="59">
        <f t="shared" si="40"/>
        <v>292.57799203101769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0.26500000000000001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0.3</v>
      </c>
      <c r="CK58" s="21">
        <f>EXP(-LN(2)/35)*CK57+(1-EXP(-LN(2)/35))/(LN(2)/35)*CG58*CH58*VLOOKUP('Données projet'!$B$12,Paramètres!$A$1:$I$89,3,0)*0.475*44/12</f>
        <v>8.6766625099211669</v>
      </c>
      <c r="CL58" s="21">
        <f>EXP(-LN(2)/25)*CL57+(1-EXP(-LN(2)/25))/(LN(2)/25)*Calculateur!CG58*Calculateur!CI58*VLOOKUP('Données projet'!$B$12,Paramètres!$A$1:$I$89,3,0)*0.475*44/12</f>
        <v>5.6709314367304078</v>
      </c>
      <c r="CM58" s="21">
        <f>EXP(-LN(2)/2)*CM57+(1-EXP(-LN(2)/2))/(LN(2)/2)*CG58*CJ58*VLOOKUP('Données projet'!$B$12,Paramètres!$A$1:$I$89,3,0)*0.475*44/12</f>
        <v>4.0794583183101327</v>
      </c>
      <c r="CN58" s="22">
        <f t="shared" si="12"/>
        <v>18.427052264961709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10.125</v>
      </c>
      <c r="CT58" s="12">
        <f>IF('Données projet'!$A$140&gt;35,CT57+CS58-DB57,IF(A58&lt;'Données projet'!$A$140,$CQ$205^A58,IF(A58='Données projet'!$A$140,'Données projet'!$B$140,CT57+CS58-DB57)))</f>
        <v>199.375</v>
      </c>
      <c r="CU58" s="17">
        <f>CT58*VLOOKUP('Données projet'!$B$13,Paramètres!$A$1:$I$89,3,0)*VLOOKUP('Données projet'!$B$13,Paramètres!$A$1:$I$89,5,0)</f>
        <v>180.39449999999999</v>
      </c>
      <c r="CV58" s="13">
        <f t="shared" si="41"/>
        <v>45.409943962080618</v>
      </c>
      <c r="CW58" s="20">
        <f t="shared" si="13"/>
        <v>393.27607323395705</v>
      </c>
      <c r="CX58" s="59">
        <f t="shared" si="14"/>
        <v>686.60940656729031</v>
      </c>
      <c r="CY58" s="59">
        <f ca="1">AVERAGE(OFFSET($CX$3,0,0,'Données projet'!$E$13+1,1))-AVERAGE(OFFSET($H$3,0,0,'Données projet'!$E$13+1,1))</f>
        <v>528.15559695545812</v>
      </c>
      <c r="CZ58" s="59">
        <f t="shared" si="42"/>
        <v>276.26988364830532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19.680940878022341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19.680940878022341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10.125</v>
      </c>
      <c r="DO58" s="12">
        <f>IF('Données projet'!$A$166&gt;35,DO57+DN58-DW57,IF(A58&lt;'Données projet'!$A$166,$DL$205^A58,IF(A58='Données projet'!$A$166,'Données projet'!$B$166,DO57+DN58-DW57)))</f>
        <v>199.375</v>
      </c>
      <c r="DP58" s="17">
        <f>DO58*VLOOKUP('Données projet'!$B$14,Paramètres!$A$1:$I$89,3,0)*VLOOKUP('Données projet'!$B$14,Paramètres!$A$1:$I$89,5,0)</f>
        <v>202.16625000000002</v>
      </c>
      <c r="DQ58" s="13">
        <f t="shared" si="43"/>
        <v>50.219945003959403</v>
      </c>
      <c r="DR58" s="20">
        <f t="shared" si="16"/>
        <v>439.5726229652293</v>
      </c>
      <c r="DS58" s="59">
        <f t="shared" si="17"/>
        <v>732.90595629856261</v>
      </c>
      <c r="DT58" s="59">
        <f ca="1">AVERAGE(OFFSET($DS$3,0,0,'Données projet'!$E$14+1,1))-AVERAGE(OFFSET($H$3,0,0,'Données projet'!$E$14+1,1))</f>
        <v>586.50020405958992</v>
      </c>
      <c r="DU58" s="59">
        <f t="shared" si="44"/>
        <v>304.44184537595294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22.056226846059527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22.056226846059527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232</v>
      </c>
      <c r="EH58" s="12">
        <f>VLOOKUP(A58,'Données projet'!$A$191:$I$211,9,0)</f>
        <v>6</v>
      </c>
      <c r="EI58" s="12">
        <f t="array" ref="EI58">INDEX(EH:EH,MIN(IF(ISNUMBER(EH58:EH254),ROW(EH58:EH254),"")))</f>
        <v>6</v>
      </c>
      <c r="EJ58" s="12">
        <f>IF('Données projet'!$A$192&gt;35,EJ57+EI58-ER57,IF(A58&lt;'Données projet'!$A$192,$EG$205^A58,IF(A58='Données projet'!$A$192,'Données projet'!$B$192,EJ57+EI58-ER57)))</f>
        <v>231.99999999999989</v>
      </c>
      <c r="EK58" s="17">
        <f>EJ58*VLOOKUP('Données projet'!$B$15,Paramètres!$A$1:$I$89,3,0)*VLOOKUP('Données projet'!$B$15,Paramètres!$A$1:$I$89,5,0)</f>
        <v>224.39039999999989</v>
      </c>
      <c r="EL58" s="13">
        <f t="shared" si="45"/>
        <v>55.068017311015808</v>
      </c>
      <c r="EM58" s="20">
        <f t="shared" si="19"/>
        <v>486.72341015001894</v>
      </c>
      <c r="EN58" s="59">
        <f t="shared" si="20"/>
        <v>780.05674348335219</v>
      </c>
      <c r="EO58" s="59">
        <f ca="1">AVERAGE(OFFSET($EN$3,0,0,'Données projet'!$E$15+1,1))-AVERAGE(OFFSET($H$3,0,0,'Données projet'!$E$15+1,1))</f>
        <v>355.72173590705142</v>
      </c>
      <c r="EP58" s="59">
        <f t="shared" si="46"/>
        <v>346.30980704469363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13</v>
      </c>
      <c r="ES58" s="16">
        <f>IF(ISNA(VLOOKUP(A58,'Données projet'!$A$191:$I$211,5,0)),0%,VLOOKUP(A58,'Données projet'!$A$191:$I$211,5,0)*VLOOKUP('Données projet'!$B$15,Paramètres!$A$1:$I$89,7,0))</f>
        <v>0.215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0.3</v>
      </c>
      <c r="EV58" s="21">
        <f>EXP(-LN(2)/35)*EV57+(1-EXP(-LN(2)/35))/(LN(2)/35)*ER58*ES58*VLOOKUP('Données projet'!$B$15,Paramètres!$A$1:$I$89,3,0)*0.475*44/12</f>
        <v>8.5578920649092964</v>
      </c>
      <c r="EW58" s="21">
        <f>EXP(-LN(2)/25)*EW57+(1-EXP(-LN(2)/25))/(LN(2)/25)*Calculateur!ER58*Calculateur!ET58*VLOOKUP('Données projet'!$B$15,Paramètres!$A$1:$I$89,3,0)*0.475*44/12</f>
        <v>5.5933049242779385</v>
      </c>
      <c r="EX58" s="21">
        <f>EXP(-LN(2)/2)*EX57+(1-EXP(-LN(2)/2))/(LN(2)/2)*ER58*EU58*VLOOKUP('Données projet'!$B$15,Paramètres!$A$1:$I$89,3,0)*0.475*44/12</f>
        <v>4.9593414850044759</v>
      </c>
      <c r="EY58" s="22">
        <f t="shared" si="21"/>
        <v>19.11053847419171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232</v>
      </c>
      <c r="FC58" s="12">
        <f>VLOOKUP(A58,'Données projet'!$A$217:$I$237,9,0)</f>
        <v>6</v>
      </c>
      <c r="FD58" s="12">
        <f t="array" ref="FD58">INDEX(FC:FC,MIN(IF(ISNUMBER(FC58:FC254),ROW(FC58:FC254),"")))</f>
        <v>6</v>
      </c>
      <c r="FE58" s="12">
        <f>IF('Données projet'!$A$218&gt;35,FE57+FD58-FM57,IF(A58&lt;'Données projet'!$A$218,$FB$205^A58,IF(A58='Données projet'!$A$218,'Données projet'!$B$218,FE57+FD58-FM57)))</f>
        <v>231.99999999999989</v>
      </c>
      <c r="FF58" s="17">
        <f>FE58*VLOOKUP('Données projet'!$B$16,Paramètres!$A$1:$I$89,3,0)*VLOOKUP('Données projet'!$B$16,Paramètres!$A$1:$I$89,5,0)</f>
        <v>188.19839999999991</v>
      </c>
      <c r="FG58" s="13">
        <f t="shared" si="47"/>
        <v>47.141424081428013</v>
      </c>
      <c r="FH58" s="20">
        <f t="shared" si="22"/>
        <v>409.88352694182026</v>
      </c>
      <c r="FI58" s="59">
        <f t="shared" si="23"/>
        <v>703.21686027515352</v>
      </c>
      <c r="FJ58" s="59">
        <f ca="1">AVERAGE(OFFSET($FI$3,0,0,'Données projet'!$E$16+1,1))-AVERAGE(OFFSET($H$3,0,0,'Données projet'!$E$16+1,1))</f>
        <v>304.26232113495314</v>
      </c>
      <c r="FK58" s="59">
        <f t="shared" si="48"/>
        <v>297.47246687305056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0.26500000000000001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0.3</v>
      </c>
      <c r="FQ58" s="21">
        <f>EXP(-LN(2)/35)*FQ57+(1-EXP(-LN(2)/35))/(LN(2)/35)*FM58*FN58*VLOOKUP('Données projet'!$B$16,Paramètres!$A$1:$I$89,3,0)*0.475*44/12</f>
        <v>8.846793147370601</v>
      </c>
      <c r="FR58" s="21">
        <f>EXP(-LN(2)/25)*FR57+(1-EXP(-LN(2)/25))/(LN(2)/25)*Calculateur!FM58*Calculateur!FO58*VLOOKUP('Données projet'!$B$16,Paramètres!$A$1:$I$89,3,0)*0.475*44/12</f>
        <v>5.7821261707839469</v>
      </c>
      <c r="FS58" s="21">
        <f>EXP(-LN(2)/2)*FS57+(1-EXP(-LN(2)/2))/(LN(2)/2)*FM58*FP58*VLOOKUP('Données projet'!$B$16,Paramètres!$A$1:$I$89,3,0)*0.475*44/12</f>
        <v>4.1594476971005276</v>
      </c>
      <c r="FT58" s="22">
        <f t="shared" si="24"/>
        <v>18.788367015255076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6.6</v>
      </c>
      <c r="N59" s="13">
        <f>IF('Données projet'!$A$36&gt;35,N58+M59-V58,IF(A59&lt;'Données projet'!$A$36,$K$205^A59,IF(A59='Données projet'!$A$36,'Données projet'!$B$36,N58+M59-V58)))</f>
        <v>219.60000000000011</v>
      </c>
      <c r="O59" s="13">
        <f>N59*VLOOKUP('Données projet'!$B$9,Paramètres!$A$1:$I$89,3,0)*VLOOKUP('Données projet'!$B$9,Paramètres!$A$1:$I$89,5,0)</f>
        <v>191.84256000000011</v>
      </c>
      <c r="P59" s="13">
        <f t="shared" si="33"/>
        <v>47.947087613384845</v>
      </c>
      <c r="Q59" s="20">
        <f t="shared" si="53"/>
        <v>417.6336362599788</v>
      </c>
      <c r="R59" s="59">
        <f t="shared" si="0"/>
        <v>710.96696959331211</v>
      </c>
      <c r="S59" s="59">
        <f ca="1">AVERAGE(OFFSET($R$3,0,0,'Données projet'!$E$9+1,1))-AVERAGE(OFFSET($H$3,0,0,'Données projet'!$E$9+1,1))</f>
        <v>381.72225529388083</v>
      </c>
      <c r="T59" s="59">
        <f t="shared" si="34"/>
        <v>360.05900046417361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32.224351912030379</v>
      </c>
      <c r="AA59" s="21">
        <f>EXP(-LN(2)/25)*AA58+(1-EXP(-LN(2)/25))/(LN(2)/25)*Calculateur!V59*Calculateur!X59*VLOOKUP('Données projet'!$B$9,Paramètres!$A$1:$I$89,3,0)*0.475*44/12</f>
        <v>15.762247789089427</v>
      </c>
      <c r="AB59" s="21">
        <f>EXP(-LN(2)/2)*AB58+(1-EXP(-LN(2)/2))/(LN(2)/2)*V59*Y59*VLOOKUP('Données projet'!$B$9,Paramètres!$A$1:$I$89,3,0)*0.475*44/12</f>
        <v>1.9277442628985438E-4</v>
      </c>
      <c r="AC59" s="22">
        <f t="shared" si="3"/>
        <v>47.986792475546096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</v>
      </c>
      <c r="AI59" s="13">
        <f>IF('Données projet'!$A$62&gt;35,AI58+AH59-AQ58,IF(A59&lt;'Données projet'!$A$62,$AF$205^A59,IF(A59='Données projet'!$A$62,'Données projet'!$B$62,AI58+AH59-AQ58)))</f>
        <v>284.00000000000006</v>
      </c>
      <c r="AJ59" s="13">
        <f>AI59*VLOOKUP('Données projet'!$B$10,Paramètres!$A$1:$I$89,3,0)*VLOOKUP('Données projet'!$B$10,Paramètres!$A$1:$I$89,5,0)</f>
        <v>208.22880000000004</v>
      </c>
      <c r="AK59" s="13">
        <f t="shared" si="35"/>
        <v>51.548343342352297</v>
      </c>
      <c r="AL59" s="20">
        <f t="shared" si="4"/>
        <v>452.44519132126362</v>
      </c>
      <c r="AM59" s="59">
        <f t="shared" si="5"/>
        <v>745.77852465459694</v>
      </c>
      <c r="AN59" s="59">
        <f ca="1">AVERAGE(OFFSET($AM$3,0,0,'Données projet'!$E$10+1,1))-AVERAGE(OFFSET($H$3,0,0,'Données projet'!$E$10+1,1))</f>
        <v>464.3681853739115</v>
      </c>
      <c r="AO59" s="59">
        <f t="shared" si="36"/>
        <v>272.97841038165217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11.053274745422712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11.053274745422712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178.37351999999993</v>
      </c>
      <c r="BF59" s="13">
        <f t="shared" si="37"/>
        <v>44.960133388294842</v>
      </c>
      <c r="BG59" s="20">
        <f t="shared" si="7"/>
        <v>388.97277965128006</v>
      </c>
      <c r="BH59" s="59">
        <f t="shared" si="8"/>
        <v>682.30611298461338</v>
      </c>
      <c r="BI59" s="59">
        <f ca="1">AVERAGE(OFFSET($BH$3,0,0,'Données projet'!$E$11+1,1))-AVERAGE(OFFSET($H$3,0,0,'Données projet'!$E$11+1,1))</f>
        <v>299.10536994156814</v>
      </c>
      <c r="BJ59" s="59">
        <f t="shared" si="38"/>
        <v>292.57799203101769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8.5065184503431777</v>
      </c>
      <c r="BQ59" s="21">
        <f>EXP(-LN(2)/25)*BQ58+(1-EXP(-LN(2)/25))/(LN(2)/25)*Calculateur!BL59*Calculateur!BN59*VLOOKUP('Données projet'!$B$11,Paramètres!$A$1:$I$89,3,0)*0.475*44/12</f>
        <v>5.5158595183716912</v>
      </c>
      <c r="BR59" s="21">
        <f>EXP(-LN(2)/2)*BR58+(1-EXP(-LN(2)/2))/(LN(2)/2)*BL59*BO59*VLOOKUP('Données projet'!$B$11,Paramètres!$A$1:$I$89,3,0)*0.475*44/12</f>
        <v>2.8846126404449643</v>
      </c>
      <c r="BS59" s="22">
        <f t="shared" si="9"/>
        <v>16.906990609159834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299.10536994156814</v>
      </c>
      <c r="CE59" s="59">
        <f t="shared" si="40"/>
        <v>292.57799203101769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8.5065184503431777</v>
      </c>
      <c r="CL59" s="21">
        <f>EXP(-LN(2)/25)*CL58+(1-EXP(-LN(2)/25))/(LN(2)/25)*Calculateur!CG59*Calculateur!CI59*VLOOKUP('Données projet'!$B$12,Paramètres!$A$1:$I$89,3,0)*0.475*44/12</f>
        <v>5.5158595183716912</v>
      </c>
      <c r="CM59" s="21">
        <f>EXP(-LN(2)/2)*CM58+(1-EXP(-LN(2)/2))/(LN(2)/2)*CG59*CJ59*VLOOKUP('Données projet'!$B$12,Paramètres!$A$1:$I$89,3,0)*0.475*44/12</f>
        <v>2.8846126404449643</v>
      </c>
      <c r="CN59" s="22">
        <f t="shared" si="12"/>
        <v>16.906990609159834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10.125</v>
      </c>
      <c r="CT59" s="12">
        <f>IF('Données projet'!$A$140&gt;35,CT58+CS59-DB58,IF(A59&lt;'Données projet'!$A$140,$CQ$205^A59,IF(A59='Données projet'!$A$140,'Données projet'!$B$140,CT58+CS59-DB58)))</f>
        <v>209.5</v>
      </c>
      <c r="CU59" s="17">
        <f>CT59*VLOOKUP('Données projet'!$B$13,Paramètres!$A$1:$I$89,3,0)*VLOOKUP('Données projet'!$B$13,Paramètres!$A$1:$I$89,5,0)</f>
        <v>189.5556</v>
      </c>
      <c r="CV59" s="13">
        <f t="shared" si="41"/>
        <v>47.441688934734636</v>
      </c>
      <c r="CW59" s="20">
        <f t="shared" si="13"/>
        <v>412.77027822799613</v>
      </c>
      <c r="CX59" s="59">
        <f t="shared" si="14"/>
        <v>706.10361156132944</v>
      </c>
      <c r="CY59" s="59">
        <f ca="1">AVERAGE(OFFSET($CX$3,0,0,'Données projet'!$E$13+1,1))-AVERAGE(OFFSET($H$3,0,0,'Données projet'!$E$13+1,1))</f>
        <v>528.15559695545812</v>
      </c>
      <c r="CZ59" s="59">
        <f t="shared" si="42"/>
        <v>276.26988364830532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19.14276451473712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19.14276451473712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10.125</v>
      </c>
      <c r="DO59" s="12">
        <f>IF('Données projet'!$A$166&gt;35,DO58+DN59-DW58,IF(A59&lt;'Données projet'!$A$166,$DL$205^A59,IF(A59='Données projet'!$A$166,'Données projet'!$B$166,DO58+DN59-DW58)))</f>
        <v>209.5</v>
      </c>
      <c r="DP59" s="17">
        <f>DO59*VLOOKUP('Données projet'!$B$14,Paramètres!$A$1:$I$89,3,0)*VLOOKUP('Données projet'!$B$14,Paramètres!$A$1:$I$89,5,0)</f>
        <v>212.43300000000002</v>
      </c>
      <c r="DQ59" s="13">
        <f t="shared" si="43"/>
        <v>52.466900447770541</v>
      </c>
      <c r="DR59" s="20">
        <f t="shared" si="16"/>
        <v>461.36732661320042</v>
      </c>
      <c r="DS59" s="59">
        <f t="shared" si="17"/>
        <v>754.70065994653373</v>
      </c>
      <c r="DT59" s="59">
        <f ca="1">AVERAGE(OFFSET($DS$3,0,0,'Données projet'!$E$14+1,1))-AVERAGE(OFFSET($H$3,0,0,'Données projet'!$E$14+1,1))</f>
        <v>586.50020405958992</v>
      </c>
      <c r="DU59" s="59">
        <f t="shared" si="44"/>
        <v>304.44184537595294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21.45309816306747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21.45309816306747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5.2</v>
      </c>
      <c r="EJ59" s="12">
        <f>IF('Données projet'!$A$192&gt;35,EJ58+EI59-ER58,IF(A59&lt;'Données projet'!$A$192,$EG$205^A59,IF(A59='Données projet'!$A$192,'Données projet'!$B$192,EJ58+EI59-ER58)))</f>
        <v>224.19999999999987</v>
      </c>
      <c r="EK59" s="17">
        <f>EJ59*VLOOKUP('Données projet'!$B$15,Paramètres!$A$1:$I$89,3,0)*VLOOKUP('Données projet'!$B$15,Paramètres!$A$1:$I$89,5,0)</f>
        <v>216.84623999999991</v>
      </c>
      <c r="EL59" s="13">
        <f t="shared" si="45"/>
        <v>53.428856609352088</v>
      </c>
      <c r="EM59" s="20">
        <f t="shared" si="19"/>
        <v>470.72912659462128</v>
      </c>
      <c r="EN59" s="59">
        <f t="shared" si="20"/>
        <v>764.06245992795459</v>
      </c>
      <c r="EO59" s="59">
        <f ca="1">AVERAGE(OFFSET($EN$3,0,0,'Données projet'!$E$15+1,1))-AVERAGE(OFFSET($H$3,0,0,'Données projet'!$E$15+1,1))</f>
        <v>355.72173590705142</v>
      </c>
      <c r="EP59" s="59">
        <f t="shared" si="46"/>
        <v>346.30980704469363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8.3900770213151716</v>
      </c>
      <c r="EW59" s="21">
        <f>EXP(-LN(2)/25)*EW58+(1-EXP(-LN(2)/25))/(LN(2)/25)*Calculateur!ER59*Calculateur!ET59*VLOOKUP('Données projet'!$B$15,Paramètres!$A$1:$I$89,3,0)*0.475*44/12</f>
        <v>5.4403557069844357</v>
      </c>
      <c r="EX59" s="21">
        <f>EXP(-LN(2)/2)*EX58+(1-EXP(-LN(2)/2))/(LN(2)/2)*ER59*EU59*VLOOKUP('Données projet'!$B$15,Paramètres!$A$1:$I$89,3,0)*0.475*44/12</f>
        <v>3.5067839942664278</v>
      </c>
      <c r="EY59" s="22">
        <f t="shared" si="21"/>
        <v>17.337216722566033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5.2</v>
      </c>
      <c r="FE59" s="12">
        <f>IF('Données projet'!$A$218&gt;35,FE58+FD59-FM58,IF(A59&lt;'Données projet'!$A$218,$FB$205^A59,IF(A59='Données projet'!$A$218,'Données projet'!$B$218,FE58+FD59-FM58)))</f>
        <v>224.19999999999987</v>
      </c>
      <c r="FF59" s="17">
        <f>FE59*VLOOKUP('Données projet'!$B$16,Paramètres!$A$1:$I$89,3,0)*VLOOKUP('Données projet'!$B$16,Paramètres!$A$1:$I$89,5,0)</f>
        <v>181.87103999999991</v>
      </c>
      <c r="FG59" s="13">
        <f t="shared" si="47"/>
        <v>45.738207231648985</v>
      </c>
      <c r="FH59" s="20">
        <f t="shared" si="22"/>
        <v>396.41943892845512</v>
      </c>
      <c r="FI59" s="59">
        <f t="shared" si="23"/>
        <v>689.75277226178844</v>
      </c>
      <c r="FJ59" s="59">
        <f ca="1">AVERAGE(OFFSET($FI$3,0,0,'Données projet'!$E$16+1,1))-AVERAGE(OFFSET($H$3,0,0,'Données projet'!$E$16+1,1))</f>
        <v>304.26232113495314</v>
      </c>
      <c r="FK59" s="59">
        <f t="shared" si="48"/>
        <v>297.47246687305056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8.6733129297616713</v>
      </c>
      <c r="FR59" s="21">
        <f>EXP(-LN(2)/25)*FR58+(1-EXP(-LN(2)/25))/(LN(2)/25)*Calculateur!FM59*Calculateur!FO59*VLOOKUP('Données projet'!$B$16,Paramètres!$A$1:$I$89,3,0)*0.475*44/12</f>
        <v>5.62401362657506</v>
      </c>
      <c r="FS59" s="21">
        <f>EXP(-LN(2)/2)*FS58+(1-EXP(-LN(2)/2))/(LN(2)/2)*FM59*FP59*VLOOKUP('Données projet'!$B$16,Paramètres!$A$1:$I$89,3,0)*0.475*44/12</f>
        <v>2.9411736726105522</v>
      </c>
      <c r="FT59" s="22">
        <f t="shared" si="24"/>
        <v>17.238500228947284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</v>
      </c>
      <c r="N60" s="13">
        <f>IF('Données projet'!$A$36&gt;35,N59+M60-V59,IF(A60&lt;'Données projet'!$A$36,$K$205^A60,IF(A60='Données projet'!$A$36,'Données projet'!$B$36,N59+M60-V59)))</f>
        <v>226.2000000000001</v>
      </c>
      <c r="O60" s="13">
        <f>N60*VLOOKUP('Données projet'!$B$9,Paramètres!$A$1:$I$89,3,0)*VLOOKUP('Données projet'!$B$9,Paramètres!$A$1:$I$89,5,0)</f>
        <v>197.60832000000011</v>
      </c>
      <c r="P60" s="13">
        <f t="shared" si="33"/>
        <v>49.218181392381403</v>
      </c>
      <c r="Q60" s="20">
        <f t="shared" si="53"/>
        <v>429.88948992506448</v>
      </c>
      <c r="R60" s="59">
        <f t="shared" si="0"/>
        <v>723.22282325839774</v>
      </c>
      <c r="S60" s="59">
        <f ca="1">AVERAGE(OFFSET($R$3,0,0,'Données projet'!$E$9+1,1))-AVERAGE(OFFSET($H$3,0,0,'Données projet'!$E$9+1,1))</f>
        <v>381.72225529388083</v>
      </c>
      <c r="T60" s="59">
        <f t="shared" si="34"/>
        <v>360.05900046417361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31.592452025949367</v>
      </c>
      <c r="AA60" s="21">
        <f>EXP(-LN(2)/25)*AA59+(1-EXP(-LN(2)/25))/(LN(2)/25)*Calculateur!V60*Calculateur!X60*VLOOKUP('Données projet'!$B$9,Paramètres!$A$1:$I$89,3,0)*0.475*44/12</f>
        <v>15.33122829439619</v>
      </c>
      <c r="AB60" s="21">
        <f>EXP(-LN(2)/2)*AB59+(1-EXP(-LN(2)/2))/(LN(2)/2)*V60*Y60*VLOOKUP('Données projet'!$B$9,Paramètres!$A$1:$I$89,3,0)*0.475*44/12</f>
        <v>1.3631210406890229E-4</v>
      </c>
      <c r="AC60" s="22">
        <f t="shared" si="3"/>
        <v>46.923816632449622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</v>
      </c>
      <c r="AI60" s="13">
        <f>IF('Données projet'!$A$62&gt;35,AI59+AH60-AQ59,IF(A60&lt;'Données projet'!$A$62,$AF$205^A60,IF(A60='Données projet'!$A$62,'Données projet'!$B$62,AI59+AH60-AQ59)))</f>
        <v>297.00000000000006</v>
      </c>
      <c r="AJ60" s="13">
        <f>AI60*VLOOKUP('Données projet'!$B$10,Paramètres!$A$1:$I$89,3,0)*VLOOKUP('Données projet'!$B$10,Paramètres!$A$1:$I$89,5,0)</f>
        <v>217.76040000000006</v>
      </c>
      <c r="AK60" s="13">
        <f t="shared" si="35"/>
        <v>53.627830230393037</v>
      </c>
      <c r="AL60" s="20">
        <f t="shared" si="4"/>
        <v>472.66783431793465</v>
      </c>
      <c r="AM60" s="59">
        <f t="shared" si="5"/>
        <v>766.00116765126791</v>
      </c>
      <c r="AN60" s="59">
        <f ca="1">AVERAGE(OFFSET($AM$3,0,0,'Données projet'!$E$10+1,1))-AVERAGE(OFFSET($H$3,0,0,'Données projet'!$E$10+1,1))</f>
        <v>464.3681853739115</v>
      </c>
      <c r="AO60" s="59">
        <f t="shared" si="36"/>
        <v>272.97841038165217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10.751022366242672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10.751022366242672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182.51063999999988</v>
      </c>
      <c r="BF60" s="13">
        <f t="shared" si="37"/>
        <v>45.880306213791371</v>
      </c>
      <c r="BG60" s="20">
        <f t="shared" si="7"/>
        <v>397.78089798901971</v>
      </c>
      <c r="BH60" s="59">
        <f t="shared" si="8"/>
        <v>691.11423132235302</v>
      </c>
      <c r="BI60" s="59">
        <f ca="1">AVERAGE(OFFSET($BH$3,0,0,'Données projet'!$E$11+1,1))-AVERAGE(OFFSET($H$3,0,0,'Données projet'!$E$11+1,1))</f>
        <v>299.10536994156814</v>
      </c>
      <c r="BJ60" s="59">
        <f t="shared" si="38"/>
        <v>292.57799203101769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8.339710811995884</v>
      </c>
      <c r="BQ60" s="21">
        <f>EXP(-LN(2)/25)*BQ59+(1-EXP(-LN(2)/25))/(LN(2)/25)*Calculateur!BL60*Calculateur!BN60*VLOOKUP('Données projet'!$B$11,Paramètres!$A$1:$I$89,3,0)*0.475*44/12</f>
        <v>5.365028049775372</v>
      </c>
      <c r="BR60" s="21">
        <f>EXP(-LN(2)/2)*BR59+(1-EXP(-LN(2)/2))/(LN(2)/2)*BL60*BO60*VLOOKUP('Données projet'!$B$11,Paramètres!$A$1:$I$89,3,0)*0.475*44/12</f>
        <v>2.0397291591550668</v>
      </c>
      <c r="BS60" s="22">
        <f t="shared" si="9"/>
        <v>15.744468020926323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299.10536994156814</v>
      </c>
      <c r="CE60" s="59">
        <f t="shared" si="40"/>
        <v>292.57799203101769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8.339710811995884</v>
      </c>
      <c r="CL60" s="21">
        <f>EXP(-LN(2)/25)*CL59+(1-EXP(-LN(2)/25))/(LN(2)/25)*Calculateur!CG60*Calculateur!CI60*VLOOKUP('Données projet'!$B$12,Paramètres!$A$1:$I$89,3,0)*0.475*44/12</f>
        <v>5.365028049775372</v>
      </c>
      <c r="CM60" s="21">
        <f>EXP(-LN(2)/2)*CM59+(1-EXP(-LN(2)/2))/(LN(2)/2)*CG60*CJ60*VLOOKUP('Données projet'!$B$12,Paramètres!$A$1:$I$89,3,0)*0.475*44/12</f>
        <v>2.0397291591550668</v>
      </c>
      <c r="CN60" s="22">
        <f t="shared" si="12"/>
        <v>15.744468020926323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10.125</v>
      </c>
      <c r="CT60" s="12">
        <f>IF('Données projet'!$A$140&gt;35,CT59+CS60-DB59,IF(A60&lt;'Données projet'!$A$140,$CQ$205^A60,IF(A60='Données projet'!$A$140,'Données projet'!$B$140,CT59+CS60-DB59)))</f>
        <v>219.625</v>
      </c>
      <c r="CU60" s="17">
        <f>CT60*VLOOKUP('Données projet'!$B$13,Paramètres!$A$1:$I$89,3,0)*VLOOKUP('Données projet'!$B$13,Paramètres!$A$1:$I$89,5,0)</f>
        <v>198.7167</v>
      </c>
      <c r="CV60" s="13">
        <f t="shared" si="41"/>
        <v>49.462031653113236</v>
      </c>
      <c r="CW60" s="20">
        <f t="shared" si="13"/>
        <v>432.24462429583883</v>
      </c>
      <c r="CX60" s="59">
        <f t="shared" si="14"/>
        <v>725.57795762917215</v>
      </c>
      <c r="CY60" s="59">
        <f ca="1">AVERAGE(OFFSET($CX$3,0,0,'Données projet'!$E$13+1,1))-AVERAGE(OFFSET($H$3,0,0,'Données projet'!$E$13+1,1))</f>
        <v>528.15559695545812</v>
      </c>
      <c r="CZ60" s="59">
        <f t="shared" si="42"/>
        <v>276.26988364830532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18.619304612407401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18.619304612407401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10.125</v>
      </c>
      <c r="DO60" s="12">
        <f>IF('Données projet'!$A$166&gt;35,DO59+DN60-DW59,IF(A60&lt;'Données projet'!$A$166,$DL$205^A60,IF(A60='Données projet'!$A$166,'Données projet'!$B$166,DO59+DN60-DW59)))</f>
        <v>219.625</v>
      </c>
      <c r="DP60" s="17">
        <f>DO60*VLOOKUP('Données projet'!$B$14,Paramètres!$A$1:$I$89,3,0)*VLOOKUP('Données projet'!$B$14,Paramètres!$A$1:$I$89,5,0)</f>
        <v>222.69974999999999</v>
      </c>
      <c r="DQ60" s="13">
        <f t="shared" si="43"/>
        <v>54.701245865392025</v>
      </c>
      <c r="DR60" s="20">
        <f t="shared" si="16"/>
        <v>483.14006779889104</v>
      </c>
      <c r="DS60" s="59">
        <f t="shared" si="17"/>
        <v>776.47340113222435</v>
      </c>
      <c r="DT60" s="59">
        <f ca="1">AVERAGE(OFFSET($DS$3,0,0,'Données projet'!$E$14+1,1))-AVERAGE(OFFSET($H$3,0,0,'Données projet'!$E$14+1,1))</f>
        <v>586.50020405958992</v>
      </c>
      <c r="DU60" s="59">
        <f t="shared" si="44"/>
        <v>304.44184537595294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20.866462065628991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20.866462065628991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</v>
      </c>
      <c r="EJ60" s="12">
        <f>IF('Données projet'!$A$192&gt;35,EJ59+EI60-ER59,IF(A60&lt;'Données projet'!$A$192,$EG$205^A60,IF(A60='Données projet'!$A$192,'Données projet'!$B$192,EJ59+EI60-ER59)))</f>
        <v>229.39999999999986</v>
      </c>
      <c r="EK60" s="17">
        <f>EJ60*VLOOKUP('Données projet'!$B$15,Paramètres!$A$1:$I$89,3,0)*VLOOKUP('Données projet'!$B$15,Paramètres!$A$1:$I$89,5,0)</f>
        <v>221.87567999999987</v>
      </c>
      <c r="EL60" s="13">
        <f t="shared" si="45"/>
        <v>54.522353853336597</v>
      </c>
      <c r="EM60" s="20">
        <f t="shared" si="19"/>
        <v>481.39324229456093</v>
      </c>
      <c r="EN60" s="59">
        <f t="shared" si="20"/>
        <v>774.72657562789425</v>
      </c>
      <c r="EO60" s="59">
        <f ca="1">AVERAGE(OFFSET($EN$3,0,0,'Données projet'!$E$15+1,1))-AVERAGE(OFFSET($H$3,0,0,'Données projet'!$E$15+1,1))</f>
        <v>355.72173590705142</v>
      </c>
      <c r="EP60" s="59">
        <f t="shared" si="46"/>
        <v>346.30980704469363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8.225552728368859</v>
      </c>
      <c r="EW60" s="21">
        <f>EXP(-LN(2)/25)*EW59+(1-EXP(-LN(2)/25))/(LN(2)/25)*Calculateur!ER60*Calculateur!ET60*VLOOKUP('Données projet'!$B$15,Paramètres!$A$1:$I$89,3,0)*0.475*44/12</f>
        <v>5.291588894081074</v>
      </c>
      <c r="EX60" s="21">
        <f>EXP(-LN(2)/2)*EX59+(1-EXP(-LN(2)/2))/(LN(2)/2)*ER60*EU60*VLOOKUP('Données projet'!$B$15,Paramètres!$A$1:$I$89,3,0)*0.475*44/12</f>
        <v>2.4796707425022384</v>
      </c>
      <c r="EY60" s="22">
        <f t="shared" si="21"/>
        <v>15.996812364952172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5.2</v>
      </c>
      <c r="FE60" s="12">
        <f>IF('Données projet'!$A$218&gt;35,FE59+FD60-FM59,IF(A60&lt;'Données projet'!$A$218,$FB$205^A60,IF(A60='Données projet'!$A$218,'Données projet'!$B$218,FE59+FD60-FM59)))</f>
        <v>229.39999999999986</v>
      </c>
      <c r="FF60" s="17">
        <f>FE60*VLOOKUP('Données projet'!$B$16,Paramètres!$A$1:$I$89,3,0)*VLOOKUP('Données projet'!$B$16,Paramètres!$A$1:$I$89,5,0)</f>
        <v>186.08927999999992</v>
      </c>
      <c r="FG60" s="13">
        <f t="shared" si="47"/>
        <v>46.674304440658766</v>
      </c>
      <c r="FH60" s="20">
        <f t="shared" si="22"/>
        <v>405.39657623414723</v>
      </c>
      <c r="FI60" s="59">
        <f t="shared" si="23"/>
        <v>698.72990956748049</v>
      </c>
      <c r="FJ60" s="59">
        <f ca="1">AVERAGE(OFFSET($FI$3,0,0,'Données projet'!$E$16+1,1))-AVERAGE(OFFSET($H$3,0,0,'Données projet'!$E$16+1,1))</f>
        <v>304.26232113495314</v>
      </c>
      <c r="FK60" s="59">
        <f t="shared" si="48"/>
        <v>297.47246687305056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8.5032345534075677</v>
      </c>
      <c r="FR60" s="21">
        <f>EXP(-LN(2)/25)*FR59+(1-EXP(-LN(2)/25))/(LN(2)/25)*Calculateur!FM60*Calculateur!FO60*VLOOKUP('Données projet'!$B$16,Paramètres!$A$1:$I$89,3,0)*0.475*44/12</f>
        <v>5.4702246782023423</v>
      </c>
      <c r="FS60" s="21">
        <f>EXP(-LN(2)/2)*FS59+(1-EXP(-LN(2)/2))/(LN(2)/2)*FM60*FP60*VLOOKUP('Données projet'!$B$16,Paramètres!$A$1:$I$89,3,0)*0.475*44/12</f>
        <v>2.0797238485502643</v>
      </c>
      <c r="FT60" s="22">
        <f t="shared" si="24"/>
        <v>16.053183080160174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</v>
      </c>
      <c r="N61" s="13">
        <f>IF('Données projet'!$A$36&gt;35,N60+M61-V60,IF(A61&lt;'Données projet'!$A$36,$K$205^A61,IF(A61='Données projet'!$A$36,'Données projet'!$B$36,N60+M61-V60)))</f>
        <v>232.8000000000001</v>
      </c>
      <c r="O61" s="13">
        <f>N61*VLOOKUP('Données projet'!$B$9,Paramètres!$A$1:$I$89,3,0)*VLOOKUP('Données projet'!$B$9,Paramètres!$A$1:$I$89,5,0)</f>
        <v>203.37408000000013</v>
      </c>
      <c r="P61" s="13">
        <f t="shared" si="33"/>
        <v>50.484964849140624</v>
      </c>
      <c r="Q61" s="20">
        <f t="shared" si="53"/>
        <v>442.1378364455868</v>
      </c>
      <c r="R61" s="59">
        <f t="shared" si="0"/>
        <v>735.47116977892006</v>
      </c>
      <c r="S61" s="59">
        <f ca="1">AVERAGE(OFFSET($R$3,0,0,'Données projet'!$E$9+1,1))-AVERAGE(OFFSET($H$3,0,0,'Données projet'!$E$9+1,1))</f>
        <v>381.72225529388083</v>
      </c>
      <c r="T61" s="59">
        <f t="shared" si="34"/>
        <v>360.05900046417361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30.97294331121353</v>
      </c>
      <c r="AA61" s="21">
        <f>EXP(-LN(2)/25)*AA60+(1-EXP(-LN(2)/25))/(LN(2)/25)*Calculateur!V61*Calculateur!X61*VLOOKUP('Données projet'!$B$9,Paramètres!$A$1:$I$89,3,0)*0.475*44/12</f>
        <v>14.911995050451671</v>
      </c>
      <c r="AB61" s="21">
        <f>EXP(-LN(2)/2)*AB60+(1-EXP(-LN(2)/2))/(LN(2)/2)*V61*Y61*VLOOKUP('Données projet'!$B$9,Paramètres!$A$1:$I$89,3,0)*0.475*44/12</f>
        <v>9.6387213144927188E-5</v>
      </c>
      <c r="AC61" s="22">
        <f t="shared" si="3"/>
        <v>45.885034748878347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</v>
      </c>
      <c r="AI61" s="13">
        <f>IF('Données projet'!$A$62&gt;35,AI60+AH61-AQ60,IF(A61&lt;'Données projet'!$A$62,$AF$205^A61,IF(A61='Données projet'!$A$62,'Données projet'!$B$62,AI60+AH61-AQ60)))</f>
        <v>310.00000000000006</v>
      </c>
      <c r="AJ61" s="13">
        <f>AI61*VLOOKUP('Données projet'!$B$10,Paramètres!$A$1:$I$89,3,0)*VLOOKUP('Données projet'!$B$10,Paramètres!$A$1:$I$89,5,0)</f>
        <v>227.29200000000003</v>
      </c>
      <c r="AK61" s="13">
        <f t="shared" si="35"/>
        <v>55.6967456174837</v>
      </c>
      <c r="AL61" s="20">
        <f t="shared" si="4"/>
        <v>492.87206528378414</v>
      </c>
      <c r="AM61" s="59">
        <f t="shared" si="5"/>
        <v>786.20539861711745</v>
      </c>
      <c r="AN61" s="59">
        <f ca="1">AVERAGE(OFFSET($AM$3,0,0,'Données projet'!$E$10+1,1))-AVERAGE(OFFSET($H$3,0,0,'Données projet'!$E$10+1,1))</f>
        <v>464.3681853739115</v>
      </c>
      <c r="AO61" s="59">
        <f t="shared" si="36"/>
        <v>272.97841038165217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10.457035094266072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10.457035094266072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186.64775999999989</v>
      </c>
      <c r="BF61" s="13">
        <f t="shared" si="37"/>
        <v>46.79805411155214</v>
      </c>
      <c r="BG61" s="20">
        <f t="shared" si="7"/>
        <v>406.58479291095313</v>
      </c>
      <c r="BH61" s="59">
        <f t="shared" si="8"/>
        <v>699.91812624428644</v>
      </c>
      <c r="BI61" s="59">
        <f ca="1">AVERAGE(OFFSET($BH$3,0,0,'Données projet'!$E$11+1,1))-AVERAGE(OFFSET($H$3,0,0,'Données projet'!$E$11+1,1))</f>
        <v>299.10536994156814</v>
      </c>
      <c r="BJ61" s="59">
        <f t="shared" si="38"/>
        <v>292.57799203101769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8.1761741696939687</v>
      </c>
      <c r="BQ61" s="21">
        <f>EXP(-LN(2)/25)*BQ60+(1-EXP(-LN(2)/25))/(LN(2)/25)*Calculateur!BL61*Calculateur!BN61*VLOOKUP('Données projet'!$B$11,Paramètres!$A$1:$I$89,3,0)*0.475*44/12</f>
        <v>5.2183210756197012</v>
      </c>
      <c r="BR61" s="21">
        <f>EXP(-LN(2)/2)*BR60+(1-EXP(-LN(2)/2))/(LN(2)/2)*BL61*BO61*VLOOKUP('Données projet'!$B$11,Paramètres!$A$1:$I$89,3,0)*0.475*44/12</f>
        <v>1.4423063202224824</v>
      </c>
      <c r="BS61" s="22">
        <f t="shared" si="9"/>
        <v>14.836801565536152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299.10536994156814</v>
      </c>
      <c r="CE61" s="59">
        <f t="shared" si="40"/>
        <v>292.57799203101769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8.1761741696939687</v>
      </c>
      <c r="CL61" s="21">
        <f>EXP(-LN(2)/25)*CL60+(1-EXP(-LN(2)/25))/(LN(2)/25)*Calculateur!CG61*Calculateur!CI61*VLOOKUP('Données projet'!$B$12,Paramètres!$A$1:$I$89,3,0)*0.475*44/12</f>
        <v>5.2183210756197012</v>
      </c>
      <c r="CM61" s="21">
        <f>EXP(-LN(2)/2)*CM60+(1-EXP(-LN(2)/2))/(LN(2)/2)*CG61*CJ61*VLOOKUP('Données projet'!$B$12,Paramètres!$A$1:$I$89,3,0)*0.475*44/12</f>
        <v>1.4423063202224824</v>
      </c>
      <c r="CN61" s="22">
        <f t="shared" si="12"/>
        <v>14.836801565536152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10.125</v>
      </c>
      <c r="CT61" s="12">
        <f>IF('Données projet'!$A$140&gt;35,CT60+CS61-DB60,IF(A61&lt;'Données projet'!$A$140,$CQ$205^A61,IF(A61='Données projet'!$A$140,'Données projet'!$B$140,CT60+CS61-DB60)))</f>
        <v>229.75</v>
      </c>
      <c r="CU61" s="17">
        <f>CT61*VLOOKUP('Données projet'!$B$13,Paramètres!$A$1:$I$89,3,0)*VLOOKUP('Données projet'!$B$13,Paramètres!$A$1:$I$89,5,0)</f>
        <v>207.87780000000001</v>
      </c>
      <c r="CV61" s="13">
        <f t="shared" si="41"/>
        <v>51.471557815090421</v>
      </c>
      <c r="CW61" s="20">
        <f t="shared" si="13"/>
        <v>451.70013152794922</v>
      </c>
      <c r="CX61" s="59">
        <f t="shared" si="14"/>
        <v>745.03346486128248</v>
      </c>
      <c r="CY61" s="59">
        <f ca="1">AVERAGE(OFFSET($CX$3,0,0,'Données projet'!$E$13+1,1))-AVERAGE(OFFSET($H$3,0,0,'Données projet'!$E$13+1,1))</f>
        <v>528.15559695545812</v>
      </c>
      <c r="CZ61" s="59">
        <f t="shared" si="42"/>
        <v>276.26988364830532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18.110158748634447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18.110158748634447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10.125</v>
      </c>
      <c r="DO61" s="12">
        <f>IF('Données projet'!$A$166&gt;35,DO60+DN61-DW60,IF(A61&lt;'Données projet'!$A$166,$DL$205^A61,IF(A61='Données projet'!$A$166,'Données projet'!$B$166,DO60+DN61-DW60)))</f>
        <v>229.75</v>
      </c>
      <c r="DP61" s="17">
        <f>DO61*VLOOKUP('Données projet'!$B$14,Paramètres!$A$1:$I$89,3,0)*VLOOKUP('Données projet'!$B$14,Paramètres!$A$1:$I$89,5,0)</f>
        <v>232.96650000000002</v>
      </c>
      <c r="DQ61" s="13">
        <f t="shared" si="43"/>
        <v>56.923628994135441</v>
      </c>
      <c r="DR61" s="20">
        <f t="shared" si="16"/>
        <v>504.89197466478595</v>
      </c>
      <c r="DS61" s="59">
        <f t="shared" si="17"/>
        <v>798.22530799811921</v>
      </c>
      <c r="DT61" s="59">
        <f ca="1">AVERAGE(OFFSET($DS$3,0,0,'Données projet'!$E$14+1,1))-AVERAGE(OFFSET($H$3,0,0,'Données projet'!$E$14+1,1))</f>
        <v>586.50020405958992</v>
      </c>
      <c r="DU61" s="59">
        <f t="shared" si="44"/>
        <v>304.44184537595294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20.295867563124816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20.295867563124816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</v>
      </c>
      <c r="EJ61" s="12">
        <f>IF('Données projet'!$A$192&gt;35,EJ60+EI61-ER60,IF(A61&lt;'Données projet'!$A$192,$EG$205^A61,IF(A61='Données projet'!$A$192,'Données projet'!$B$192,EJ60+EI61-ER60)))</f>
        <v>234.59999999999985</v>
      </c>
      <c r="EK61" s="17">
        <f>EJ61*VLOOKUP('Données projet'!$B$15,Paramètres!$A$1:$I$89,3,0)*VLOOKUP('Données projet'!$B$15,Paramètres!$A$1:$I$89,5,0)</f>
        <v>226.90511999999987</v>
      </c>
      <c r="EL61" s="13">
        <f t="shared" si="45"/>
        <v>55.612969408444364</v>
      </c>
      <c r="EM61" s="20">
        <f t="shared" si="19"/>
        <v>492.05233905304038</v>
      </c>
      <c r="EN61" s="59">
        <f t="shared" si="20"/>
        <v>785.3856723863737</v>
      </c>
      <c r="EO61" s="59">
        <f ca="1">AVERAGE(OFFSET($EN$3,0,0,'Données projet'!$E$15+1,1))-AVERAGE(OFFSET($H$3,0,0,'Données projet'!$E$15+1,1))</f>
        <v>355.72173590705142</v>
      </c>
      <c r="EP61" s="59">
        <f t="shared" si="46"/>
        <v>346.30980704469363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8.0642546564573134</v>
      </c>
      <c r="EW61" s="21">
        <f>EXP(-LN(2)/25)*EW60+(1-EXP(-LN(2)/25))/(LN(2)/25)*Calculateur!ER61*Calculateur!ET61*VLOOKUP('Données projet'!$B$15,Paramètres!$A$1:$I$89,3,0)*0.475*44/12</f>
        <v>5.1468901174998614</v>
      </c>
      <c r="EX61" s="21">
        <f>EXP(-LN(2)/2)*EX60+(1-EXP(-LN(2)/2))/(LN(2)/2)*ER61*EU61*VLOOKUP('Données projet'!$B$15,Paramètres!$A$1:$I$89,3,0)*0.475*44/12</f>
        <v>1.7533919971332141</v>
      </c>
      <c r="EY61" s="22">
        <f t="shared" si="21"/>
        <v>14.964536771090389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5.2</v>
      </c>
      <c r="FE61" s="12">
        <f>IF('Données projet'!$A$218&gt;35,FE60+FD61-FM60,IF(A61&lt;'Données projet'!$A$218,$FB$205^A61,IF(A61='Données projet'!$A$218,'Données projet'!$B$218,FE60+FD61-FM60)))</f>
        <v>234.59999999999985</v>
      </c>
      <c r="FF61" s="17">
        <f>FE61*VLOOKUP('Données projet'!$B$16,Paramètres!$A$1:$I$89,3,0)*VLOOKUP('Données projet'!$B$16,Paramètres!$A$1:$I$89,5,0)</f>
        <v>190.3075199999999</v>
      </c>
      <c r="FG61" s="13">
        <f t="shared" si="47"/>
        <v>47.607934756469184</v>
      </c>
      <c r="FH61" s="20">
        <f t="shared" si="22"/>
        <v>414.36941703418364</v>
      </c>
      <c r="FI61" s="59">
        <f t="shared" si="23"/>
        <v>707.70275036751696</v>
      </c>
      <c r="FJ61" s="59">
        <f ca="1">AVERAGE(OFFSET($FI$3,0,0,'Données projet'!$E$16+1,1))-AVERAGE(OFFSET($H$3,0,0,'Données projet'!$E$16+1,1))</f>
        <v>304.26232113495314</v>
      </c>
      <c r="FK61" s="59">
        <f t="shared" si="48"/>
        <v>297.47246687305056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8.3364913102762017</v>
      </c>
      <c r="FR61" s="21">
        <f>EXP(-LN(2)/25)*FR60+(1-EXP(-LN(2)/25))/(LN(2)/25)*Calculateur!FM61*Calculateur!FO61*VLOOKUP('Données projet'!$B$16,Paramètres!$A$1:$I$89,3,0)*0.475*44/12</f>
        <v>5.3206410967102862</v>
      </c>
      <c r="FS61" s="21">
        <f>EXP(-LN(2)/2)*FS60+(1-EXP(-LN(2)/2))/(LN(2)/2)*FM61*FP61*VLOOKUP('Données projet'!$B$16,Paramètres!$A$1:$I$89,3,0)*0.475*44/12</f>
        <v>1.4705868363052763</v>
      </c>
      <c r="FT61" s="22">
        <f t="shared" si="24"/>
        <v>15.127719243291764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</v>
      </c>
      <c r="N62" s="13">
        <f>IF('Données projet'!$A$36&gt;35,N61+M62-V61,IF(A62&lt;'Données projet'!$A$36,$K$205^A62,IF(A62='Données projet'!$A$36,'Données projet'!$B$36,N61+M62-V61)))</f>
        <v>239.40000000000009</v>
      </c>
      <c r="O62" s="13">
        <f>N62*VLOOKUP('Données projet'!$B$9,Paramètres!$A$1:$I$89,3,0)*VLOOKUP('Données projet'!$B$9,Paramètres!$A$1:$I$89,5,0)</f>
        <v>209.13984000000008</v>
      </c>
      <c r="P62" s="13">
        <f t="shared" si="33"/>
        <v>51.747574219710266</v>
      </c>
      <c r="Q62" s="20">
        <f t="shared" si="53"/>
        <v>454.37891309932888</v>
      </c>
      <c r="R62" s="59">
        <f t="shared" si="0"/>
        <v>747.71224643266214</v>
      </c>
      <c r="S62" s="59">
        <f ca="1">AVERAGE(OFFSET($R$3,0,0,'Données projet'!$E$9+1,1))-AVERAGE(OFFSET($H$3,0,0,'Données projet'!$E$9+1,1))</f>
        <v>381.72225529388083</v>
      </c>
      <c r="T62" s="59">
        <f t="shared" si="34"/>
        <v>360.05900046417361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30.365582784510661</v>
      </c>
      <c r="AA62" s="21">
        <f>EXP(-LN(2)/25)*AA61+(1-EXP(-LN(2)/25))/(LN(2)/25)*Calculateur!V62*Calculateur!X62*VLOOKUP('Données projet'!$B$9,Paramètres!$A$1:$I$89,3,0)*0.475*44/12</f>
        <v>14.504225761609332</v>
      </c>
      <c r="AB62" s="21">
        <f>EXP(-LN(2)/2)*AB61+(1-EXP(-LN(2)/2))/(LN(2)/2)*V62*Y62*VLOOKUP('Données projet'!$B$9,Paramètres!$A$1:$I$89,3,0)*0.475*44/12</f>
        <v>6.8156052034451146E-5</v>
      </c>
      <c r="AC62" s="22">
        <f t="shared" si="3"/>
        <v>44.869876702172029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</v>
      </c>
      <c r="AI62" s="13">
        <f>IF('Données projet'!$A$62&gt;35,AI61+AH62-AQ61,IF(A62&lt;'Données projet'!$A$62,$AF$205^A62,IF(A62='Données projet'!$A$62,'Données projet'!$B$62,AI61+AH62-AQ61)))</f>
        <v>323.00000000000006</v>
      </c>
      <c r="AJ62" s="13">
        <f>AI62*VLOOKUP('Données projet'!$B$10,Paramètres!$A$1:$I$89,3,0)*VLOOKUP('Données projet'!$B$10,Paramètres!$A$1:$I$89,5,0)</f>
        <v>236.82360000000006</v>
      </c>
      <c r="AK62" s="13">
        <f t="shared" si="35"/>
        <v>57.755583516581098</v>
      </c>
      <c r="AL62" s="20">
        <f t="shared" si="4"/>
        <v>513.05874462471218</v>
      </c>
      <c r="AM62" s="59">
        <f t="shared" si="5"/>
        <v>806.39207795804555</v>
      </c>
      <c r="AN62" s="59">
        <f ca="1">AVERAGE(OFFSET($AM$3,0,0,'Données projet'!$E$10+1,1))-AVERAGE(OFFSET($H$3,0,0,'Données projet'!$E$10+1,1))</f>
        <v>464.3681853739115</v>
      </c>
      <c r="AO62" s="59">
        <f t="shared" si="36"/>
        <v>272.97841038165217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10.171086919701791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10.171086919701791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190.78487999999987</v>
      </c>
      <c r="BF62" s="13">
        <f t="shared" si="37"/>
        <v>47.713437020051622</v>
      </c>
      <c r="BG62" s="20">
        <f t="shared" si="7"/>
        <v>415.384568809923</v>
      </c>
      <c r="BH62" s="59">
        <f t="shared" si="8"/>
        <v>708.71790214325631</v>
      </c>
      <c r="BI62" s="59">
        <f ca="1">AVERAGE(OFFSET($BH$3,0,0,'Données projet'!$E$11+1,1))-AVERAGE(OFFSET($H$3,0,0,'Données projet'!$E$11+1,1))</f>
        <v>299.10536994156814</v>
      </c>
      <c r="BJ62" s="59">
        <f t="shared" si="38"/>
        <v>292.57799203101769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8.0158443812000915</v>
      </c>
      <c r="BQ62" s="21">
        <f>EXP(-LN(2)/25)*BQ61+(1-EXP(-LN(2)/25))/(LN(2)/25)*Calculateur!BL62*Calculateur!BN62*VLOOKUP('Données projet'!$B$11,Paramètres!$A$1:$I$89,3,0)*0.475*44/12</f>
        <v>5.0756258113873018</v>
      </c>
      <c r="BR62" s="21">
        <f>EXP(-LN(2)/2)*BR61+(1-EXP(-LN(2)/2))/(LN(2)/2)*BL62*BO62*VLOOKUP('Données projet'!$B$11,Paramètres!$A$1:$I$89,3,0)*0.475*44/12</f>
        <v>1.0198645795775334</v>
      </c>
      <c r="BS62" s="22">
        <f t="shared" si="9"/>
        <v>14.111334772164927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299.10536994156814</v>
      </c>
      <c r="CE62" s="59">
        <f t="shared" si="40"/>
        <v>292.57799203101769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8.0158443812000915</v>
      </c>
      <c r="CL62" s="21">
        <f>EXP(-LN(2)/25)*CL61+(1-EXP(-LN(2)/25))/(LN(2)/25)*Calculateur!CG62*Calculateur!CI62*VLOOKUP('Données projet'!$B$12,Paramètres!$A$1:$I$89,3,0)*0.475*44/12</f>
        <v>5.0756258113873018</v>
      </c>
      <c r="CM62" s="21">
        <f>EXP(-LN(2)/2)*CM61+(1-EXP(-LN(2)/2))/(LN(2)/2)*CG62*CJ62*VLOOKUP('Données projet'!$B$12,Paramètres!$A$1:$I$89,3,0)*0.475*44/12</f>
        <v>1.0198645795775334</v>
      </c>
      <c r="CN62" s="22">
        <f t="shared" si="12"/>
        <v>14.111334772164927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10.125</v>
      </c>
      <c r="CT62" s="12">
        <f>IF('Données projet'!$A$140&gt;35,CT61+CS62-DB61,IF(A62&lt;'Données projet'!$A$140,$CQ$205^A62,IF(A62='Données projet'!$A$140,'Données projet'!$B$140,CT61+CS62-DB61)))</f>
        <v>239.875</v>
      </c>
      <c r="CU62" s="17">
        <f>CT62*VLOOKUP('Données projet'!$B$13,Paramètres!$A$1:$I$89,3,0)*VLOOKUP('Données projet'!$B$13,Paramètres!$A$1:$I$89,5,0)</f>
        <v>217.03890000000001</v>
      </c>
      <c r="CV62" s="13">
        <f t="shared" si="41"/>
        <v>53.470798576660421</v>
      </c>
      <c r="CW62" s="20">
        <f t="shared" si="13"/>
        <v>471.13772502101688</v>
      </c>
      <c r="CX62" s="59">
        <f t="shared" si="14"/>
        <v>764.47105835435013</v>
      </c>
      <c r="CY62" s="59">
        <f ca="1">AVERAGE(OFFSET($CX$3,0,0,'Données projet'!$E$13+1,1))-AVERAGE(OFFSET($H$3,0,0,'Données projet'!$E$13+1,1))</f>
        <v>528.15559695545812</v>
      </c>
      <c r="CZ62" s="59">
        <f t="shared" si="42"/>
        <v>276.26988364830532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17.614935505281181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17.614935505281181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10.125</v>
      </c>
      <c r="DO62" s="12">
        <f>IF('Données projet'!$A$166&gt;35,DO61+DN62-DW61,IF(A62&lt;'Données projet'!$A$166,$DL$205^A62,IF(A62='Données projet'!$A$166,'Données projet'!$B$166,DO61+DN62-DW61)))</f>
        <v>239.875</v>
      </c>
      <c r="DP62" s="17">
        <f>DO62*VLOOKUP('Données projet'!$B$14,Paramètres!$A$1:$I$89,3,0)*VLOOKUP('Données projet'!$B$14,Paramètres!$A$1:$I$89,5,0)</f>
        <v>243.23325000000003</v>
      </c>
      <c r="DQ62" s="13">
        <f t="shared" si="43"/>
        <v>59.134637252140763</v>
      </c>
      <c r="DR62" s="20">
        <f t="shared" si="16"/>
        <v>526.62407029747862</v>
      </c>
      <c r="DS62" s="59">
        <f t="shared" si="17"/>
        <v>819.957403630812</v>
      </c>
      <c r="DT62" s="59">
        <f ca="1">AVERAGE(OFFSET($DS$3,0,0,'Données projet'!$E$14+1,1))-AVERAGE(OFFSET($H$3,0,0,'Données projet'!$E$14+1,1))</f>
        <v>586.50020405958992</v>
      </c>
      <c r="DU62" s="59">
        <f t="shared" si="44"/>
        <v>304.44184537595294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19.740875997297881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19.740875997297881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</v>
      </c>
      <c r="EJ62" s="12">
        <f>IF('Données projet'!$A$192&gt;35,EJ61+EI62-ER61,IF(A62&lt;'Données projet'!$A$192,$EG$205^A62,IF(A62='Données projet'!$A$192,'Données projet'!$B$192,EJ61+EI62-ER61)))</f>
        <v>239.79999999999984</v>
      </c>
      <c r="EK62" s="17">
        <f>EJ62*VLOOKUP('Données projet'!$B$15,Paramètres!$A$1:$I$89,3,0)*VLOOKUP('Données projet'!$B$15,Paramètres!$A$1:$I$89,5,0)</f>
        <v>231.93455999999986</v>
      </c>
      <c r="EL62" s="13">
        <f t="shared" si="45"/>
        <v>56.700774503204229</v>
      </c>
      <c r="EM62" s="20">
        <f t="shared" si="19"/>
        <v>502.70654092641371</v>
      </c>
      <c r="EN62" s="59">
        <f t="shared" si="20"/>
        <v>796.03987425974697</v>
      </c>
      <c r="EO62" s="59">
        <f ca="1">AVERAGE(OFFSET($EN$3,0,0,'Données projet'!$E$15+1,1))-AVERAGE(OFFSET($H$3,0,0,'Données projet'!$E$15+1,1))</f>
        <v>355.72173590705142</v>
      </c>
      <c r="EP62" s="59">
        <f t="shared" si="46"/>
        <v>346.30980704469363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7.9061195413538439</v>
      </c>
      <c r="EW62" s="21">
        <f>EXP(-LN(2)/25)*EW61+(1-EXP(-LN(2)/25))/(LN(2)/25)*Calculateur!ER62*Calculateur!ET62*VLOOKUP('Données projet'!$B$15,Paramètres!$A$1:$I$89,3,0)*0.475*44/12</f>
        <v>5.00614813657364</v>
      </c>
      <c r="EX62" s="21">
        <f>EXP(-LN(2)/2)*EX61+(1-EXP(-LN(2)/2))/(LN(2)/2)*ER62*EU62*VLOOKUP('Données projet'!$B$15,Paramètres!$A$1:$I$89,3,0)*0.475*44/12</f>
        <v>1.2398353712511192</v>
      </c>
      <c r="EY62" s="22">
        <f t="shared" si="21"/>
        <v>14.152103049178605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5.2</v>
      </c>
      <c r="FE62" s="12">
        <f>IF('Données projet'!$A$218&gt;35,FE61+FD62-FM61,IF(A62&lt;'Données projet'!$A$218,$FB$205^A62,IF(A62='Données projet'!$A$218,'Données projet'!$B$218,FE61+FD62-FM61)))</f>
        <v>239.79999999999984</v>
      </c>
      <c r="FF62" s="17">
        <f>FE62*VLOOKUP('Données projet'!$B$16,Paramètres!$A$1:$I$89,3,0)*VLOOKUP('Données projet'!$B$16,Paramètres!$A$1:$I$89,5,0)</f>
        <v>194.52575999999991</v>
      </c>
      <c r="FG62" s="13">
        <f t="shared" si="47"/>
        <v>48.539159154841606</v>
      </c>
      <c r="FH62" s="20">
        <f t="shared" si="22"/>
        <v>423.33806752801564</v>
      </c>
      <c r="FI62" s="59">
        <f t="shared" si="23"/>
        <v>716.67140086134896</v>
      </c>
      <c r="FJ62" s="59">
        <f ca="1">AVERAGE(OFFSET($FI$3,0,0,'Données projet'!$E$16+1,1))-AVERAGE(OFFSET($H$3,0,0,'Données projet'!$E$16+1,1))</f>
        <v>304.26232113495314</v>
      </c>
      <c r="FK62" s="59">
        <f t="shared" si="48"/>
        <v>297.47246687305056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8.1730178004393057</v>
      </c>
      <c r="FR62" s="21">
        <f>EXP(-LN(2)/25)*FR61+(1-EXP(-LN(2)/25))/(LN(2)/25)*Calculateur!FM62*Calculateur!FO62*VLOOKUP('Données projet'!$B$16,Paramètres!$A$1:$I$89,3,0)*0.475*44/12</f>
        <v>5.1751478861203886</v>
      </c>
      <c r="FS62" s="21">
        <f>EXP(-LN(2)/2)*FS61+(1-EXP(-LN(2)/2))/(LN(2)/2)*FM62*FP62*VLOOKUP('Données projet'!$B$16,Paramètres!$A$1:$I$89,3,0)*0.475*44/12</f>
        <v>1.0398619242751324</v>
      </c>
      <c r="FT62" s="22">
        <f t="shared" si="24"/>
        <v>14.388027610834827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246</v>
      </c>
      <c r="L63" s="12">
        <f>VLOOKUP(A63,'Données projet'!$A$35:$I$55,9,0)</f>
        <v>6.6</v>
      </c>
      <c r="M63" s="12">
        <f t="array" ref="M63">INDEX(L:L,MIN(IF(ISNUMBER(L63:L259),ROW(L63:L259),"")))</f>
        <v>6.6</v>
      </c>
      <c r="N63" s="13">
        <f>IF('Données projet'!$A$36&gt;35,N62+M63-V62,IF(A63&lt;'Données projet'!$A$36,$K$205^A63,IF(A63='Données projet'!$A$36,'Données projet'!$B$36,N62+M63-V62)))</f>
        <v>246.00000000000009</v>
      </c>
      <c r="O63" s="13">
        <f>N63*VLOOKUP('Données projet'!$B$9,Paramètres!$A$1:$I$89,3,0)*VLOOKUP('Données projet'!$B$9,Paramètres!$A$1:$I$89,5,0)</f>
        <v>214.90560000000008</v>
      </c>
      <c r="P63" s="13">
        <f t="shared" si="33"/>
        <v>53.006137800892326</v>
      </c>
      <c r="Q63" s="20">
        <f t="shared" si="53"/>
        <v>466.61294333655428</v>
      </c>
      <c r="R63" s="59">
        <f t="shared" si="0"/>
        <v>759.94627666988754</v>
      </c>
      <c r="S63" s="59">
        <f ca="1">AVERAGE(OFFSET($R$3,0,0,'Données projet'!$E$9+1,1))-AVERAGE(OFFSET($H$3,0,0,'Données projet'!$E$9+1,1))</f>
        <v>381.72225529388083</v>
      </c>
      <c r="T63" s="59">
        <f t="shared" si="34"/>
        <v>360.05900046417361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24</v>
      </c>
      <c r="W63" s="16">
        <f>IF(ISNA(VLOOKUP(A63,'Données projet'!$A$35:$I$55,5,0)),0%,VLOOKUP(A63,'Données projet'!$A$35:$I$55,5,0)*VLOOKUP('Données projet'!$B$9,Paramètres!$A$1:$I$89,7,0))</f>
        <v>0.30099999999999999</v>
      </c>
      <c r="X63" s="16">
        <f>IF(ISNA(VLOOKUP(A63,'Données projet'!$A$35:$I$55,6,0)),0%,VLOOKUP(A63,'Données projet'!$A$35:$I$55,6,0)*VLOOKUP('Données projet'!$B$9,Paramètres!$A$1:$I$89,7,0))</f>
        <v>4.3000000000000003E-2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36.746630211080429</v>
      </c>
      <c r="AA63" s="21">
        <f>EXP(-LN(2)/25)*AA62+(1-EXP(-LN(2)/25))/(LN(2)/25)*Calculateur!V63*Calculateur!X63*VLOOKUP('Données projet'!$B$9,Paramètres!$A$1:$I$89,3,0)*0.475*44/12</f>
        <v>15.100325352982756</v>
      </c>
      <c r="AB63" s="21">
        <f>EXP(-LN(2)/2)*AB62+(1-EXP(-LN(2)/2))/(LN(2)/2)*V63*Y63*VLOOKUP('Données projet'!$B$9,Paramètres!$A$1:$I$89,3,0)*0.475*44/12</f>
        <v>4.8193606572463594E-5</v>
      </c>
      <c r="AC63" s="22">
        <f t="shared" si="3"/>
        <v>51.847003757669761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336</v>
      </c>
      <c r="AG63" s="12">
        <f>VLOOKUP(A63,'Données projet'!$A$61:$I$81,9,0)</f>
        <v>13</v>
      </c>
      <c r="AH63" s="12">
        <f t="array" ref="AH63">INDEX(AG:AG,MIN(IF(ISNUMBER(AG63:AG259),ROW(AG63:AG259),"")))</f>
        <v>13</v>
      </c>
      <c r="AI63" s="13">
        <f>IF('Données projet'!$A$62&gt;35,AI62+AH63-AQ62,IF(A63&lt;'Données projet'!$A$62,$AF$205^A63,IF(A63='Données projet'!$A$62,'Données projet'!$B$62,AI62+AH63-AQ62)))</f>
        <v>336.00000000000006</v>
      </c>
      <c r="AJ63" s="13">
        <f>AI63*VLOOKUP('Données projet'!$B$10,Paramètres!$A$1:$I$89,3,0)*VLOOKUP('Données projet'!$B$10,Paramètres!$A$1:$I$89,5,0)</f>
        <v>246.35520000000002</v>
      </c>
      <c r="AK63" s="13">
        <f t="shared" si="35"/>
        <v>59.804795924194437</v>
      </c>
      <c r="AL63" s="20">
        <f t="shared" si="4"/>
        <v>533.22865956797193</v>
      </c>
      <c r="AM63" s="59">
        <f t="shared" si="5"/>
        <v>826.5619929013053</v>
      </c>
      <c r="AN63" s="59">
        <f ca="1">AVERAGE(OFFSET($AM$3,0,0,'Données projet'!$E$10+1,1))-AVERAGE(OFFSET($H$3,0,0,'Données projet'!$E$10+1,1))</f>
        <v>464.3681853739115</v>
      </c>
      <c r="AO63" s="59">
        <f t="shared" si="36"/>
        <v>272.97841038165217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0.215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15.968187850993941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15.968187850993941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194.92199999999988</v>
      </c>
      <c r="BF63" s="13">
        <f t="shared" si="37"/>
        <v>48.626512129794925</v>
      </c>
      <c r="BG63" s="20">
        <f t="shared" si="7"/>
        <v>424.18032529272591</v>
      </c>
      <c r="BH63" s="59">
        <f t="shared" si="8"/>
        <v>717.51365862605917</v>
      </c>
      <c r="BI63" s="59">
        <f ca="1">AVERAGE(OFFSET($BH$3,0,0,'Données projet'!$E$11+1,1))-AVERAGE(OFFSET($H$3,0,0,'Données projet'!$E$11+1,1))</f>
        <v>299.10536994156814</v>
      </c>
      <c r="BJ63" s="59">
        <f t="shared" si="38"/>
        <v>292.57799203101769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0.26500000000000001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0.3</v>
      </c>
      <c r="BP63" s="21">
        <f>EXP(-LN(2)/35)*BP62+(1-EXP(-LN(2)/35))/(LN(2)/35)*BL63*BM63*VLOOKUP('Données projet'!$B$11,Paramètres!$A$1:$I$89,3,0)*0.475*44/12</f>
        <v>10.655507466048464</v>
      </c>
      <c r="BQ63" s="21">
        <f>EXP(-LN(2)/25)*BQ62+(1-EXP(-LN(2)/25))/(LN(2)/25)*Calculateur!BL63*Calculateur!BN63*VLOOKUP('Données projet'!$B$11,Paramètres!$A$1:$I$89,3,0)*0.475*44/12</f>
        <v>4.9368325566593549</v>
      </c>
      <c r="BR63" s="21">
        <f>EXP(-LN(2)/2)*BR62+(1-EXP(-LN(2)/2))/(LN(2)/2)*BL63*BO63*VLOOKUP('Données projet'!$B$11,Paramètres!$A$1:$I$89,3,0)*0.475*44/12</f>
        <v>3.4235652078474095</v>
      </c>
      <c r="BS63" s="22">
        <f t="shared" si="9"/>
        <v>19.01590523055523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299.10536994156814</v>
      </c>
      <c r="CE63" s="59">
        <f t="shared" si="40"/>
        <v>292.57799203101769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0.26500000000000001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0.3</v>
      </c>
      <c r="CK63" s="21">
        <f>EXP(-LN(2)/35)*CK62+(1-EXP(-LN(2)/35))/(LN(2)/35)*CG63*CH63*VLOOKUP('Données projet'!$B$12,Paramètres!$A$1:$I$89,3,0)*0.475*44/12</f>
        <v>10.655507466048464</v>
      </c>
      <c r="CL63" s="21">
        <f>EXP(-LN(2)/25)*CL62+(1-EXP(-LN(2)/25))/(LN(2)/25)*Calculateur!CG63*Calculateur!CI63*VLOOKUP('Données projet'!$B$12,Paramètres!$A$1:$I$89,3,0)*0.475*44/12</f>
        <v>4.9368325566593549</v>
      </c>
      <c r="CM63" s="21">
        <f>EXP(-LN(2)/2)*CM62+(1-EXP(-LN(2)/2))/(LN(2)/2)*CG63*CJ63*VLOOKUP('Données projet'!$B$12,Paramètres!$A$1:$I$89,3,0)*0.475*44/12</f>
        <v>3.4235652078474095</v>
      </c>
      <c r="CN63" s="22">
        <f t="shared" si="12"/>
        <v>19.01590523055523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250</v>
      </c>
      <c r="CR63" s="12">
        <f>VLOOKUP(A63,'Données projet'!$A$139:$I$159,9,0)</f>
        <v>10.125</v>
      </c>
      <c r="CS63" s="12">
        <f t="array" ref="CS63">INDEX(CR:CR,MIN(IF(ISNUMBER(CR63:CR259),ROW(CR63:CR259),"")))</f>
        <v>10.125</v>
      </c>
      <c r="CT63" s="12">
        <f>IF('Données projet'!$A$140&gt;35,CT62+CS63-DB62,IF(A63&lt;'Données projet'!$A$140,$CQ$205^A63,IF(A63='Données projet'!$A$140,'Données projet'!$B$140,CT62+CS63-DB62)))</f>
        <v>250</v>
      </c>
      <c r="CU63" s="17">
        <f>CT63*VLOOKUP('Données projet'!$B$13,Paramètres!$A$1:$I$89,3,0)*VLOOKUP('Données projet'!$B$13,Paramètres!$A$1:$I$89,5,0)</f>
        <v>226.20000000000002</v>
      </c>
      <c r="CV63" s="13">
        <f t="shared" si="41"/>
        <v>55.460237717698156</v>
      </c>
      <c r="CW63" s="20">
        <f t="shared" si="13"/>
        <v>490.55824735832431</v>
      </c>
      <c r="CX63" s="59">
        <f t="shared" si="14"/>
        <v>783.89158069165762</v>
      </c>
      <c r="CY63" s="59">
        <f ca="1">AVERAGE(OFFSET($CX$3,0,0,'Données projet'!$E$13+1,1))-AVERAGE(OFFSET($H$3,0,0,'Données projet'!$E$13+1,1))</f>
        <v>528.15559695545812</v>
      </c>
      <c r="CZ63" s="59">
        <f t="shared" si="42"/>
        <v>276.26988364830532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54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0.215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28.700196327177657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28.700196327177657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250</v>
      </c>
      <c r="DM63" s="12">
        <f>VLOOKUP(A63,'Données projet'!$A$165:$I$185,9,0)</f>
        <v>10.125</v>
      </c>
      <c r="DN63" s="12">
        <f t="array" ref="DN63">INDEX(DM:DM,MIN(IF(ISNUMBER(DM63:DM259),ROW(DM63:DM259),"")))</f>
        <v>10.125</v>
      </c>
      <c r="DO63" s="12">
        <f>IF('Données projet'!$A$166&gt;35,DO62+DN63-DW62,IF(A63&lt;'Données projet'!$A$166,$DL$205^A63,IF(A63='Données projet'!$A$166,'Données projet'!$B$166,DO62+DN63-DW62)))</f>
        <v>250</v>
      </c>
      <c r="DP63" s="17">
        <f>DO63*VLOOKUP('Données projet'!$B$14,Paramètres!$A$1:$I$89,3,0)*VLOOKUP('Données projet'!$B$14,Paramètres!$A$1:$I$89,5,0)</f>
        <v>253.5</v>
      </c>
      <c r="DQ63" s="13">
        <f t="shared" si="43"/>
        <v>61.334805663162555</v>
      </c>
      <c r="DR63" s="20">
        <f t="shared" si="16"/>
        <v>548.3372865300081</v>
      </c>
      <c r="DS63" s="59">
        <f t="shared" si="17"/>
        <v>841.67061986334147</v>
      </c>
      <c r="DT63" s="59">
        <f ca="1">AVERAGE(OFFSET($DS$3,0,0,'Données projet'!$E$14+1,1))-AVERAGE(OFFSET($H$3,0,0,'Données projet'!$E$14+1,1))</f>
        <v>586.50020405958992</v>
      </c>
      <c r="DU63" s="59">
        <f t="shared" si="44"/>
        <v>304.44184537595294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54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32.164013125285308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32.164013125285308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245</v>
      </c>
      <c r="EH63" s="12">
        <f>VLOOKUP(A63,'Données projet'!$A$191:$I$211,9,0)</f>
        <v>5.2</v>
      </c>
      <c r="EI63" s="12">
        <f t="array" ref="EI63">INDEX(EH:EH,MIN(IF(ISNUMBER(EH63:EH259),ROW(EH63:EH259),"")))</f>
        <v>5.2</v>
      </c>
      <c r="EJ63" s="12">
        <f>IF('Données projet'!$A$192&gt;35,EJ62+EI63-ER62,IF(A63&lt;'Données projet'!$A$192,$EG$205^A63,IF(A63='Données projet'!$A$192,'Données projet'!$B$192,EJ62+EI63-ER62)))</f>
        <v>244.99999999999983</v>
      </c>
      <c r="EK63" s="17">
        <f>EJ63*VLOOKUP('Données projet'!$B$15,Paramètres!$A$1:$I$89,3,0)*VLOOKUP('Données projet'!$B$15,Paramètres!$A$1:$I$89,5,0)</f>
        <v>236.96399999999983</v>
      </c>
      <c r="EL63" s="13">
        <f t="shared" si="45"/>
        <v>57.785837100566191</v>
      </c>
      <c r="EM63" s="20">
        <f t="shared" si="19"/>
        <v>513.35596628348583</v>
      </c>
      <c r="EN63" s="59">
        <f t="shared" si="20"/>
        <v>806.6892996168192</v>
      </c>
      <c r="EO63" s="59">
        <f ca="1">AVERAGE(OFFSET($EN$3,0,0,'Données projet'!$E$15+1,1))-AVERAGE(OFFSET($H$3,0,0,'Données projet'!$E$15+1,1))</f>
        <v>355.72173590705142</v>
      </c>
      <c r="EP63" s="59">
        <f t="shared" si="46"/>
        <v>346.30980704469363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12</v>
      </c>
      <c r="ES63" s="16">
        <f>IF(ISNA(VLOOKUP(A63,'Données projet'!$A$191:$I$211,5,0)),0%,VLOOKUP(A63,'Données projet'!$A$191:$I$211,5,0)*VLOOKUP('Données projet'!$B$15,Paramètres!$A$1:$I$89,7,0))</f>
        <v>0.215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0.3</v>
      </c>
      <c r="EV63" s="21">
        <f>EXP(-LN(2)/35)*EV62+(1-EXP(-LN(2)/35))/(LN(2)/35)*ER63*ES63*VLOOKUP('Données projet'!$B$15,Paramètres!$A$1:$I$89,3,0)*0.475*44/12</f>
        <v>10.509649613202072</v>
      </c>
      <c r="EW63" s="21">
        <f>EXP(-LN(2)/25)*EW62+(1-EXP(-LN(2)/25))/(LN(2)/25)*Calculateur!ER63*Calculateur!ET63*VLOOKUP('Données projet'!$B$15,Paramètres!$A$1:$I$89,3,0)*0.475*44/12</f>
        <v>4.8692547525171452</v>
      </c>
      <c r="EX63" s="21">
        <f>EXP(-LN(2)/2)*EX62+(1-EXP(-LN(2)/2))/(LN(2)/2)*ER63*EU63*VLOOKUP('Données projet'!$B$15,Paramètres!$A$1:$I$89,3,0)*0.475*44/12</f>
        <v>4.1619812330694002</v>
      </c>
      <c r="EY63" s="22">
        <f t="shared" si="21"/>
        <v>19.540885598788616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245</v>
      </c>
      <c r="FC63" s="12">
        <f>VLOOKUP(A63,'Données projet'!$A$217:$I$237,9,0)</f>
        <v>5.2</v>
      </c>
      <c r="FD63" s="12">
        <f t="array" ref="FD63">INDEX(FC:FC,MIN(IF(ISNUMBER(FC63:FC259),ROW(FC63:FC259),"")))</f>
        <v>5.2</v>
      </c>
      <c r="FE63" s="12">
        <f>IF('Données projet'!$A$218&gt;35,FE62+FD63-FM62,IF(A63&lt;'Données projet'!$A$218,$FB$205^A63,IF(A63='Données projet'!$A$218,'Données projet'!$B$218,FE62+FD63-FM62)))</f>
        <v>244.99999999999983</v>
      </c>
      <c r="FF63" s="17">
        <f>FE63*VLOOKUP('Données projet'!$B$16,Paramètres!$A$1:$I$89,3,0)*VLOOKUP('Données projet'!$B$16,Paramètres!$A$1:$I$89,5,0)</f>
        <v>198.74399999999989</v>
      </c>
      <c r="FG63" s="13">
        <f t="shared" si="47"/>
        <v>49.468035816012154</v>
      </c>
      <c r="FH63" s="20">
        <f t="shared" si="22"/>
        <v>432.30262904622094</v>
      </c>
      <c r="FI63" s="59">
        <f t="shared" si="23"/>
        <v>725.63596237955426</v>
      </c>
      <c r="FJ63" s="59">
        <f ca="1">AVERAGE(OFFSET($FI$3,0,0,'Données projet'!$E$16+1,1))-AVERAGE(OFFSET($H$3,0,0,'Données projet'!$E$16+1,1))</f>
        <v>304.26232113495314</v>
      </c>
      <c r="FK63" s="59">
        <f t="shared" si="48"/>
        <v>297.47246687305056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0.26500000000000001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0.3</v>
      </c>
      <c r="FQ63" s="21">
        <f>EXP(-LN(2)/35)*FQ62+(1-EXP(-LN(2)/35))/(LN(2)/35)*FM63*FN63*VLOOKUP('Données projet'!$B$16,Paramètres!$A$1:$I$89,3,0)*0.475*44/12</f>
        <v>10.864438984990587</v>
      </c>
      <c r="FR63" s="21">
        <f>EXP(-LN(2)/25)*FR62+(1-EXP(-LN(2)/25))/(LN(2)/25)*Calculateur!FM63*Calculateur!FO63*VLOOKUP('Données projet'!$B$16,Paramètres!$A$1:$I$89,3,0)*0.475*44/12</f>
        <v>5.0336331950252271</v>
      </c>
      <c r="FS63" s="21">
        <f>EXP(-LN(2)/2)*FS62+(1-EXP(-LN(2)/2))/(LN(2)/2)*FM63*FP63*VLOOKUP('Données projet'!$B$16,Paramètres!$A$1:$I$89,3,0)*0.475*44/12</f>
        <v>3.4906939374130452</v>
      </c>
      <c r="FT63" s="22">
        <f t="shared" si="24"/>
        <v>19.388766117428858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228.00000000000009</v>
      </c>
      <c r="O64" s="13">
        <f>N64*VLOOKUP('Données projet'!$B$9,Paramètres!$A$1:$I$89,3,0)*VLOOKUP('Données projet'!$B$9,Paramètres!$A$1:$I$89,5,0)</f>
        <v>199.18080000000012</v>
      </c>
      <c r="P64" s="13">
        <f t="shared" si="33"/>
        <v>49.564089376413726</v>
      </c>
      <c r="Q64" s="20">
        <f t="shared" si="53"/>
        <v>433.2306823305874</v>
      </c>
      <c r="R64" s="59">
        <f t="shared" si="0"/>
        <v>726.56401566392071</v>
      </c>
      <c r="S64" s="59">
        <f ca="1">AVERAGE(OFFSET($R$3,0,0,'Données projet'!$E$9+1,1))-AVERAGE(OFFSET($H$3,0,0,'Données projet'!$E$9+1,1))</f>
        <v>381.72225529388083</v>
      </c>
      <c r="T64" s="59">
        <f t="shared" si="34"/>
        <v>360.05900046417361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36.026051205872449</v>
      </c>
      <c r="AA64" s="21">
        <f>EXP(-LN(2)/25)*AA63+(1-EXP(-LN(2)/25))/(LN(2)/25)*Calculateur!V64*Calculateur!X64*VLOOKUP('Données projet'!$B$9,Paramètres!$A$1:$I$89,3,0)*0.475*44/12</f>
        <v>14.687406162113843</v>
      </c>
      <c r="AB64" s="21">
        <f>EXP(-LN(2)/2)*AB63+(1-EXP(-LN(2)/2))/(LN(2)/2)*V64*Y64*VLOOKUP('Données projet'!$B$9,Paramètres!$A$1:$I$89,3,0)*0.475*44/12</f>
        <v>3.4078026017225573E-5</v>
      </c>
      <c r="AC64" s="22">
        <f t="shared" si="3"/>
        <v>50.713491446012313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12.4</v>
      </c>
      <c r="AI64" s="13">
        <f>IF('Données projet'!$A$62&gt;35,AI63+AH64-AQ63,IF(A64&lt;'Données projet'!$A$62,$AF$205^A64,IF(A64='Données projet'!$A$62,'Données projet'!$B$62,AI63+AH64-AQ63)))</f>
        <v>313.40000000000003</v>
      </c>
      <c r="AJ64" s="13">
        <f>AI64*VLOOKUP('Données projet'!$B$10,Paramètres!$A$1:$I$89,3,0)*VLOOKUP('Données projet'!$B$10,Paramètres!$A$1:$I$89,5,0)</f>
        <v>229.78488000000002</v>
      </c>
      <c r="AK64" s="13">
        <f t="shared" si="35"/>
        <v>56.236165024778025</v>
      </c>
      <c r="AL64" s="20">
        <f t="shared" si="4"/>
        <v>498.15332008482181</v>
      </c>
      <c r="AM64" s="59">
        <f t="shared" si="5"/>
        <v>791.48665341815513</v>
      </c>
      <c r="AN64" s="59">
        <f ca="1">AVERAGE(OFFSET($AM$3,0,0,'Données projet'!$E$10+1,1))-AVERAGE(OFFSET($H$3,0,0,'Données projet'!$E$10+1,1))</f>
        <v>464.3681853739115</v>
      </c>
      <c r="AO64" s="59">
        <f t="shared" si="36"/>
        <v>272.97841038165217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15.531536914478007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15.531536914478007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188.87543999999988</v>
      </c>
      <c r="BF64" s="13">
        <f t="shared" si="37"/>
        <v>47.291242769027726</v>
      </c>
      <c r="BG64" s="20">
        <f t="shared" si="7"/>
        <v>411.32363915605634</v>
      </c>
      <c r="BH64" s="59">
        <f t="shared" si="8"/>
        <v>704.65697248938966</v>
      </c>
      <c r="BI64" s="59">
        <f ca="1">AVERAGE(OFFSET($BH$3,0,0,'Données projet'!$E$11+1,1))-AVERAGE(OFFSET($H$3,0,0,'Données projet'!$E$11+1,1))</f>
        <v>299.10536994156814</v>
      </c>
      <c r="BJ64" s="59">
        <f t="shared" si="38"/>
        <v>292.57799203101769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10.446559463857064</v>
      </c>
      <c r="BQ64" s="21">
        <f>EXP(-LN(2)/25)*BQ63+(1-EXP(-LN(2)/25))/(LN(2)/25)*Calculateur!BL64*Calculateur!BN64*VLOOKUP('Données projet'!$B$11,Paramètres!$A$1:$I$89,3,0)*0.475*44/12</f>
        <v>4.8018346107807641</v>
      </c>
      <c r="BR64" s="21">
        <f>EXP(-LN(2)/2)*BR63+(1-EXP(-LN(2)/2))/(LN(2)/2)*BL64*BO64*VLOOKUP('Données projet'!$B$11,Paramètres!$A$1:$I$89,3,0)*0.475*44/12</f>
        <v>2.4208261743032353</v>
      </c>
      <c r="BS64" s="22">
        <f t="shared" si="9"/>
        <v>17.669220248941063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299.10536994156814</v>
      </c>
      <c r="CE64" s="59">
        <f t="shared" si="40"/>
        <v>292.57799203101769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10.446559463857064</v>
      </c>
      <c r="CL64" s="21">
        <f>EXP(-LN(2)/25)*CL63+(1-EXP(-LN(2)/25))/(LN(2)/25)*Calculateur!CG64*Calculateur!CI64*VLOOKUP('Données projet'!$B$12,Paramètres!$A$1:$I$89,3,0)*0.475*44/12</f>
        <v>4.8018346107807641</v>
      </c>
      <c r="CM64" s="21">
        <f>EXP(-LN(2)/2)*CM63+(1-EXP(-LN(2)/2))/(LN(2)/2)*CG64*CJ64*VLOOKUP('Données projet'!$B$12,Paramètres!$A$1:$I$89,3,0)*0.475*44/12</f>
        <v>2.4208261743032353</v>
      </c>
      <c r="CN64" s="22">
        <f t="shared" si="12"/>
        <v>17.669220248941063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8.6666666666666661</v>
      </c>
      <c r="CT64" s="12">
        <f>IF('Données projet'!$A$140&gt;35,CT63+CS64-DB63,IF(A64&lt;'Données projet'!$A$140,$CQ$205^A64,IF(A64='Données projet'!$A$140,'Données projet'!$B$140,CT63+CS64-DB63)))</f>
        <v>204.66666666666669</v>
      </c>
      <c r="CU64" s="17">
        <f>CT64*VLOOKUP('Données projet'!$B$13,Paramètres!$A$1:$I$89,3,0)*VLOOKUP('Données projet'!$B$13,Paramètres!$A$1:$I$89,5,0)</f>
        <v>185.1824</v>
      </c>
      <c r="CV64" s="13">
        <f t="shared" si="41"/>
        <v>46.473263079642983</v>
      </c>
      <c r="CW64" s="20">
        <f t="shared" si="13"/>
        <v>403.46694653037821</v>
      </c>
      <c r="CX64" s="59">
        <f t="shared" si="14"/>
        <v>696.80027986371147</v>
      </c>
      <c r="CY64" s="59">
        <f ca="1">AVERAGE(OFFSET($CX$3,0,0,'Données projet'!$E$13+1,1))-AVERAGE(OFFSET($H$3,0,0,'Données projet'!$E$13+1,1))</f>
        <v>528.15559695545812</v>
      </c>
      <c r="CZ64" s="59">
        <f t="shared" si="42"/>
        <v>276.26988364830532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27.915387949333255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27.915387949333255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204.66666666666669</v>
      </c>
      <c r="DP64" s="17">
        <f>DO64*VLOOKUP('Données projet'!$B$14,Paramètres!$A$1:$I$89,3,0)*VLOOKUP('Données projet'!$B$14,Paramètres!$A$1:$I$89,5,0)</f>
        <v>207.53200000000004</v>
      </c>
      <c r="DQ64" s="13">
        <f t="shared" si="43"/>
        <v>51.395895092121414</v>
      </c>
      <c r="DR64" s="20">
        <f t="shared" si="16"/>
        <v>450.96608395211155</v>
      </c>
      <c r="DS64" s="59">
        <f t="shared" si="17"/>
        <v>744.29941728544486</v>
      </c>
      <c r="DT64" s="59">
        <f ca="1">AVERAGE(OFFSET($DS$3,0,0,'Données projet'!$E$14+1,1))-AVERAGE(OFFSET($H$3,0,0,'Données projet'!$E$14+1,1))</f>
        <v>586.50020405958992</v>
      </c>
      <c r="DU64" s="59">
        <f t="shared" si="44"/>
        <v>304.44184537595294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31.284486494942442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31.284486494942442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4.4000000000000004</v>
      </c>
      <c r="EJ64" s="12">
        <f>IF('Données projet'!$A$192&gt;35,EJ63+EI64-ER63,IF(A64&lt;'Données projet'!$A$192,$EG$205^A64,IF(A64='Données projet'!$A$192,'Données projet'!$B$192,EJ63+EI64-ER63)))</f>
        <v>237.39999999999984</v>
      </c>
      <c r="EK64" s="17">
        <f>EJ64*VLOOKUP('Données projet'!$B$15,Paramètres!$A$1:$I$89,3,0)*VLOOKUP('Données projet'!$B$15,Paramètres!$A$1:$I$89,5,0)</f>
        <v>229.61327999999986</v>
      </c>
      <c r="EL64" s="13">
        <f t="shared" si="45"/>
        <v>56.199055437906189</v>
      </c>
      <c r="EM64" s="20">
        <f t="shared" si="19"/>
        <v>497.78981755435296</v>
      </c>
      <c r="EN64" s="59">
        <f t="shared" si="20"/>
        <v>791.12315088768628</v>
      </c>
      <c r="EO64" s="59">
        <f ca="1">AVERAGE(OFFSET($EN$3,0,0,'Données projet'!$E$15+1,1))-AVERAGE(OFFSET($H$3,0,0,'Données projet'!$E$15+1,1))</f>
        <v>355.72173590705142</v>
      </c>
      <c r="EP64" s="59">
        <f t="shared" si="46"/>
        <v>346.30980704469363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10.303561794540483</v>
      </c>
      <c r="EW64" s="21">
        <f>EXP(-LN(2)/25)*EW63+(1-EXP(-LN(2)/25))/(LN(2)/25)*Calculateur!ER64*Calculateur!ET64*VLOOKUP('Données projet'!$B$15,Paramètres!$A$1:$I$89,3,0)*0.475*44/12</f>
        <v>4.7361047252465855</v>
      </c>
      <c r="EX64" s="21">
        <f>EXP(-LN(2)/2)*EX63+(1-EXP(-LN(2)/2))/(LN(2)/2)*ER64*EU64*VLOOKUP('Données projet'!$B$15,Paramètres!$A$1:$I$89,3,0)*0.475*44/12</f>
        <v>2.942965153074522</v>
      </c>
      <c r="EY64" s="22">
        <f t="shared" si="21"/>
        <v>17.98263167286159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4.4000000000000004</v>
      </c>
      <c r="FE64" s="12">
        <f>IF('Données projet'!$A$218&gt;35,FE63+FD64-FM63,IF(A64&lt;'Données projet'!$A$218,$FB$205^A64,IF(A64='Données projet'!$A$218,'Données projet'!$B$218,FE63+FD64-FM63)))</f>
        <v>237.39999999999984</v>
      </c>
      <c r="FF64" s="17">
        <f>FE64*VLOOKUP('Données projet'!$B$16,Paramètres!$A$1:$I$89,3,0)*VLOOKUP('Données projet'!$B$16,Paramètres!$A$1:$I$89,5,0)</f>
        <v>192.57887999999988</v>
      </c>
      <c r="FG64" s="13">
        <f t="shared" si="47"/>
        <v>48.109658468565421</v>
      </c>
      <c r="FH64" s="20">
        <f t="shared" si="22"/>
        <v>419.19920449941787</v>
      </c>
      <c r="FI64" s="59">
        <f t="shared" si="23"/>
        <v>712.53253783275113</v>
      </c>
      <c r="FJ64" s="59">
        <f ca="1">AVERAGE(OFFSET($FI$3,0,0,'Données projet'!$E$16+1,1))-AVERAGE(OFFSET($H$3,0,0,'Données projet'!$E$16+1,1))</f>
        <v>304.26232113495314</v>
      </c>
      <c r="FK64" s="59">
        <f t="shared" si="48"/>
        <v>297.47246687305056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10.651393963148374</v>
      </c>
      <c r="FR64" s="21">
        <f>EXP(-LN(2)/25)*FR63+(1-EXP(-LN(2)/25))/(LN(2)/25)*Calculateur!FM64*Calculateur!FO64*VLOOKUP('Données projet'!$B$16,Paramètres!$A$1:$I$89,3,0)*0.475*44/12</f>
        <v>4.8959882305999969</v>
      </c>
      <c r="FS64" s="21">
        <f>EXP(-LN(2)/2)*FS63+(1-EXP(-LN(2)/2))/(LN(2)/2)*FM64*FP64*VLOOKUP('Données projet'!$B$16,Paramètres!$A$1:$I$89,3,0)*0.475*44/12</f>
        <v>2.4682933541915344</v>
      </c>
      <c r="FT64" s="22">
        <f t="shared" si="24"/>
        <v>18.015675547939907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234.00000000000009</v>
      </c>
      <c r="O65" s="13">
        <f>N65*VLOOKUP('Données projet'!$B$9,Paramètres!$A$1:$I$89,3,0)*VLOOKUP('Données projet'!$B$9,Paramètres!$A$1:$I$89,5,0)</f>
        <v>204.4224000000001</v>
      </c>
      <c r="P65" s="13">
        <f t="shared" si="33"/>
        <v>50.714836797527312</v>
      </c>
      <c r="Q65" s="20">
        <f t="shared" si="53"/>
        <v>444.3640207556935</v>
      </c>
      <c r="R65" s="59">
        <f t="shared" si="0"/>
        <v>737.69735408902682</v>
      </c>
      <c r="S65" s="59">
        <f ca="1">AVERAGE(OFFSET($R$3,0,0,'Données projet'!$E$9+1,1))-AVERAGE(OFFSET($H$3,0,0,'Données projet'!$E$9+1,1))</f>
        <v>381.72225529388083</v>
      </c>
      <c r="T65" s="59">
        <f t="shared" si="34"/>
        <v>360.05900046417361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35.319602315446801</v>
      </c>
      <c r="AA65" s="21">
        <f>EXP(-LN(2)/25)*AA64+(1-EXP(-LN(2)/25))/(LN(2)/25)*Calculateur!V65*Calculateur!X65*VLOOKUP('Données projet'!$B$9,Paramètres!$A$1:$I$89,3,0)*0.475*44/12</f>
        <v>14.285778268233718</v>
      </c>
      <c r="AB65" s="21">
        <f>EXP(-LN(2)/2)*AB64+(1-EXP(-LN(2)/2))/(LN(2)/2)*V65*Y65*VLOOKUP('Données projet'!$B$9,Paramètres!$A$1:$I$89,3,0)*0.475*44/12</f>
        <v>2.4096803286231797E-5</v>
      </c>
      <c r="AC65" s="22">
        <f t="shared" si="3"/>
        <v>49.605404680483808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12.4</v>
      </c>
      <c r="AI65" s="13">
        <f>IF('Données projet'!$A$62&gt;35,AI64+AH65-AQ64,IF(A65&lt;'Données projet'!$A$62,$AF$205^A65,IF(A65='Données projet'!$A$62,'Données projet'!$B$62,AI64+AH65-AQ64)))</f>
        <v>325.8</v>
      </c>
      <c r="AJ65" s="13">
        <f>AI65*VLOOKUP('Données projet'!$B$10,Paramètres!$A$1:$I$89,3,0)*VLOOKUP('Données projet'!$B$10,Paramètres!$A$1:$I$89,5,0)</f>
        <v>238.87656000000001</v>
      </c>
      <c r="AK65" s="13">
        <f t="shared" si="35"/>
        <v>58.197750927455104</v>
      </c>
      <c r="AL65" s="20">
        <f t="shared" si="4"/>
        <v>517.40442486531765</v>
      </c>
      <c r="AM65" s="59">
        <f t="shared" si="5"/>
        <v>810.73775819865091</v>
      </c>
      <c r="AN65" s="59">
        <f ca="1">AVERAGE(OFFSET($AM$3,0,0,'Données projet'!$E$10+1,1))-AVERAGE(OFFSET($H$3,0,0,'Données projet'!$E$10+1,1))</f>
        <v>464.3681853739115</v>
      </c>
      <c r="AO65" s="59">
        <f t="shared" si="36"/>
        <v>272.97841038165217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15.106826220783578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15.106826220783578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192.37607999999989</v>
      </c>
      <c r="BF65" s="13">
        <f t="shared" si="37"/>
        <v>48.064889828485896</v>
      </c>
      <c r="BG65" s="20">
        <f t="shared" si="7"/>
        <v>418.76802245127936</v>
      </c>
      <c r="BH65" s="59">
        <f t="shared" si="8"/>
        <v>712.10135578461268</v>
      </c>
      <c r="BI65" s="59">
        <f ca="1">AVERAGE(OFFSET($BH$3,0,0,'Données projet'!$E$11+1,1))-AVERAGE(OFFSET($H$3,0,0,'Données projet'!$E$11+1,1))</f>
        <v>299.10536994156814</v>
      </c>
      <c r="BJ65" s="59">
        <f t="shared" si="38"/>
        <v>292.57799203101769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10.24170880454294</v>
      </c>
      <c r="BQ65" s="21">
        <f>EXP(-LN(2)/25)*BQ64+(1-EXP(-LN(2)/25))/(LN(2)/25)*Calculateur!BL65*Calculateur!BN65*VLOOKUP('Données projet'!$B$11,Paramètres!$A$1:$I$89,3,0)*0.475*44/12</f>
        <v>4.6705281908314564</v>
      </c>
      <c r="BR65" s="21">
        <f>EXP(-LN(2)/2)*BR64+(1-EXP(-LN(2)/2))/(LN(2)/2)*BL65*BO65*VLOOKUP('Données projet'!$B$11,Paramètres!$A$1:$I$89,3,0)*0.475*44/12</f>
        <v>1.711782603923705</v>
      </c>
      <c r="BS65" s="22">
        <f t="shared" si="9"/>
        <v>16.624019599298101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299.10536994156814</v>
      </c>
      <c r="CE65" s="59">
        <f t="shared" si="40"/>
        <v>292.57799203101769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10.24170880454294</v>
      </c>
      <c r="CL65" s="21">
        <f>EXP(-LN(2)/25)*CL64+(1-EXP(-LN(2)/25))/(LN(2)/25)*Calculateur!CG65*Calculateur!CI65*VLOOKUP('Données projet'!$B$12,Paramètres!$A$1:$I$89,3,0)*0.475*44/12</f>
        <v>4.6705281908314564</v>
      </c>
      <c r="CM65" s="21">
        <f>EXP(-LN(2)/2)*CM64+(1-EXP(-LN(2)/2))/(LN(2)/2)*CG65*CJ65*VLOOKUP('Données projet'!$B$12,Paramètres!$A$1:$I$89,3,0)*0.475*44/12</f>
        <v>1.711782603923705</v>
      </c>
      <c r="CN65" s="22">
        <f t="shared" si="12"/>
        <v>16.624019599298101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8.6666666666666661</v>
      </c>
      <c r="CT65" s="12">
        <f>IF('Données projet'!$A$140&gt;35,CT64+CS65-DB64,IF(A65&lt;'Données projet'!$A$140,$CQ$205^A65,IF(A65='Données projet'!$A$140,'Données projet'!$B$140,CT64+CS65-DB64)))</f>
        <v>213.33333333333334</v>
      </c>
      <c r="CU65" s="17">
        <f>CT65*VLOOKUP('Données projet'!$B$13,Paramètres!$A$1:$I$89,3,0)*VLOOKUP('Données projet'!$B$13,Paramètres!$A$1:$I$89,5,0)</f>
        <v>193.024</v>
      </c>
      <c r="CV65" s="13">
        <f t="shared" si="41"/>
        <v>48.207900663536861</v>
      </c>
      <c r="CW65" s="20">
        <f t="shared" si="13"/>
        <v>420.14556032232667</v>
      </c>
      <c r="CX65" s="59">
        <f t="shared" si="14"/>
        <v>713.47889365565993</v>
      </c>
      <c r="CY65" s="59">
        <f ca="1">AVERAGE(OFFSET($CX$3,0,0,'Données projet'!$E$13+1,1))-AVERAGE(OFFSET($H$3,0,0,'Données projet'!$E$13+1,1))</f>
        <v>528.15559695545812</v>
      </c>
      <c r="CZ65" s="59">
        <f t="shared" si="42"/>
        <v>276.26988364830532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27.152040197852287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27.152040197852287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213.33333333333334</v>
      </c>
      <c r="DP65" s="17">
        <f>DO65*VLOOKUP('Données projet'!$B$14,Paramètres!$A$1:$I$89,3,0)*VLOOKUP('Données projet'!$B$14,Paramètres!$A$1:$I$89,5,0)</f>
        <v>216.32000000000005</v>
      </c>
      <c r="DQ65" s="13">
        <f t="shared" si="43"/>
        <v>53.314272356310404</v>
      </c>
      <c r="DR65" s="20">
        <f t="shared" si="16"/>
        <v>469.61302435390735</v>
      </c>
      <c r="DS65" s="59">
        <f t="shared" si="17"/>
        <v>762.94635768724061</v>
      </c>
      <c r="DT65" s="59">
        <f ca="1">AVERAGE(OFFSET($DS$3,0,0,'Données projet'!$E$14+1,1))-AVERAGE(OFFSET($H$3,0,0,'Données projet'!$E$14+1,1))</f>
        <v>586.50020405958992</v>
      </c>
      <c r="DU65" s="59">
        <f t="shared" si="44"/>
        <v>304.44184537595294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30.429010566558599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30.429010566558599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4.4000000000000004</v>
      </c>
      <c r="EJ65" s="12">
        <f>IF('Données projet'!$A$192&gt;35,EJ64+EI65-ER64,IF(A65&lt;'Données projet'!$A$192,$EG$205^A65,IF(A65='Données projet'!$A$192,'Données projet'!$B$192,EJ64+EI65-ER64)))</f>
        <v>241.79999999999984</v>
      </c>
      <c r="EK65" s="17">
        <f>EJ65*VLOOKUP('Données projet'!$B$15,Paramètres!$A$1:$I$89,3,0)*VLOOKUP('Données projet'!$B$15,Paramètres!$A$1:$I$89,5,0)</f>
        <v>233.86895999999987</v>
      </c>
      <c r="EL65" s="13">
        <f t="shared" si="45"/>
        <v>57.118427216656315</v>
      </c>
      <c r="EM65" s="20">
        <f t="shared" si="19"/>
        <v>506.8030327356762</v>
      </c>
      <c r="EN65" s="59">
        <f t="shared" si="20"/>
        <v>800.13636606900945</v>
      </c>
      <c r="EO65" s="59">
        <f ca="1">AVERAGE(OFFSET($EN$3,0,0,'Données projet'!$E$15+1,1))-AVERAGE(OFFSET($H$3,0,0,'Données projet'!$E$15+1,1))</f>
        <v>355.72173590705142</v>
      </c>
      <c r="EP65" s="59">
        <f t="shared" si="46"/>
        <v>346.30980704469363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10.101515232301692</v>
      </c>
      <c r="EW65" s="21">
        <f>EXP(-LN(2)/25)*EW64+(1-EXP(-LN(2)/25))/(LN(2)/25)*Calculateur!ER65*Calculateur!ET65*VLOOKUP('Données projet'!$B$15,Paramètres!$A$1:$I$89,3,0)*0.475*44/12</f>
        <v>4.6065956924737943</v>
      </c>
      <c r="EX65" s="21">
        <f>EXP(-LN(2)/2)*EX64+(1-EXP(-LN(2)/2))/(LN(2)/2)*ER65*EU65*VLOOKUP('Données projet'!$B$15,Paramètres!$A$1:$I$89,3,0)*0.475*44/12</f>
        <v>2.0809906165347005</v>
      </c>
      <c r="EY65" s="22">
        <f t="shared" si="21"/>
        <v>16.789101541310188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4.4000000000000004</v>
      </c>
      <c r="FE65" s="12">
        <f>IF('Données projet'!$A$218&gt;35,FE64+FD65-FM64,IF(A65&lt;'Données projet'!$A$218,$FB$205^A65,IF(A65='Données projet'!$A$218,'Données projet'!$B$218,FE64+FD65-FM64)))</f>
        <v>241.79999999999984</v>
      </c>
      <c r="FF65" s="17">
        <f>FE65*VLOOKUP('Données projet'!$B$16,Paramètres!$A$1:$I$89,3,0)*VLOOKUP('Données projet'!$B$16,Paramètres!$A$1:$I$89,5,0)</f>
        <v>196.14815999999988</v>
      </c>
      <c r="FG65" s="13">
        <f t="shared" si="47"/>
        <v>48.896694156917398</v>
      </c>
      <c r="FH65" s="20">
        <f t="shared" si="22"/>
        <v>426.78645432329751</v>
      </c>
      <c r="FI65" s="59">
        <f t="shared" si="23"/>
        <v>720.11978765663082</v>
      </c>
      <c r="FJ65" s="59">
        <f ca="1">AVERAGE(OFFSET($FI$3,0,0,'Données projet'!$E$16+1,1))-AVERAGE(OFFSET($H$3,0,0,'Données projet'!$E$16+1,1))</f>
        <v>304.26232113495314</v>
      </c>
      <c r="FK65" s="59">
        <f t="shared" si="48"/>
        <v>297.47246687305056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10.442526624239855</v>
      </c>
      <c r="FR65" s="21">
        <f>EXP(-LN(2)/25)*FR64+(1-EXP(-LN(2)/25))/(LN(2)/25)*Calculateur!FM65*Calculateur!FO65*VLOOKUP('Données projet'!$B$16,Paramètres!$A$1:$I$89,3,0)*0.475*44/12</f>
        <v>4.7621071749654087</v>
      </c>
      <c r="FS65" s="21">
        <f>EXP(-LN(2)/2)*FS64+(1-EXP(-LN(2)/2))/(LN(2)/2)*FM65*FP65*VLOOKUP('Données projet'!$B$16,Paramètres!$A$1:$I$89,3,0)*0.475*44/12</f>
        <v>1.7453469687065228</v>
      </c>
      <c r="FT65" s="22">
        <f t="shared" si="24"/>
        <v>16.949980767911789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240.00000000000009</v>
      </c>
      <c r="O66" s="13">
        <f>N66*VLOOKUP('Données projet'!$B$9,Paramètres!$A$1:$I$89,3,0)*VLOOKUP('Données projet'!$B$9,Paramètres!$A$1:$I$89,5,0)</f>
        <v>209.6640000000001</v>
      </c>
      <c r="P66" s="13">
        <f t="shared" si="33"/>
        <v>51.862154403304537</v>
      </c>
      <c r="Q66" s="20">
        <f t="shared" si="53"/>
        <v>455.49138558575561</v>
      </c>
      <c r="R66" s="59">
        <f t="shared" si="0"/>
        <v>748.82471891908892</v>
      </c>
      <c r="S66" s="59">
        <f ca="1">AVERAGE(OFFSET($R$3,0,0,'Données projet'!$E$9+1,1))-AVERAGE(OFFSET($H$3,0,0,'Données projet'!$E$9+1,1))</f>
        <v>381.72225529388083</v>
      </c>
      <c r="T66" s="59">
        <f t="shared" si="34"/>
        <v>360.05900046417361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34.627006456871122</v>
      </c>
      <c r="AA66" s="21">
        <f>EXP(-LN(2)/25)*AA65+(1-EXP(-LN(2)/25))/(LN(2)/25)*Calculateur!V66*Calculateur!X66*VLOOKUP('Données projet'!$B$9,Paramètres!$A$1:$I$89,3,0)*0.475*44/12</f>
        <v>13.895132910232439</v>
      </c>
      <c r="AB66" s="21">
        <f>EXP(-LN(2)/2)*AB65+(1-EXP(-LN(2)/2))/(LN(2)/2)*V66*Y66*VLOOKUP('Données projet'!$B$9,Paramètres!$A$1:$I$89,3,0)*0.475*44/12</f>
        <v>1.7039013008612786E-5</v>
      </c>
      <c r="AC66" s="22">
        <f t="shared" si="3"/>
        <v>48.522156406116572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12.4</v>
      </c>
      <c r="AI66" s="13">
        <f>IF('Données projet'!$A$62&gt;35,AI65+AH66-AQ65,IF(A66&lt;'Données projet'!$A$62,$AF$205^A66,IF(A66='Données projet'!$A$62,'Données projet'!$B$62,AI65+AH66-AQ65)))</f>
        <v>338.2</v>
      </c>
      <c r="AJ66" s="13">
        <f>AI66*VLOOKUP('Données projet'!$B$10,Paramètres!$A$1:$I$89,3,0)*VLOOKUP('Données projet'!$B$10,Paramètres!$A$1:$I$89,5,0)</f>
        <v>247.96823999999998</v>
      </c>
      <c r="AK66" s="13">
        <f t="shared" si="35"/>
        <v>60.150663616828652</v>
      </c>
      <c r="AL66" s="20">
        <f t="shared" si="4"/>
        <v>536.64042379930981</v>
      </c>
      <c r="AM66" s="59">
        <f t="shared" si="5"/>
        <v>829.97375713264319</v>
      </c>
      <c r="AN66" s="59">
        <f ca="1">AVERAGE(OFFSET($AM$3,0,0,'Données projet'!$E$10+1,1))-AVERAGE(OFFSET($H$3,0,0,'Données projet'!$E$10+1,1))</f>
        <v>464.3681853739115</v>
      </c>
      <c r="AO66" s="59">
        <f t="shared" si="36"/>
        <v>272.97841038165217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14.693729263342787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14.693729263342787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195.87671999999989</v>
      </c>
      <c r="BF66" s="13">
        <f t="shared" si="37"/>
        <v>48.836899853879942</v>
      </c>
      <c r="BG66" s="20">
        <f t="shared" si="7"/>
        <v>426.20955457884071</v>
      </c>
      <c r="BH66" s="59">
        <f t="shared" si="8"/>
        <v>719.54288791217402</v>
      </c>
      <c r="BI66" s="59">
        <f ca="1">AVERAGE(OFFSET($BH$3,0,0,'Données projet'!$E$11+1,1))-AVERAGE(OFFSET($H$3,0,0,'Données projet'!$E$11+1,1))</f>
        <v>299.10536994156814</v>
      </c>
      <c r="BJ66" s="59">
        <f t="shared" si="38"/>
        <v>292.57799203101769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10.040875141711401</v>
      </c>
      <c r="BQ66" s="21">
        <f>EXP(-LN(2)/25)*BQ65+(1-EXP(-LN(2)/25))/(LN(2)/25)*Calculateur!BL66*Calculateur!BN66*VLOOKUP('Données projet'!$B$11,Paramètres!$A$1:$I$89,3,0)*0.475*44/12</f>
        <v>4.5428123518407677</v>
      </c>
      <c r="BR66" s="21">
        <f>EXP(-LN(2)/2)*BR65+(1-EXP(-LN(2)/2))/(LN(2)/2)*BL66*BO66*VLOOKUP('Données projet'!$B$11,Paramètres!$A$1:$I$89,3,0)*0.475*44/12</f>
        <v>1.2104130871516179</v>
      </c>
      <c r="BS66" s="22">
        <f t="shared" si="9"/>
        <v>15.794100580703788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299.10536994156814</v>
      </c>
      <c r="CE66" s="59">
        <f t="shared" si="40"/>
        <v>292.57799203101769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10.040875141711401</v>
      </c>
      <c r="CL66" s="21">
        <f>EXP(-LN(2)/25)*CL65+(1-EXP(-LN(2)/25))/(LN(2)/25)*Calculateur!CG66*Calculateur!CI66*VLOOKUP('Données projet'!$B$12,Paramètres!$A$1:$I$89,3,0)*0.475*44/12</f>
        <v>4.5428123518407677</v>
      </c>
      <c r="CM66" s="21">
        <f>EXP(-LN(2)/2)*CM65+(1-EXP(-LN(2)/2))/(LN(2)/2)*CG66*CJ66*VLOOKUP('Données projet'!$B$12,Paramètres!$A$1:$I$89,3,0)*0.475*44/12</f>
        <v>1.2104130871516179</v>
      </c>
      <c r="CN66" s="22">
        <f t="shared" si="12"/>
        <v>15.794100580703788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8.6666666666666661</v>
      </c>
      <c r="CT66" s="12">
        <f>IF('Données projet'!$A$140&gt;35,CT65+CS66-DB65,IF(A66&lt;'Données projet'!$A$140,$CQ$205^A66,IF(A66='Données projet'!$A$140,'Données projet'!$B$140,CT65+CS66-DB65)))</f>
        <v>222</v>
      </c>
      <c r="CU66" s="17">
        <f>CT66*VLOOKUP('Données projet'!$B$13,Paramètres!$A$1:$I$89,3,0)*VLOOKUP('Données projet'!$B$13,Paramètres!$A$1:$I$89,5,0)</f>
        <v>200.8656</v>
      </c>
      <c r="CV66" s="13">
        <f t="shared" si="41"/>
        <v>49.934352565642911</v>
      </c>
      <c r="CW66" s="20">
        <f t="shared" si="13"/>
        <v>436.80991738516144</v>
      </c>
      <c r="CX66" s="59">
        <f t="shared" si="14"/>
        <v>730.14325071849476</v>
      </c>
      <c r="CY66" s="59">
        <f ca="1">AVERAGE(OFFSET($CX$3,0,0,'Données projet'!$E$13+1,1))-AVERAGE(OFFSET($H$3,0,0,'Données projet'!$E$13+1,1))</f>
        <v>528.15559695545812</v>
      </c>
      <c r="CZ66" s="59">
        <f t="shared" si="42"/>
        <v>276.26988364830532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26.409566230778278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26.409566230778278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222</v>
      </c>
      <c r="DP66" s="17">
        <f>DO66*VLOOKUP('Données projet'!$B$14,Paramètres!$A$1:$I$89,3,0)*VLOOKUP('Données projet'!$B$14,Paramètres!$A$1:$I$89,5,0)</f>
        <v>225.10800000000003</v>
      </c>
      <c r="DQ66" s="13">
        <f t="shared" si="43"/>
        <v>55.22359687888963</v>
      </c>
      <c r="DR66" s="20">
        <f t="shared" si="16"/>
        <v>488.24419789739949</v>
      </c>
      <c r="DS66" s="59">
        <f t="shared" si="17"/>
        <v>781.5775312307328</v>
      </c>
      <c r="DT66" s="59">
        <f ca="1">AVERAGE(OFFSET($DS$3,0,0,'Données projet'!$E$14+1,1))-AVERAGE(OFFSET($H$3,0,0,'Données projet'!$E$14+1,1))</f>
        <v>586.50020405958992</v>
      </c>
      <c r="DU66" s="59">
        <f t="shared" si="44"/>
        <v>304.44184537595294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29.596927672423934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29.596927672423934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4.4000000000000004</v>
      </c>
      <c r="EJ66" s="12">
        <f>IF('Données projet'!$A$192&gt;35,EJ65+EI66-ER65,IF(A66&lt;'Données projet'!$A$192,$EG$205^A66,IF(A66='Données projet'!$A$192,'Données projet'!$B$192,EJ65+EI66-ER65)))</f>
        <v>246.19999999999985</v>
      </c>
      <c r="EK66" s="17">
        <f>EJ66*VLOOKUP('Données projet'!$B$15,Paramètres!$A$1:$I$89,3,0)*VLOOKUP('Données projet'!$B$15,Paramètres!$A$1:$I$89,5,0)</f>
        <v>238.12463999999983</v>
      </c>
      <c r="EL66" s="13">
        <f t="shared" si="45"/>
        <v>58.035853608422748</v>
      </c>
      <c r="EM66" s="20">
        <f t="shared" si="19"/>
        <v>515.81285970133592</v>
      </c>
      <c r="EN66" s="59">
        <f t="shared" si="20"/>
        <v>809.1461930346693</v>
      </c>
      <c r="EO66" s="59">
        <f ca="1">AVERAGE(OFFSET($EN$3,0,0,'Données projet'!$E$15+1,1))-AVERAGE(OFFSET($H$3,0,0,'Données projet'!$E$15+1,1))</f>
        <v>355.72173590705142</v>
      </c>
      <c r="EP66" s="59">
        <f t="shared" si="46"/>
        <v>346.30980704469363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9.9034306799121676</v>
      </c>
      <c r="EW66" s="21">
        <f>EXP(-LN(2)/25)*EW65+(1-EXP(-LN(2)/25))/(LN(2)/25)*Calculateur!ER66*Calculateur!ET66*VLOOKUP('Données projet'!$B$15,Paramètres!$A$1:$I$89,3,0)*0.475*44/12</f>
        <v>4.4806280910127594</v>
      </c>
      <c r="EX66" s="21">
        <f>EXP(-LN(2)/2)*EX65+(1-EXP(-LN(2)/2))/(LN(2)/2)*ER66*EU66*VLOOKUP('Données projet'!$B$15,Paramètres!$A$1:$I$89,3,0)*0.475*44/12</f>
        <v>1.4714825765372612</v>
      </c>
      <c r="EY66" s="22">
        <f t="shared" si="21"/>
        <v>15.855541347462188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4.4000000000000004</v>
      </c>
      <c r="FE66" s="12">
        <f>IF('Données projet'!$A$218&gt;35,FE65+FD66-FM65,IF(A66&lt;'Données projet'!$A$218,$FB$205^A66,IF(A66='Données projet'!$A$218,'Données projet'!$B$218,FE65+FD66-FM65)))</f>
        <v>246.19999999999985</v>
      </c>
      <c r="FF66" s="17">
        <f>FE66*VLOOKUP('Données projet'!$B$16,Paramètres!$A$1:$I$89,3,0)*VLOOKUP('Données projet'!$B$16,Paramètres!$A$1:$I$89,5,0)</f>
        <v>199.71743999999987</v>
      </c>
      <c r="FG66" s="13">
        <f t="shared" si="47"/>
        <v>49.682064480920403</v>
      </c>
      <c r="FH66" s="20">
        <f t="shared" si="22"/>
        <v>434.37080363760282</v>
      </c>
      <c r="FI66" s="59">
        <f t="shared" si="23"/>
        <v>727.70413697093613</v>
      </c>
      <c r="FJ66" s="59">
        <f ca="1">AVERAGE(OFFSET($FI$3,0,0,'Données projet'!$E$16+1,1))-AVERAGE(OFFSET($H$3,0,0,'Données projet'!$E$16+1,1))</f>
        <v>304.26232113495314</v>
      </c>
      <c r="FK66" s="59">
        <f t="shared" si="48"/>
        <v>297.47246687305056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10.237755046450836</v>
      </c>
      <c r="FR66" s="21">
        <f>EXP(-LN(2)/25)*FR65+(1-EXP(-LN(2)/25))/(LN(2)/25)*Calculateur!FM66*Calculateur!FO66*VLOOKUP('Données projet'!$B$16,Paramètres!$A$1:$I$89,3,0)*0.475*44/12</f>
        <v>4.6318871038376468</v>
      </c>
      <c r="FS66" s="21">
        <f>EXP(-LN(2)/2)*FS65+(1-EXP(-LN(2)/2))/(LN(2)/2)*FM66*FP66*VLOOKUP('Données projet'!$B$16,Paramètres!$A$1:$I$89,3,0)*0.475*44/12</f>
        <v>1.2341466770957674</v>
      </c>
      <c r="FT66" s="22">
        <f t="shared" si="24"/>
        <v>16.10378882738425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246.00000000000009</v>
      </c>
      <c r="O67" s="13">
        <f>N67*VLOOKUP('Données projet'!$B$9,Paramètres!$A$1:$I$89,3,0)*VLOOKUP('Données projet'!$B$9,Paramètres!$A$1:$I$89,5,0)</f>
        <v>214.90560000000008</v>
      </c>
      <c r="P67" s="13">
        <f t="shared" si="33"/>
        <v>53.006137800892326</v>
      </c>
      <c r="Q67" s="20">
        <f t="shared" ref="Q67:Q98" si="54">(O67+P67)*0.475*44/12</f>
        <v>466.61294333655428</v>
      </c>
      <c r="R67" s="59">
        <f t="shared" ref="R67:R130" si="55">Q67+(I67+J67)*44/12</f>
        <v>759.94627666988754</v>
      </c>
      <c r="S67" s="59">
        <f ca="1">AVERAGE(OFFSET($R$3,0,0,'Données projet'!$E$9+1,1))-AVERAGE(OFFSET($H$3,0,0,'Données projet'!$E$9+1,1))</f>
        <v>381.72225529388083</v>
      </c>
      <c r="T67" s="59">
        <f t="shared" si="34"/>
        <v>360.05900046417361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33.947991980640353</v>
      </c>
      <c r="AA67" s="21">
        <f>EXP(-LN(2)/25)*AA66+(1-EXP(-LN(2)/25))/(LN(2)/25)*Calculateur!V67*Calculateur!X67*VLOOKUP('Données projet'!$B$9,Paramètres!$A$1:$I$89,3,0)*0.475*44/12</f>
        <v>13.515169770088852</v>
      </c>
      <c r="AB67" s="21">
        <f>EXP(-LN(2)/2)*AB66+(1-EXP(-LN(2)/2))/(LN(2)/2)*V67*Y67*VLOOKUP('Données projet'!$B$9,Paramètres!$A$1:$I$89,3,0)*0.475*44/12</f>
        <v>1.2048401643115899E-5</v>
      </c>
      <c r="AC67" s="22">
        <f t="shared" si="3"/>
        <v>47.46317379913085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12.4</v>
      </c>
      <c r="AI67" s="13">
        <f>IF('Données projet'!$A$62&gt;35,AI66+AH67-AQ66,IF(A67&lt;'Données projet'!$A$62,$AF$205^A67,IF(A67='Données projet'!$A$62,'Données projet'!$B$62,AI66+AH67-AQ66)))</f>
        <v>350.59999999999997</v>
      </c>
      <c r="AJ67" s="13">
        <f>AI67*VLOOKUP('Données projet'!$B$10,Paramètres!$A$1:$I$89,3,0)*VLOOKUP('Données projet'!$B$10,Paramètres!$A$1:$I$89,5,0)</f>
        <v>257.05991999999998</v>
      </c>
      <c r="AK67" s="13">
        <f t="shared" si="35"/>
        <v>62.095257513974488</v>
      </c>
      <c r="AL67" s="20">
        <f t="shared" si="4"/>
        <v>555.86193417017216</v>
      </c>
      <c r="AM67" s="59">
        <f t="shared" si="5"/>
        <v>849.19526750350542</v>
      </c>
      <c r="AN67" s="59">
        <f ca="1">AVERAGE(OFFSET($AM$3,0,0,'Données projet'!$E$10+1,1))-AVERAGE(OFFSET($H$3,0,0,'Données projet'!$E$10+1,1))</f>
        <v>464.3681853739115</v>
      </c>
      <c r="AO67" s="59">
        <f t="shared" si="36"/>
        <v>272.97841038165217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14.291928463927039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14.291928463927039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199.3773599999999</v>
      </c>
      <c r="BF67" s="13">
        <f t="shared" si="37"/>
        <v>49.607305476717762</v>
      </c>
      <c r="BG67" s="20">
        <f t="shared" si="7"/>
        <v>433.64829237194994</v>
      </c>
      <c r="BH67" s="59">
        <f t="shared" si="8"/>
        <v>726.98162570528325</v>
      </c>
      <c r="BI67" s="59">
        <f ca="1">AVERAGE(OFFSET($BH$3,0,0,'Données projet'!$E$11+1,1))-AVERAGE(OFFSET($H$3,0,0,'Données projet'!$E$11+1,1))</f>
        <v>299.10536994156814</v>
      </c>
      <c r="BJ67" s="59">
        <f t="shared" si="38"/>
        <v>292.57799203101769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9.8439797045115505</v>
      </c>
      <c r="BQ67" s="21">
        <f>EXP(-LN(2)/25)*BQ66+(1-EXP(-LN(2)/25))/(LN(2)/25)*Calculateur!BL67*Calculateur!BN67*VLOOKUP('Données projet'!$B$11,Paramètres!$A$1:$I$89,3,0)*0.475*44/12</f>
        <v>4.4185889091835628</v>
      </c>
      <c r="BR67" s="21">
        <f>EXP(-LN(2)/2)*BR66+(1-EXP(-LN(2)/2))/(LN(2)/2)*BL67*BO67*VLOOKUP('Données projet'!$B$11,Paramètres!$A$1:$I$89,3,0)*0.475*44/12</f>
        <v>0.85589130196185259</v>
      </c>
      <c r="BS67" s="22">
        <f t="shared" si="9"/>
        <v>15.118459915656965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299.10536994156814</v>
      </c>
      <c r="CE67" s="59">
        <f t="shared" si="40"/>
        <v>292.57799203101769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9.8439797045115505</v>
      </c>
      <c r="CL67" s="21">
        <f>EXP(-LN(2)/25)*CL66+(1-EXP(-LN(2)/25))/(LN(2)/25)*Calculateur!CG67*Calculateur!CI67*VLOOKUP('Données projet'!$B$12,Paramètres!$A$1:$I$89,3,0)*0.475*44/12</f>
        <v>4.4185889091835628</v>
      </c>
      <c r="CM67" s="21">
        <f>EXP(-LN(2)/2)*CM66+(1-EXP(-LN(2)/2))/(LN(2)/2)*CG67*CJ67*VLOOKUP('Données projet'!$B$12,Paramètres!$A$1:$I$89,3,0)*0.475*44/12</f>
        <v>0.85589130196185259</v>
      </c>
      <c r="CN67" s="22">
        <f t="shared" si="12"/>
        <v>15.118459915656965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8.6666666666666661</v>
      </c>
      <c r="CT67" s="12">
        <f>IF('Données projet'!$A$140&gt;35,CT66+CS67-DB66,IF(A67&lt;'Données projet'!$A$140,$CQ$205^A67,IF(A67='Données projet'!$A$140,'Données projet'!$B$140,CT66+CS67-DB66)))</f>
        <v>230.66666666666666</v>
      </c>
      <c r="CU67" s="17">
        <f>CT67*VLOOKUP('Données projet'!$B$13,Paramètres!$A$1:$I$89,3,0)*VLOOKUP('Données projet'!$B$13,Paramètres!$A$1:$I$89,5,0)</f>
        <v>208.7072</v>
      </c>
      <c r="CV67" s="13">
        <f t="shared" si="41"/>
        <v>51.652974918933275</v>
      </c>
      <c r="CW67" s="20">
        <f t="shared" si="13"/>
        <v>453.46063798380879</v>
      </c>
      <c r="CX67" s="59">
        <f t="shared" si="14"/>
        <v>746.79397131714211</v>
      </c>
      <c r="CY67" s="59">
        <f ca="1">AVERAGE(OFFSET($CX$3,0,0,'Données projet'!$E$13+1,1))-AVERAGE(OFFSET($H$3,0,0,'Données projet'!$E$13+1,1))</f>
        <v>528.15559695545812</v>
      </c>
      <c r="CZ67" s="59">
        <f t="shared" si="42"/>
        <v>276.26988364830532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25.687395253378916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25.687395253378916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230.66666666666666</v>
      </c>
      <c r="DP67" s="17">
        <f>DO67*VLOOKUP('Données projet'!$B$14,Paramètres!$A$1:$I$89,3,0)*VLOOKUP('Données projet'!$B$14,Paramètres!$A$1:$I$89,5,0)</f>
        <v>233.89600000000002</v>
      </c>
      <c r="DQ67" s="13">
        <f t="shared" si="43"/>
        <v>57.12426251584543</v>
      </c>
      <c r="DR67" s="20">
        <f t="shared" si="16"/>
        <v>506.86029054843084</v>
      </c>
      <c r="DS67" s="59">
        <f t="shared" si="17"/>
        <v>800.1936238817641</v>
      </c>
      <c r="DT67" s="59">
        <f ca="1">AVERAGE(OFFSET($DS$3,0,0,'Données projet'!$E$14+1,1))-AVERAGE(OFFSET($H$3,0,0,'Données projet'!$E$14+1,1))</f>
        <v>586.50020405958992</v>
      </c>
      <c r="DU67" s="59">
        <f t="shared" si="44"/>
        <v>304.44184537595294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28.787598128786719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28.787598128786719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4.4000000000000004</v>
      </c>
      <c r="EJ67" s="12">
        <f>IF('Données projet'!$A$192&gt;35,EJ66+EI67-ER66,IF(A67&lt;'Données projet'!$A$192,$EG$205^A67,IF(A67='Données projet'!$A$192,'Données projet'!$B$192,EJ66+EI67-ER66)))</f>
        <v>250.59999999999985</v>
      </c>
      <c r="EK67" s="17">
        <f>EJ67*VLOOKUP('Données projet'!$B$15,Paramètres!$A$1:$I$89,3,0)*VLOOKUP('Données projet'!$B$15,Paramètres!$A$1:$I$89,5,0)</f>
        <v>242.38031999999984</v>
      </c>
      <c r="EL67" s="13">
        <f t="shared" si="45"/>
        <v>58.951373391207788</v>
      </c>
      <c r="EM67" s="20">
        <f t="shared" si="19"/>
        <v>524.81936598968662</v>
      </c>
      <c r="EN67" s="59">
        <f t="shared" si="20"/>
        <v>818.15269932301999</v>
      </c>
      <c r="EO67" s="59">
        <f ca="1">AVERAGE(OFFSET($EN$3,0,0,'Données projet'!$E$15+1,1))-AVERAGE(OFFSET($H$3,0,0,'Données projet'!$E$15+1,1))</f>
        <v>355.72173590705142</v>
      </c>
      <c r="EP67" s="59">
        <f t="shared" si="46"/>
        <v>346.30980704469363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9.7092304447753559</v>
      </c>
      <c r="EW67" s="21">
        <f>EXP(-LN(2)/25)*EW66+(1-EXP(-LN(2)/25))/(LN(2)/25)*Calculateur!ER67*Calculateur!ET67*VLOOKUP('Données projet'!$B$15,Paramètres!$A$1:$I$89,3,0)*0.475*44/12</f>
        <v>4.3581050802380243</v>
      </c>
      <c r="EX67" s="21">
        <f>EXP(-LN(2)/2)*EX66+(1-EXP(-LN(2)/2))/(LN(2)/2)*ER67*EU67*VLOOKUP('Données projet'!$B$15,Paramètres!$A$1:$I$89,3,0)*0.475*44/12</f>
        <v>1.0404953082673505</v>
      </c>
      <c r="EY67" s="22">
        <f t="shared" si="21"/>
        <v>15.107830833280731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4.4000000000000004</v>
      </c>
      <c r="FE67" s="12">
        <f>IF('Données projet'!$A$218&gt;35,FE66+FD67-FM66,IF(A67&lt;'Données projet'!$A$218,$FB$205^A67,IF(A67='Données projet'!$A$218,'Données projet'!$B$218,FE66+FD67-FM66)))</f>
        <v>250.59999999999985</v>
      </c>
      <c r="FF67" s="17">
        <f>FE67*VLOOKUP('Données projet'!$B$16,Paramètres!$A$1:$I$89,3,0)*VLOOKUP('Données projet'!$B$16,Paramètres!$A$1:$I$89,5,0)</f>
        <v>203.28671999999989</v>
      </c>
      <c r="FG67" s="13">
        <f t="shared" si="47"/>
        <v>50.465802636798685</v>
      </c>
      <c r="FH67" s="20">
        <f t="shared" si="22"/>
        <v>441.95231025909084</v>
      </c>
      <c r="FI67" s="59">
        <f t="shared" si="23"/>
        <v>735.28564359242409</v>
      </c>
      <c r="FJ67" s="59">
        <f ca="1">AVERAGE(OFFSET($FI$3,0,0,'Données projet'!$E$16+1,1))-AVERAGE(OFFSET($H$3,0,0,'Données projet'!$E$16+1,1))</f>
        <v>304.26232113495314</v>
      </c>
      <c r="FK67" s="59">
        <f t="shared" si="48"/>
        <v>297.47246687305056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10.036998914403929</v>
      </c>
      <c r="FR67" s="21">
        <f>EXP(-LN(2)/25)*FR66+(1-EXP(-LN(2)/25))/(LN(2)/25)*Calculateur!FM67*Calculateur!FO67*VLOOKUP('Données projet'!$B$16,Paramètres!$A$1:$I$89,3,0)*0.475*44/12</f>
        <v>4.5052279074028503</v>
      </c>
      <c r="FS67" s="21">
        <f>EXP(-LN(2)/2)*FS66+(1-EXP(-LN(2)/2))/(LN(2)/2)*FM67*FP67*VLOOKUP('Données projet'!$B$16,Paramètres!$A$1:$I$89,3,0)*0.475*44/12</f>
        <v>0.87267348435326164</v>
      </c>
      <c r="FT67" s="22">
        <f t="shared" si="24"/>
        <v>15.414900306160041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252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252.00000000000009</v>
      </c>
      <c r="O68" s="13">
        <f>N68*VLOOKUP('Données projet'!$B$9,Paramètres!$A$1:$I$89,3,0)*VLOOKUP('Données projet'!$B$9,Paramètres!$A$1:$I$89,5,0)</f>
        <v>220.14720000000011</v>
      </c>
      <c r="P68" s="13">
        <f t="shared" si="33"/>
        <v>54.146877667769687</v>
      </c>
      <c r="Q68" s="20">
        <f t="shared" si="54"/>
        <v>477.72885193803239</v>
      </c>
      <c r="R68" s="59">
        <f t="shared" si="55"/>
        <v>771.06218527136571</v>
      </c>
      <c r="S68" s="59">
        <f ca="1">AVERAGE(OFFSET($R$3,0,0,'Données projet'!$E$9+1,1))-AVERAGE(OFFSET($H$3,0,0,'Données projet'!$E$9+1,1))</f>
        <v>381.72225529388083</v>
      </c>
      <c r="T68" s="59">
        <f t="shared" si="34"/>
        <v>360.05900046417361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22</v>
      </c>
      <c r="W68" s="16">
        <f>IF(ISNA(VLOOKUP(A68,'Données projet'!$A$35:$I$55,5,0)),0%,VLOOKUP(A68,'Données projet'!$A$35:$I$55,5,0)*VLOOKUP('Données projet'!$B$9,Paramètres!$A$1:$I$89,7,0))</f>
        <v>0.30099999999999999</v>
      </c>
      <c r="X68" s="16">
        <f>IF(ISNA(VLOOKUP(A68,'Données projet'!$A$35:$I$55,6,0)),0%,VLOOKUP(A68,'Données projet'!$A$35:$I$55,6,0)*VLOOKUP('Données projet'!$B$9,Paramètres!$A$1:$I$89,7,0))</f>
        <v>4.3000000000000003E-2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39.677415715944761</v>
      </c>
      <c r="AA68" s="21">
        <f>EXP(-LN(2)/25)*AA67+(1-EXP(-LN(2)/25))/(LN(2)/25)*Calculateur!V68*Calculateur!X68*VLOOKUP('Données projet'!$B$9,Paramètres!$A$1:$I$89,3,0)*0.475*44/12</f>
        <v>14.055588615598536</v>
      </c>
      <c r="AB68" s="21">
        <f>EXP(-LN(2)/2)*AB67+(1-EXP(-LN(2)/2))/(LN(2)/2)*V68*Y68*VLOOKUP('Données projet'!$B$9,Paramètres!$A$1:$I$89,3,0)*0.475*44/12</f>
        <v>8.5195065043063932E-6</v>
      </c>
      <c r="AC68" s="22">
        <f t="shared" ref="AC68:AC131" si="57">SUM(Z68:AB68)</f>
        <v>53.7330128510498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363</v>
      </c>
      <c r="AG68" s="12">
        <f>VLOOKUP(A68,'Données projet'!$A$61:$I$81,9,0)</f>
        <v>12.4</v>
      </c>
      <c r="AH68" s="12">
        <f t="array" ref="AH68">INDEX(AG:AG,MIN(IF(ISNUMBER(AG68:AG264),ROW(AG68:AG264),"")))</f>
        <v>12.4</v>
      </c>
      <c r="AI68" s="13">
        <f>IF('Données projet'!$A$62&gt;35,AI67+AH68-AQ67,IF(A68&lt;'Données projet'!$A$62,$AF$205^A68,IF(A68='Données projet'!$A$62,'Données projet'!$B$62,AI67+AH68-AQ67)))</f>
        <v>362.99999999999994</v>
      </c>
      <c r="AJ68" s="13">
        <f>AI68*VLOOKUP('Données projet'!$B$10,Paramètres!$A$1:$I$89,3,0)*VLOOKUP('Données projet'!$B$10,Paramètres!$A$1:$I$89,5,0)</f>
        <v>266.15159999999992</v>
      </c>
      <c r="AK68" s="13">
        <f t="shared" si="35"/>
        <v>64.031860548293878</v>
      </c>
      <c r="AL68" s="20">
        <f t="shared" ref="AL68:AL131" si="58">(AJ68+AK68)*0.475*44/12</f>
        <v>575.06952712161171</v>
      </c>
      <c r="AM68" s="59">
        <f t="shared" ref="AM68:AM131" si="59">AL68+(AD68+AE68)*44/12</f>
        <v>868.40286045494508</v>
      </c>
      <c r="AN68" s="59">
        <f ca="1">AVERAGE(OFFSET($AM$3,0,0,'Données projet'!$E$10+1,1))-AVERAGE(OFFSET($H$3,0,0,'Données projet'!$E$10+1,1))</f>
        <v>464.3681853739115</v>
      </c>
      <c r="AO68" s="59">
        <f t="shared" si="36"/>
        <v>272.97841038165217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35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0.215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19.976344766486712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19.976344766486712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202.8779999999999</v>
      </c>
      <c r="BF68" s="13">
        <f t="shared" si="37"/>
        <v>50.376138116990084</v>
      </c>
      <c r="BG68" s="20">
        <f t="shared" ref="BG68:BG131" si="61">(BE68+BF68)*0.475*44/12</f>
        <v>441.08429055375751</v>
      </c>
      <c r="BH68" s="59">
        <f t="shared" ref="BH68:BH131" si="62">BG68+(AY68+AZ68)*44/12</f>
        <v>734.41762388709083</v>
      </c>
      <c r="BI68" s="59">
        <f ca="1">AVERAGE(OFFSET($BH$3,0,0,'Données projet'!$E$11+1,1))-AVERAGE(OFFSET($H$3,0,0,'Données projet'!$E$11+1,1))</f>
        <v>299.10536994156814</v>
      </c>
      <c r="BJ68" s="59">
        <f t="shared" si="38"/>
        <v>292.57799203101769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0.26500000000000001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0.3</v>
      </c>
      <c r="BP68" s="21">
        <f>EXP(-LN(2)/35)*BP67+(1-EXP(-LN(2)/35))/(LN(2)/35)*BL68*BM68*VLOOKUP('Données projet'!$B$11,Paramètres!$A$1:$I$89,3,0)*0.475*44/12</f>
        <v>12.214723428723781</v>
      </c>
      <c r="BQ68" s="21">
        <f>EXP(-LN(2)/25)*BQ67+(1-EXP(-LN(2)/25))/(LN(2)/25)*Calculateur!BL68*Calculateur!BN68*VLOOKUP('Données projet'!$B$11,Paramètres!$A$1:$I$89,3,0)*0.475*44/12</f>
        <v>4.2977623630984461</v>
      </c>
      <c r="BR68" s="21">
        <f>EXP(-LN(2)/2)*BR67+(1-EXP(-LN(2)/2))/(LN(2)/2)*BL68*BO68*VLOOKUP('Données projet'!$B$11,Paramètres!$A$1:$I$89,3,0)*0.475*44/12</f>
        <v>3.0824175873339641</v>
      </c>
      <c r="BS68" s="22">
        <f t="shared" ref="BS68:BS131" si="63">SUM(BP68:BR68)</f>
        <v>19.594903379156193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299.10536994156814</v>
      </c>
      <c r="CE68" s="59">
        <f t="shared" si="40"/>
        <v>292.57799203101769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0.26500000000000001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0.3</v>
      </c>
      <c r="CK68" s="21">
        <f>EXP(-LN(2)/35)*CK67+(1-EXP(-LN(2)/35))/(LN(2)/35)*CG68*CH68*VLOOKUP('Données projet'!$B$12,Paramètres!$A$1:$I$89,3,0)*0.475*44/12</f>
        <v>12.214723428723781</v>
      </c>
      <c r="CL68" s="21">
        <f>EXP(-LN(2)/25)*CL67+(1-EXP(-LN(2)/25))/(LN(2)/25)*Calculateur!CG68*Calculateur!CI68*VLOOKUP('Données projet'!$B$12,Paramètres!$A$1:$I$89,3,0)*0.475*44/12</f>
        <v>4.2977623630984461</v>
      </c>
      <c r="CM68" s="21">
        <f>EXP(-LN(2)/2)*CM67+(1-EXP(-LN(2)/2))/(LN(2)/2)*CG68*CJ68*VLOOKUP('Données projet'!$B$12,Paramètres!$A$1:$I$89,3,0)*0.475*44/12</f>
        <v>3.0824175873339641</v>
      </c>
      <c r="CN68" s="22">
        <f t="shared" ref="CN68:CN131" si="66">SUM(CK68:CM68)</f>
        <v>19.594903379156193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8.6666666666666661</v>
      </c>
      <c r="CT68" s="12">
        <f>IF('Données projet'!$A$140&gt;35,CT67+CS68-DB67,IF(A68&lt;'Données projet'!$A$140,$CQ$205^A68,IF(A68='Données projet'!$A$140,'Données projet'!$B$140,CT67+CS68-DB67)))</f>
        <v>239.33333333333331</v>
      </c>
      <c r="CU68" s="17">
        <f>CT68*VLOOKUP('Données projet'!$B$13,Paramètres!$A$1:$I$89,3,0)*VLOOKUP('Données projet'!$B$13,Paramètres!$A$1:$I$89,5,0)</f>
        <v>216.54879999999997</v>
      </c>
      <c r="CV68" s="13">
        <f t="shared" si="41"/>
        <v>53.364095578940479</v>
      </c>
      <c r="CW68" s="20">
        <f t="shared" ref="CW68:CW131" si="67">(CU68+CV68)*0.475*44/12</f>
        <v>470.09829313332119</v>
      </c>
      <c r="CX68" s="59">
        <f t="shared" ref="CX68:CX131" si="68">CW68+(CO68+CP68)*44/12</f>
        <v>763.43162646665451</v>
      </c>
      <c r="CY68" s="59">
        <f ca="1">AVERAGE(OFFSET($CX$3,0,0,'Données projet'!$E$13+1,1))-AVERAGE(OFFSET($H$3,0,0,'Données projet'!$E$13+1,1))</f>
        <v>528.15559695545812</v>
      </c>
      <c r="CZ68" s="59">
        <f t="shared" si="42"/>
        <v>276.26988364830532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24.984972079333861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24.984972079333861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239.33333333333331</v>
      </c>
      <c r="DP68" s="17">
        <f>DO68*VLOOKUP('Données projet'!$B$14,Paramètres!$A$1:$I$89,3,0)*VLOOKUP('Données projet'!$B$14,Paramètres!$A$1:$I$89,5,0)</f>
        <v>242.684</v>
      </c>
      <c r="DQ68" s="13">
        <f t="shared" si="43"/>
        <v>59.016631850466453</v>
      </c>
      <c r="DR68" s="20">
        <f t="shared" ref="DR68:DR131" si="70">(DP68+DQ68)*0.475*44/12</f>
        <v>525.46193380622901</v>
      </c>
      <c r="DS68" s="59">
        <f t="shared" ref="DS68:DS131" si="71">DR68+(DJ68+DK68)*44/12</f>
        <v>818.79526713956238</v>
      </c>
      <c r="DT68" s="59">
        <f ca="1">AVERAGE(OFFSET($DS$3,0,0,'Données projet'!$E$14+1,1))-AVERAGE(OFFSET($H$3,0,0,'Données projet'!$E$14+1,1))</f>
        <v>586.50020405958992</v>
      </c>
      <c r="DU68" s="59">
        <f t="shared" si="44"/>
        <v>304.44184537595294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28.000399744081054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28.000399744081054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255</v>
      </c>
      <c r="EH68" s="12">
        <f>VLOOKUP(A68,'Données projet'!$A$191:$I$211,9,0)</f>
        <v>4.4000000000000004</v>
      </c>
      <c r="EI68" s="12">
        <f t="array" ref="EI68">INDEX(EH:EH,MIN(IF(ISNUMBER(EH68:EH264),ROW(EH68:EH264),"")))</f>
        <v>4.4000000000000004</v>
      </c>
      <c r="EJ68" s="12">
        <f>IF('Données projet'!$A$192&gt;35,EJ67+EI68-ER67,IF(A68&lt;'Données projet'!$A$192,$EG$205^A68,IF(A68='Données projet'!$A$192,'Données projet'!$B$192,EJ67+EI68-ER67)))</f>
        <v>254.99999999999986</v>
      </c>
      <c r="EK68" s="17">
        <f>EJ68*VLOOKUP('Données projet'!$B$15,Paramètres!$A$1:$I$89,3,0)*VLOOKUP('Données projet'!$B$15,Paramètres!$A$1:$I$89,5,0)</f>
        <v>246.63599999999985</v>
      </c>
      <c r="EL68" s="13">
        <f t="shared" si="45"/>
        <v>59.865023903294535</v>
      </c>
      <c r="EM68" s="20">
        <f t="shared" ref="EM68:EM131" si="73">(EK68+EL68)*0.475*44/12</f>
        <v>533.8226166315709</v>
      </c>
      <c r="EN68" s="59">
        <f t="shared" ref="EN68:EN131" si="74">EM68+(EE68+EF68)*44/12</f>
        <v>827.15594996490427</v>
      </c>
      <c r="EO68" s="59">
        <f ca="1">AVERAGE(OFFSET($EN$3,0,0,'Données projet'!$E$15+1,1))-AVERAGE(OFFSET($H$3,0,0,'Données projet'!$E$15+1,1))</f>
        <v>355.72173590705142</v>
      </c>
      <c r="EP68" s="59">
        <f t="shared" si="46"/>
        <v>346.30980704469363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11</v>
      </c>
      <c r="ES68" s="16">
        <f>IF(ISNA(VLOOKUP(A68,'Données projet'!$A$191:$I$211,5,0)),0%,VLOOKUP(A68,'Données projet'!$A$191:$I$211,5,0)*VLOOKUP('Données projet'!$B$15,Paramètres!$A$1:$I$89,7,0))</f>
        <v>0.215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0.3</v>
      </c>
      <c r="EV68" s="21">
        <f>EXP(-LN(2)/35)*EV67+(1-EXP(-LN(2)/35))/(LN(2)/35)*ER68*ES68*VLOOKUP('Données projet'!$B$15,Paramètres!$A$1:$I$89,3,0)*0.475*44/12</f>
        <v>12.047522257113426</v>
      </c>
      <c r="EW68" s="21">
        <f>EXP(-LN(2)/25)*EW67+(1-EXP(-LN(2)/25))/(LN(2)/25)*Calculateur!ER68*Calculateur!ET68*VLOOKUP('Données projet'!$B$15,Paramètres!$A$1:$I$89,3,0)*0.475*44/12</f>
        <v>4.23893246763613</v>
      </c>
      <c r="EX68" s="21">
        <f>EXP(-LN(2)/2)*EX67+(1-EXP(-LN(2)/2))/(LN(2)/2)*ER68*EU68*VLOOKUP('Données projet'!$B$15,Paramètres!$A$1:$I$89,3,0)*0.475*44/12</f>
        <v>3.7472527532295246</v>
      </c>
      <c r="EY68" s="22">
        <f t="shared" ref="EY68:EY131" si="75">SUM(EV68:EX68)</f>
        <v>20.033707477979082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255</v>
      </c>
      <c r="FC68" s="12">
        <f>VLOOKUP(A68,'Données projet'!$A$217:$I$237,9,0)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projet'!$A$218&gt;35,FE67+FD68-FM67,IF(A68&lt;'Données projet'!$A$218,$FB$205^A68,IF(A68='Données projet'!$A$218,'Données projet'!$B$218,FE67+FD68-FM67)))</f>
        <v>254.99999999999986</v>
      </c>
      <c r="FF68" s="17">
        <f>FE68*VLOOKUP('Données projet'!$B$16,Paramètres!$A$1:$I$89,3,0)*VLOOKUP('Données projet'!$B$16,Paramètres!$A$1:$I$89,5,0)</f>
        <v>206.85599999999991</v>
      </c>
      <c r="FG68" s="13">
        <f t="shared" si="47"/>
        <v>51.247940588293027</v>
      </c>
      <c r="FH68" s="20">
        <f t="shared" ref="FH68:FH131" si="76">(FF68+FG68)*0.475*44/12</f>
        <v>449.53102985794345</v>
      </c>
      <c r="FI68" s="59">
        <f t="shared" ref="FI68:FI131" si="77">FH68+(EZ68+FA68)*44/12</f>
        <v>742.86436319127677</v>
      </c>
      <c r="FJ68" s="59">
        <f ca="1">AVERAGE(OFFSET($FI$3,0,0,'Données projet'!$E$16+1,1))-AVERAGE(OFFSET($H$3,0,0,'Données projet'!$E$16+1,1))</f>
        <v>304.26232113495314</v>
      </c>
      <c r="FK68" s="59">
        <f t="shared" si="48"/>
        <v>297.47246687305056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0.26500000000000001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0.3</v>
      </c>
      <c r="FQ68" s="21">
        <f>EXP(-LN(2)/35)*FQ67+(1-EXP(-LN(2)/35))/(LN(2)/35)*FM68*FN68*VLOOKUP('Données projet'!$B$16,Paramètres!$A$1:$I$89,3,0)*0.475*44/12</f>
        <v>12.454227809679145</v>
      </c>
      <c r="FR68" s="21">
        <f>EXP(-LN(2)/25)*FR67+(1-EXP(-LN(2)/25))/(LN(2)/25)*Calculateur!FM68*Calculateur!FO68*VLOOKUP('Données projet'!$B$16,Paramètres!$A$1:$I$89,3,0)*0.475*44/12</f>
        <v>4.3820322133552807</v>
      </c>
      <c r="FS68" s="21">
        <f>EXP(-LN(2)/2)*FS67+(1-EXP(-LN(2)/2))/(LN(2)/2)*FM68*FP68*VLOOKUP('Données projet'!$B$16,Paramètres!$A$1:$I$89,3,0)*0.475*44/12</f>
        <v>3.1428571478699241</v>
      </c>
      <c r="FT68" s="22">
        <f t="shared" ref="FT68:FT131" si="78">SUM(FQ68:FS68)</f>
        <v>19.979117170904352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5.4</v>
      </c>
      <c r="N69" s="13">
        <f>IF('Données projet'!$A$36&gt;35,N68+M69-V68,IF(A69&lt;'Données projet'!$A$36,$K$205^A69,IF(A69='Données projet'!$A$36,'Données projet'!$B$36,N68+M69-V68)))</f>
        <v>235.40000000000009</v>
      </c>
      <c r="O69" s="13">
        <f>N69*VLOOKUP('Données projet'!$B$9,Paramètres!$A$1:$I$89,3,0)*VLOOKUP('Données projet'!$B$9,Paramètres!$A$1:$I$89,5,0)</f>
        <v>205.64544000000012</v>
      </c>
      <c r="P69" s="13">
        <f t="shared" ref="P69:P132" si="87">EXP(-1.0587+0.8836*LN(O69)+0.284)</f>
        <v>50.982847417614401</v>
      </c>
      <c r="Q69" s="20">
        <f t="shared" si="54"/>
        <v>446.96093391901189</v>
      </c>
      <c r="R69" s="59">
        <f t="shared" si="55"/>
        <v>740.29426725234521</v>
      </c>
      <c r="S69" s="59">
        <f ca="1">AVERAGE(OFFSET($R$3,0,0,'Données projet'!$E$9+1,1))-AVERAGE(OFFSET($H$3,0,0,'Données projet'!$E$9+1,1))</f>
        <v>381.72225529388083</v>
      </c>
      <c r="T69" s="59">
        <f t="shared" ref="T69:T132" si="88">$T$3</f>
        <v>360.05900046417361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38.899365794589038</v>
      </c>
      <c r="AA69" s="21">
        <f>EXP(-LN(2)/25)*AA68+(1-EXP(-LN(2)/25))/(LN(2)/25)*Calculateur!V69*Calculateur!X69*VLOOKUP('Données projet'!$B$9,Paramètres!$A$1:$I$89,3,0)*0.475*44/12</f>
        <v>13.671237805753712</v>
      </c>
      <c r="AB69" s="21">
        <f>EXP(-LN(2)/2)*AB68+(1-EXP(-LN(2)/2))/(LN(2)/2)*V69*Y69*VLOOKUP('Données projet'!$B$9,Paramètres!$A$1:$I$89,3,0)*0.475*44/12</f>
        <v>6.0242008215579493E-6</v>
      </c>
      <c r="AC69" s="22">
        <f t="shared" si="57"/>
        <v>52.570609624543572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</v>
      </c>
      <c r="AI69" s="13">
        <f>IF('Données projet'!$A$62&gt;35,AI68+AH69-AQ68,IF(A69&lt;'Données projet'!$A$62,$AF$205^A69,IF(A69='Données projet'!$A$62,'Données projet'!$B$62,AI68+AH69-AQ68)))</f>
        <v>339.79999999999995</v>
      </c>
      <c r="AJ69" s="13">
        <f>AI69*VLOOKUP('Données projet'!$B$10,Paramètres!$A$1:$I$89,3,0)*VLOOKUP('Données projet'!$B$10,Paramètres!$A$1:$I$89,5,0)</f>
        <v>249.14135999999993</v>
      </c>
      <c r="AK69" s="13">
        <f t="shared" ref="AK69:AK132" si="89">EXP(-1.0587+0.8836*LN(AJ69)+0.284)</f>
        <v>60.402039219378615</v>
      </c>
      <c r="AL69" s="20">
        <f t="shared" si="58"/>
        <v>539.12142030708435</v>
      </c>
      <c r="AM69" s="59">
        <f t="shared" si="59"/>
        <v>832.45475364041772</v>
      </c>
      <c r="AN69" s="59">
        <f ca="1">AVERAGE(OFFSET($AM$3,0,0,'Données projet'!$E$10+1,1))-AVERAGE(OFFSET($H$3,0,0,'Données projet'!$E$10+1,1))</f>
        <v>464.3681853739115</v>
      </c>
      <c r="AO69" s="59">
        <f t="shared" ref="AO69:AO132" si="90">$AO$3</f>
        <v>272.97841038165217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19.430090568336819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19.430090568336819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197.14967999999988</v>
      </c>
      <c r="BF69" s="13">
        <f t="shared" ref="BF69:BF132" si="91">EXP(-1.0587+0.8836*LN(BE69)+0.284)</f>
        <v>49.11723130862363</v>
      </c>
      <c r="BG69" s="20">
        <f t="shared" si="61"/>
        <v>428.91487052918592</v>
      </c>
      <c r="BH69" s="59">
        <f t="shared" si="62"/>
        <v>722.24820386251918</v>
      </c>
      <c r="BI69" s="59">
        <f ca="1">AVERAGE(OFFSET($BH$3,0,0,'Données projet'!$E$11+1,1))-AVERAGE(OFFSET($H$3,0,0,'Données projet'!$E$11+1,1))</f>
        <v>299.10536994156814</v>
      </c>
      <c r="BJ69" s="59">
        <f t="shared" ref="BJ69:BJ132" si="92">$BJ$3</f>
        <v>292.57799203101769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11.975200152532148</v>
      </c>
      <c r="BQ69" s="21">
        <f>EXP(-LN(2)/25)*BQ68+(1-EXP(-LN(2)/25))/(LN(2)/25)*Calculateur!BL69*Calculateur!BN69*VLOOKUP('Données projet'!$B$11,Paramètres!$A$1:$I$89,3,0)*0.475*44/12</f>
        <v>4.1802398252700188</v>
      </c>
      <c r="BR69" s="21">
        <f>EXP(-LN(2)/2)*BR68+(1-EXP(-LN(2)/2))/(LN(2)/2)*BL69*BO69*VLOOKUP('Données projet'!$B$11,Paramètres!$A$1:$I$89,3,0)*0.475*44/12</f>
        <v>2.179598378452523</v>
      </c>
      <c r="BS69" s="22">
        <f t="shared" si="63"/>
        <v>18.335038356254692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299.10536994156814</v>
      </c>
      <c r="CE69" s="59">
        <f t="shared" ref="CE69:CE132" si="94">$CE$3</f>
        <v>292.57799203101769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11.975200152532148</v>
      </c>
      <c r="CL69" s="21">
        <f>EXP(-LN(2)/25)*CL68+(1-EXP(-LN(2)/25))/(LN(2)/25)*Calculateur!CG69*Calculateur!CI69*VLOOKUP('Données projet'!$B$12,Paramètres!$A$1:$I$89,3,0)*0.475*44/12</f>
        <v>4.1802398252700188</v>
      </c>
      <c r="CM69" s="21">
        <f>EXP(-LN(2)/2)*CM68+(1-EXP(-LN(2)/2))/(LN(2)/2)*CG69*CJ69*VLOOKUP('Données projet'!$B$12,Paramètres!$A$1:$I$89,3,0)*0.475*44/12</f>
        <v>2.179598378452523</v>
      </c>
      <c r="CN69" s="22">
        <f t="shared" si="66"/>
        <v>18.335038356254692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8.6666666666666661</v>
      </c>
      <c r="CT69" s="12">
        <f>IF('Données projet'!$A$140&gt;35,CT68+CS69-DB68,IF(A69&lt;'Données projet'!$A$140,$CQ$205^A69,IF(A69='Données projet'!$A$140,'Données projet'!$B$140,CT68+CS69-DB68)))</f>
        <v>247.99999999999997</v>
      </c>
      <c r="CU69" s="17">
        <f>CT69*VLOOKUP('Données projet'!$B$13,Paramètres!$A$1:$I$89,3,0)*VLOOKUP('Données projet'!$B$13,Paramètres!$A$1:$I$89,5,0)</f>
        <v>224.39039999999997</v>
      </c>
      <c r="CV69" s="13">
        <f t="shared" ref="CV69:CV132" si="95">EXP(-1.0587+0.8836*LN(CU69)+0.284)</f>
        <v>55.068017311015858</v>
      </c>
      <c r="CW69" s="20">
        <f t="shared" si="67"/>
        <v>486.72341015001916</v>
      </c>
      <c r="CX69" s="59">
        <f t="shared" si="68"/>
        <v>780.05674348335242</v>
      </c>
      <c r="CY69" s="59">
        <f ca="1">AVERAGE(OFFSET($CX$3,0,0,'Données projet'!$E$13+1,1))-AVERAGE(OFFSET($H$3,0,0,'Données projet'!$E$13+1,1))</f>
        <v>528.15559695545812</v>
      </c>
      <c r="CZ69" s="59">
        <f t="shared" ref="CZ69:CZ132" si="96">$CZ$3</f>
        <v>276.26988364830532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24.3017567039219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24.3017567039219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247.99999999999997</v>
      </c>
      <c r="DP69" s="17">
        <f>DO69*VLOOKUP('Données projet'!$B$14,Paramètres!$A$1:$I$89,3,0)*VLOOKUP('Données projet'!$B$14,Paramètres!$A$1:$I$89,5,0)</f>
        <v>251.47199999999998</v>
      </c>
      <c r="DQ69" s="13">
        <f t="shared" ref="DQ69:DQ132" si="97">EXP(-1.0587+0.8836*LN(DP69)+0.284)</f>
        <v>60.901039718208651</v>
      </c>
      <c r="DR69" s="20">
        <f t="shared" si="70"/>
        <v>544.04971084254669</v>
      </c>
      <c r="DS69" s="59">
        <f t="shared" si="71"/>
        <v>837.38304417588006</v>
      </c>
      <c r="DT69" s="59">
        <f ca="1">AVERAGE(OFFSET($DS$3,0,0,'Données projet'!$E$14+1,1))-AVERAGE(OFFSET($H$3,0,0,'Données projet'!$E$14+1,1))</f>
        <v>586.50020405958992</v>
      </c>
      <c r="DU69" s="59">
        <f t="shared" ref="DU69:DU132" si="98">$DU$3</f>
        <v>304.44184537595294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27.234727340602131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27.234727340602131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3.8</v>
      </c>
      <c r="EJ69" s="12">
        <f>IF('Données projet'!$A$192&gt;35,EJ68+EI69-ER68,IF(A69&lt;'Données projet'!$A$192,$EG$205^A69,IF(A69='Données projet'!$A$192,'Données projet'!$B$192,EJ68+EI69-ER68)))</f>
        <v>247.79999999999984</v>
      </c>
      <c r="EK69" s="17">
        <f>EJ69*VLOOKUP('Données projet'!$B$15,Paramètres!$A$1:$I$89,3,0)*VLOOKUP('Données projet'!$B$15,Paramètres!$A$1:$I$89,5,0)</f>
        <v>239.67215999999988</v>
      </c>
      <c r="EL69" s="13">
        <f t="shared" ref="EL69:EL132" si="99">EXP(-1.0587+0.8836*LN(EK69)+0.284)</f>
        <v>58.368988498598384</v>
      </c>
      <c r="EM69" s="20">
        <f t="shared" si="73"/>
        <v>519.08833363505858</v>
      </c>
      <c r="EN69" s="59">
        <f t="shared" si="74"/>
        <v>812.42166696839195</v>
      </c>
      <c r="EO69" s="59">
        <f ca="1">AVERAGE(OFFSET($EN$3,0,0,'Données projet'!$E$15+1,1))-AVERAGE(OFFSET($H$3,0,0,'Données projet'!$E$15+1,1))</f>
        <v>355.72173590705142</v>
      </c>
      <c r="EP69" s="59">
        <f t="shared" ref="EP69:EP132" si="100">$EP$3</f>
        <v>346.30980704469363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11.811277693914429</v>
      </c>
      <c r="EW69" s="21">
        <f>EXP(-LN(2)/25)*EW68+(1-EXP(-LN(2)/25))/(LN(2)/25)*Calculateur!ER69*Calculateur!ET69*VLOOKUP('Données projet'!$B$15,Paramètres!$A$1:$I$89,3,0)*0.475*44/12</f>
        <v>4.1230186363928496</v>
      </c>
      <c r="EX69" s="21">
        <f>EXP(-LN(2)/2)*EX68+(1-EXP(-LN(2)/2))/(LN(2)/2)*ER69*EU69*VLOOKUP('Données projet'!$B$15,Paramètres!$A$1:$I$89,3,0)*0.475*44/12</f>
        <v>2.6497078326285575</v>
      </c>
      <c r="EY69" s="22">
        <f t="shared" si="75"/>
        <v>18.584004162935834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3.8</v>
      </c>
      <c r="FE69" s="12">
        <f>IF('Données projet'!$A$218&gt;35,FE68+FD69-FM68,IF(A69&lt;'Données projet'!$A$218,$FB$205^A69,IF(A69='Données projet'!$A$218,'Données projet'!$B$218,FE68+FD69-FM68)))</f>
        <v>247.79999999999984</v>
      </c>
      <c r="FF69" s="17">
        <f>FE69*VLOOKUP('Données projet'!$B$16,Paramètres!$A$1:$I$89,3,0)*VLOOKUP('Données projet'!$B$16,Paramètres!$A$1:$I$89,5,0)</f>
        <v>201.01535999999987</v>
      </c>
      <c r="FG69" s="13">
        <f t="shared" ref="FG69:FG132" si="101">EXP(-1.0587+0.8836*LN(FF69)+0.284)</f>
        <v>49.96724731300592</v>
      </c>
      <c r="FH69" s="20">
        <f t="shared" si="76"/>
        <v>437.12804107015171</v>
      </c>
      <c r="FI69" s="59">
        <f t="shared" si="77"/>
        <v>730.46137440348502</v>
      </c>
      <c r="FJ69" s="59">
        <f ca="1">AVERAGE(OFFSET($FI$3,0,0,'Données projet'!$E$16+1,1))-AVERAGE(OFFSET($H$3,0,0,'Données projet'!$E$16+1,1))</f>
        <v>304.26232113495314</v>
      </c>
      <c r="FK69" s="59">
        <f t="shared" ref="FK69:FK132" si="102">$FK$3</f>
        <v>297.47246687305056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12.210007998660226</v>
      </c>
      <c r="FR69" s="21">
        <f>EXP(-LN(2)/25)*FR68+(1-EXP(-LN(2)/25))/(LN(2)/25)*Calculateur!FM69*Calculateur!FO69*VLOOKUP('Données projet'!$B$16,Paramètres!$A$1:$I$89,3,0)*0.475*44/12</f>
        <v>4.2622053120400221</v>
      </c>
      <c r="FS69" s="21">
        <f>EXP(-LN(2)/2)*FS68+(1-EXP(-LN(2)/2))/(LN(2)/2)*FM69*FP69*VLOOKUP('Données projet'!$B$16,Paramètres!$A$1:$I$89,3,0)*0.475*44/12</f>
        <v>2.2223356015594353</v>
      </c>
      <c r="FT69" s="22">
        <f t="shared" si="78"/>
        <v>18.694548912259684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5.4</v>
      </c>
      <c r="N70" s="13">
        <f>IF('Données projet'!$A$36&gt;35,N69+M70-V69,IF(A70&lt;'Données projet'!$A$36,$K$205^A70,IF(A70='Données projet'!$A$36,'Données projet'!$B$36,N69+M70-V69)))</f>
        <v>240.8000000000001</v>
      </c>
      <c r="O70" s="13">
        <f>N70*VLOOKUP('Données projet'!$B$9,Paramètres!$A$1:$I$89,3,0)*VLOOKUP('Données projet'!$B$9,Paramètres!$A$1:$I$89,5,0)</f>
        <v>210.3628800000001</v>
      </c>
      <c r="P70" s="13">
        <f t="shared" si="87"/>
        <v>52.014876138342963</v>
      </c>
      <c r="Q70" s="20">
        <f t="shared" si="54"/>
        <v>456.97459194094745</v>
      </c>
      <c r="R70" s="59">
        <f t="shared" si="55"/>
        <v>750.30792527428071</v>
      </c>
      <c r="S70" s="59">
        <f ca="1">AVERAGE(OFFSET($R$3,0,0,'Données projet'!$E$9+1,1))-AVERAGE(OFFSET($H$3,0,0,'Données projet'!$E$9+1,1))</f>
        <v>381.72225529388083</v>
      </c>
      <c r="T70" s="59">
        <f t="shared" si="88"/>
        <v>360.05900046417361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38.136572957627507</v>
      </c>
      <c r="AA70" s="21">
        <f>EXP(-LN(2)/25)*AA69+(1-EXP(-LN(2)/25))/(LN(2)/25)*Calculateur!V70*Calculateur!X70*VLOOKUP('Données projet'!$B$9,Paramètres!$A$1:$I$89,3,0)*0.475*44/12</f>
        <v>13.297397089016227</v>
      </c>
      <c r="AB70" s="21">
        <f>EXP(-LN(2)/2)*AB69+(1-EXP(-LN(2)/2))/(LN(2)/2)*V70*Y70*VLOOKUP('Données projet'!$B$9,Paramètres!$A$1:$I$89,3,0)*0.475*44/12</f>
        <v>4.2597532521531966E-6</v>
      </c>
      <c r="AC70" s="22">
        <f t="shared" si="57"/>
        <v>51.433974306396991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</v>
      </c>
      <c r="AI70" s="13">
        <f>IF('Données projet'!$A$62&gt;35,AI69+AH70-AQ69,IF(A70&lt;'Données projet'!$A$62,$AF$205^A70,IF(A70='Données projet'!$A$62,'Données projet'!$B$62,AI69+AH70-AQ69)))</f>
        <v>351.59999999999997</v>
      </c>
      <c r="AJ70" s="13">
        <f>AI70*VLOOKUP('Données projet'!$B$10,Paramètres!$A$1:$I$89,3,0)*VLOOKUP('Données projet'!$B$10,Paramètres!$A$1:$I$89,5,0)</f>
        <v>257.79311999999999</v>
      </c>
      <c r="AK70" s="13">
        <f t="shared" si="89"/>
        <v>62.251727197791588</v>
      </c>
      <c r="AL70" s="20">
        <f t="shared" si="58"/>
        <v>557.41144220282024</v>
      </c>
      <c r="AM70" s="59">
        <f t="shared" si="59"/>
        <v>850.74477553615361</v>
      </c>
      <c r="AN70" s="59">
        <f ca="1">AVERAGE(OFFSET($AM$3,0,0,'Données projet'!$E$10+1,1))-AVERAGE(OFFSET($H$3,0,0,'Données projet'!$E$10+1,1))</f>
        <v>464.3681853739115</v>
      </c>
      <c r="AO70" s="59">
        <f t="shared" si="90"/>
        <v>272.97841038165217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18.898773719961593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18.898773719961593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200.17295999999988</v>
      </c>
      <c r="BF70" s="13">
        <f t="shared" si="91"/>
        <v>49.782177185855986</v>
      </c>
      <c r="BG70" s="20">
        <f t="shared" si="61"/>
        <v>435.33853059869892</v>
      </c>
      <c r="BH70" s="59">
        <f t="shared" si="62"/>
        <v>728.67186393203224</v>
      </c>
      <c r="BI70" s="59">
        <f ca="1">AVERAGE(OFFSET($BH$3,0,0,'Données projet'!$E$11+1,1))-AVERAGE(OFFSET($H$3,0,0,'Données projet'!$E$11+1,1))</f>
        <v>299.10536994156814</v>
      </c>
      <c r="BJ70" s="59">
        <f t="shared" si="92"/>
        <v>292.57799203101769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11.74037378169186</v>
      </c>
      <c r="BQ70" s="21">
        <f>EXP(-LN(2)/25)*BQ69+(1-EXP(-LN(2)/25))/(LN(2)/25)*Calculateur!BL70*Calculateur!BN70*VLOOKUP('Données projet'!$B$11,Paramètres!$A$1:$I$89,3,0)*0.475*44/12</f>
        <v>4.0659309474187522</v>
      </c>
      <c r="BR70" s="21">
        <f>EXP(-LN(2)/2)*BR69+(1-EXP(-LN(2)/2))/(LN(2)/2)*BL70*BO70*VLOOKUP('Données projet'!$B$11,Paramètres!$A$1:$I$89,3,0)*0.475*44/12</f>
        <v>1.541208793666982</v>
      </c>
      <c r="BS70" s="22">
        <f t="shared" si="63"/>
        <v>17.347513522777593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299.10536994156814</v>
      </c>
      <c r="CE70" s="59">
        <f t="shared" si="94"/>
        <v>292.57799203101769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11.74037378169186</v>
      </c>
      <c r="CL70" s="21">
        <f>EXP(-LN(2)/25)*CL69+(1-EXP(-LN(2)/25))/(LN(2)/25)*Calculateur!CG70*Calculateur!CI70*VLOOKUP('Données projet'!$B$12,Paramètres!$A$1:$I$89,3,0)*0.475*44/12</f>
        <v>4.0659309474187522</v>
      </c>
      <c r="CM70" s="21">
        <f>EXP(-LN(2)/2)*CM69+(1-EXP(-LN(2)/2))/(LN(2)/2)*CG70*CJ70*VLOOKUP('Données projet'!$B$12,Paramètres!$A$1:$I$89,3,0)*0.475*44/12</f>
        <v>1.541208793666982</v>
      </c>
      <c r="CN70" s="22">
        <f t="shared" si="66"/>
        <v>17.347513522777593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8.6666666666666661</v>
      </c>
      <c r="CT70" s="12">
        <f>IF('Données projet'!$A$140&gt;35,CT69+CS70-DB69,IF(A70&lt;'Données projet'!$A$140,$CQ$205^A70,IF(A70='Données projet'!$A$140,'Données projet'!$B$140,CT69+CS70-DB69)))</f>
        <v>256.66666666666663</v>
      </c>
      <c r="CU70" s="17">
        <f>CT70*VLOOKUP('Données projet'!$B$13,Paramètres!$A$1:$I$89,3,0)*VLOOKUP('Données projet'!$B$13,Paramètres!$A$1:$I$89,5,0)</f>
        <v>232.23199999999997</v>
      </c>
      <c r="CV70" s="13">
        <f t="shared" si="95"/>
        <v>56.765020519538929</v>
      </c>
      <c r="CW70" s="20">
        <f t="shared" si="67"/>
        <v>503.33647740486361</v>
      </c>
      <c r="CX70" s="59">
        <f t="shared" si="68"/>
        <v>796.66981073819693</v>
      </c>
      <c r="CY70" s="59">
        <f ca="1">AVERAGE(OFFSET($CX$3,0,0,'Données projet'!$E$13+1,1))-AVERAGE(OFFSET($H$3,0,0,'Données projet'!$E$13+1,1))</f>
        <v>528.15559695545812</v>
      </c>
      <c r="CZ70" s="59">
        <f t="shared" si="96"/>
        <v>276.26988364830532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23.637223888879312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23.637223888879312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256.66666666666663</v>
      </c>
      <c r="DP70" s="17">
        <f>DO70*VLOOKUP('Données projet'!$B$14,Paramètres!$A$1:$I$89,3,0)*VLOOKUP('Données projet'!$B$14,Paramètres!$A$1:$I$89,5,0)</f>
        <v>260.26</v>
      </c>
      <c r="DQ70" s="13">
        <f t="shared" si="97"/>
        <v>62.777796224993523</v>
      </c>
      <c r="DR70" s="20">
        <f t="shared" si="70"/>
        <v>562.62416175853025</v>
      </c>
      <c r="DS70" s="59">
        <f t="shared" si="71"/>
        <v>855.95749509186362</v>
      </c>
      <c r="DT70" s="59">
        <f ca="1">AVERAGE(OFFSET($DS$3,0,0,'Données projet'!$E$14+1,1))-AVERAGE(OFFSET($H$3,0,0,'Données projet'!$E$14+1,1))</f>
        <v>586.50020405958992</v>
      </c>
      <c r="DU70" s="59">
        <f t="shared" si="98"/>
        <v>304.44184537595294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26.489992289261302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26.489992289261302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3.8</v>
      </c>
      <c r="EJ70" s="12">
        <f>IF('Données projet'!$A$192&gt;35,EJ69+EI70-ER69,IF(A70&lt;'Données projet'!$A$192,$EG$205^A70,IF(A70='Données projet'!$A$192,'Données projet'!$B$192,EJ69+EI70-ER69)))</f>
        <v>251.59999999999985</v>
      </c>
      <c r="EK70" s="17">
        <f>EJ70*VLOOKUP('Données projet'!$B$15,Paramètres!$A$1:$I$89,3,0)*VLOOKUP('Données projet'!$B$15,Paramètres!$A$1:$I$89,5,0)</f>
        <v>243.34751999999986</v>
      </c>
      <c r="EL70" s="13">
        <f t="shared" si="99"/>
        <v>59.159184061872203</v>
      </c>
      <c r="EM70" s="20">
        <f t="shared" si="73"/>
        <v>526.86584290776045</v>
      </c>
      <c r="EN70" s="59">
        <f t="shared" si="74"/>
        <v>820.19917624109371</v>
      </c>
      <c r="EO70" s="59">
        <f ca="1">AVERAGE(OFFSET($EN$3,0,0,'Données projet'!$E$15+1,1))-AVERAGE(OFFSET($H$3,0,0,'Données projet'!$E$15+1,1))</f>
        <v>355.72173590705142</v>
      </c>
      <c r="EP70" s="59">
        <f t="shared" si="100"/>
        <v>346.30980704469363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11.579665742504808</v>
      </c>
      <c r="EW70" s="21">
        <f>EXP(-LN(2)/25)*EW69+(1-EXP(-LN(2)/25))/(LN(2)/25)*Calculateur!ER70*Calculateur!ET70*VLOOKUP('Données projet'!$B$15,Paramètres!$A$1:$I$89,3,0)*0.475*44/12</f>
        <v>4.0102744749605606</v>
      </c>
      <c r="EX70" s="21">
        <f>EXP(-LN(2)/2)*EX69+(1-EXP(-LN(2)/2))/(LN(2)/2)*ER70*EU70*VLOOKUP('Données projet'!$B$15,Paramètres!$A$1:$I$89,3,0)*0.475*44/12</f>
        <v>1.8736263766147625</v>
      </c>
      <c r="EY70" s="22">
        <f t="shared" si="75"/>
        <v>17.463566594080131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3.8</v>
      </c>
      <c r="FE70" s="12">
        <f>IF('Données projet'!$A$218&gt;35,FE69+FD70-FM69,IF(A70&lt;'Données projet'!$A$218,$FB$205^A70,IF(A70='Données projet'!$A$218,'Données projet'!$B$218,FE69+FD70-FM69)))</f>
        <v>251.59999999999985</v>
      </c>
      <c r="FF70" s="17">
        <f>FE70*VLOOKUP('Données projet'!$B$16,Paramètres!$A$1:$I$89,3,0)*VLOOKUP('Données projet'!$B$16,Paramètres!$A$1:$I$89,5,0)</f>
        <v>204.0979199999999</v>
      </c>
      <c r="FG70" s="13">
        <f t="shared" si="101"/>
        <v>50.643700651523019</v>
      </c>
      <c r="FH70" s="20">
        <f t="shared" si="76"/>
        <v>443.67498930140238</v>
      </c>
      <c r="FI70" s="59">
        <f t="shared" si="77"/>
        <v>737.00832263473569</v>
      </c>
      <c r="FJ70" s="59">
        <f ca="1">AVERAGE(OFFSET($FI$3,0,0,'Données projet'!$E$16+1,1))-AVERAGE(OFFSET($H$3,0,0,'Données projet'!$E$16+1,1))</f>
        <v>304.26232113495314</v>
      </c>
      <c r="FK70" s="59">
        <f t="shared" si="102"/>
        <v>297.47246687305056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11.97057718917601</v>
      </c>
      <c r="FR70" s="21">
        <f>EXP(-LN(2)/25)*FR69+(1-EXP(-LN(2)/25))/(LN(2)/25)*Calculateur!FM70*Calculateur!FO70*VLOOKUP('Données projet'!$B$16,Paramètres!$A$1:$I$89,3,0)*0.475*44/12</f>
        <v>4.1456550836426516</v>
      </c>
      <c r="FS70" s="21">
        <f>EXP(-LN(2)/2)*FS69+(1-EXP(-LN(2)/2))/(LN(2)/2)*FM70*FP70*VLOOKUP('Données projet'!$B$16,Paramètres!$A$1:$I$89,3,0)*0.475*44/12</f>
        <v>1.5714285739349623</v>
      </c>
      <c r="FT70" s="22">
        <f t="shared" si="78"/>
        <v>17.687660846753626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5.4</v>
      </c>
      <c r="N71" s="13">
        <f>IF('Données projet'!$A$36&gt;35,N70+M71-V70,IF(A71&lt;'Données projet'!$A$36,$K$205^A71,IF(A71='Données projet'!$A$36,'Données projet'!$B$36,N70+M71-V70)))</f>
        <v>246.2000000000001</v>
      </c>
      <c r="O71" s="13">
        <f>N71*VLOOKUP('Données projet'!$B$9,Paramètres!$A$1:$I$89,3,0)*VLOOKUP('Données projet'!$B$9,Paramètres!$A$1:$I$89,5,0)</f>
        <v>215.08032000000011</v>
      </c>
      <c r="P71" s="13">
        <f t="shared" si="87"/>
        <v>53.044214230061506</v>
      </c>
      <c r="Q71" s="20">
        <f t="shared" si="54"/>
        <v>466.983563784024</v>
      </c>
      <c r="R71" s="59">
        <f t="shared" si="55"/>
        <v>760.31689711735726</v>
      </c>
      <c r="S71" s="59">
        <f ca="1">AVERAGE(OFFSET($R$3,0,0,'Données projet'!$E$9+1,1))-AVERAGE(OFFSET($H$3,0,0,'Données projet'!$E$9+1,1))</f>
        <v>381.72225529388083</v>
      </c>
      <c r="T71" s="59">
        <f t="shared" si="88"/>
        <v>360.05900046417361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37.388738022941105</v>
      </c>
      <c r="AA71" s="21">
        <f>EXP(-LN(2)/25)*AA70+(1-EXP(-LN(2)/25))/(LN(2)/25)*Calculateur!V71*Calculateur!X71*VLOOKUP('Données projet'!$B$9,Paramètres!$A$1:$I$89,3,0)*0.475*44/12</f>
        <v>12.933779066337358</v>
      </c>
      <c r="AB71" s="21">
        <f>EXP(-LN(2)/2)*AB70+(1-EXP(-LN(2)/2))/(LN(2)/2)*V71*Y71*VLOOKUP('Données projet'!$B$9,Paramètres!$A$1:$I$89,3,0)*0.475*44/12</f>
        <v>3.0121004107789746E-6</v>
      </c>
      <c r="AC71" s="22">
        <f t="shared" si="57"/>
        <v>50.322520101378871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</v>
      </c>
      <c r="AI71" s="13">
        <f>IF('Données projet'!$A$62&gt;35,AI70+AH71-AQ70,IF(A71&lt;'Données projet'!$A$62,$AF$205^A71,IF(A71='Données projet'!$A$62,'Données projet'!$B$62,AI70+AH71-AQ70)))</f>
        <v>363.4</v>
      </c>
      <c r="AJ71" s="13">
        <f>AI71*VLOOKUP('Données projet'!$B$10,Paramètres!$A$1:$I$89,3,0)*VLOOKUP('Données projet'!$B$10,Paramètres!$A$1:$I$89,5,0)</f>
        <v>266.44487999999996</v>
      </c>
      <c r="AK71" s="13">
        <f t="shared" si="89"/>
        <v>64.094202063399976</v>
      </c>
      <c r="AL71" s="20">
        <f t="shared" si="58"/>
        <v>575.68890126042152</v>
      </c>
      <c r="AM71" s="59">
        <f t="shared" si="59"/>
        <v>869.02223459375477</v>
      </c>
      <c r="AN71" s="59">
        <f ca="1">AVERAGE(OFFSET($AM$3,0,0,'Données projet'!$E$10+1,1))-AVERAGE(OFFSET($H$3,0,0,'Données projet'!$E$10+1,1))</f>
        <v>464.3681853739115</v>
      </c>
      <c r="AO71" s="59">
        <f t="shared" si="90"/>
        <v>272.97841038165217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18.381985758745927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18.381985758745927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203.1962399999999</v>
      </c>
      <c r="BF71" s="13">
        <f t="shared" si="91"/>
        <v>50.445955049216174</v>
      </c>
      <c r="BG71" s="20">
        <f t="shared" si="61"/>
        <v>441.76015637738465</v>
      </c>
      <c r="BH71" s="59">
        <f t="shared" si="62"/>
        <v>735.0934897107179</v>
      </c>
      <c r="BI71" s="59">
        <f ca="1">AVERAGE(OFFSET($BH$3,0,0,'Données projet'!$E$11+1,1))-AVERAGE(OFFSET($H$3,0,0,'Données projet'!$E$11+1,1))</f>
        <v>299.10536994156814</v>
      </c>
      <c r="BJ71" s="59">
        <f t="shared" si="92"/>
        <v>292.57799203101769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11.510152212753807</v>
      </c>
      <c r="BQ71" s="21">
        <f>EXP(-LN(2)/25)*BQ70+(1-EXP(-LN(2)/25))/(LN(2)/25)*Calculateur!BL71*Calculateur!BN71*VLOOKUP('Données projet'!$B$11,Paramètres!$A$1:$I$89,3,0)*0.475*44/12</f>
        <v>3.9547478518435706</v>
      </c>
      <c r="BR71" s="21">
        <f>EXP(-LN(2)/2)*BR70+(1-EXP(-LN(2)/2))/(LN(2)/2)*BL71*BO71*VLOOKUP('Données projet'!$B$11,Paramètres!$A$1:$I$89,3,0)*0.475*44/12</f>
        <v>1.0897991892262615</v>
      </c>
      <c r="BS71" s="22">
        <f t="shared" si="63"/>
        <v>16.554699253823639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299.10536994156814</v>
      </c>
      <c r="CE71" s="59">
        <f t="shared" si="94"/>
        <v>292.57799203101769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11.510152212753807</v>
      </c>
      <c r="CL71" s="21">
        <f>EXP(-LN(2)/25)*CL70+(1-EXP(-LN(2)/25))/(LN(2)/25)*Calculateur!CG71*Calculateur!CI71*VLOOKUP('Données projet'!$B$12,Paramètres!$A$1:$I$89,3,0)*0.475*44/12</f>
        <v>3.9547478518435706</v>
      </c>
      <c r="CM71" s="21">
        <f>EXP(-LN(2)/2)*CM70+(1-EXP(-LN(2)/2))/(LN(2)/2)*CG71*CJ71*VLOOKUP('Données projet'!$B$12,Paramètres!$A$1:$I$89,3,0)*0.475*44/12</f>
        <v>1.0897991892262615</v>
      </c>
      <c r="CN71" s="22">
        <f t="shared" si="66"/>
        <v>16.554699253823639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8.6666666666666661</v>
      </c>
      <c r="CT71" s="12">
        <f>IF('Données projet'!$A$140&gt;35,CT70+CS71-DB70,IF(A71&lt;'Données projet'!$A$140,$CQ$205^A71,IF(A71='Données projet'!$A$140,'Données projet'!$B$140,CT70+CS71-DB70)))</f>
        <v>265.33333333333331</v>
      </c>
      <c r="CU71" s="17">
        <f>CT71*VLOOKUP('Données projet'!$B$13,Paramètres!$A$1:$I$89,3,0)*VLOOKUP('Données projet'!$B$13,Paramètres!$A$1:$I$89,5,0)</f>
        <v>240.07359999999997</v>
      </c>
      <c r="CV71" s="13">
        <f t="shared" si="95"/>
        <v>58.455365598151033</v>
      </c>
      <c r="CW71" s="20">
        <f t="shared" si="67"/>
        <v>519.93794841677959</v>
      </c>
      <c r="CX71" s="59">
        <f t="shared" si="68"/>
        <v>813.27128175011285</v>
      </c>
      <c r="CY71" s="59">
        <f ca="1">AVERAGE(OFFSET($CX$3,0,0,'Données projet'!$E$13+1,1))-AVERAGE(OFFSET($H$3,0,0,'Données projet'!$E$13+1,1))</f>
        <v>528.15559695545812</v>
      </c>
      <c r="CZ71" s="59">
        <f t="shared" si="96"/>
        <v>276.26988364830532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22.990862758610326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22.990862758610326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265.33333333333331</v>
      </c>
      <c r="DP71" s="17">
        <f>DO71*VLOOKUP('Données projet'!$B$14,Paramètres!$A$1:$I$89,3,0)*VLOOKUP('Données projet'!$B$14,Paramètres!$A$1:$I$89,5,0)</f>
        <v>269.048</v>
      </c>
      <c r="DQ71" s="13">
        <f t="shared" si="97"/>
        <v>64.647189346387862</v>
      </c>
      <c r="DR71" s="20">
        <f t="shared" si="70"/>
        <v>581.18578811162547</v>
      </c>
      <c r="DS71" s="59">
        <f t="shared" si="71"/>
        <v>874.51912144495873</v>
      </c>
      <c r="DT71" s="59">
        <f ca="1">AVERAGE(OFFSET($DS$3,0,0,'Données projet'!$E$14+1,1))-AVERAGE(OFFSET($H$3,0,0,'Données projet'!$E$14+1,1))</f>
        <v>586.50020405958992</v>
      </c>
      <c r="DU71" s="59">
        <f t="shared" si="98"/>
        <v>304.44184537595294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25.7656220570633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25.7656220570633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3.8</v>
      </c>
      <c r="EJ71" s="12">
        <f>IF('Données projet'!$A$192&gt;35,EJ70+EI71-ER70,IF(A71&lt;'Données projet'!$A$192,$EG$205^A71,IF(A71='Données projet'!$A$192,'Données projet'!$B$192,EJ70+EI71-ER70)))</f>
        <v>255.39999999999986</v>
      </c>
      <c r="EK71" s="17">
        <f>EJ71*VLOOKUP('Données projet'!$B$15,Paramètres!$A$1:$I$89,3,0)*VLOOKUP('Données projet'!$B$15,Paramètres!$A$1:$I$89,5,0)</f>
        <v>247.0228799999999</v>
      </c>
      <c r="EL71" s="13">
        <f t="shared" si="99"/>
        <v>59.947991603336583</v>
      </c>
      <c r="EM71" s="20">
        <f t="shared" si="73"/>
        <v>534.64093470914429</v>
      </c>
      <c r="EN71" s="59">
        <f t="shared" si="74"/>
        <v>827.97426804247766</v>
      </c>
      <c r="EO71" s="59">
        <f ca="1">AVERAGE(OFFSET($EN$3,0,0,'Données projet'!$E$15+1,1))-AVERAGE(OFFSET($H$3,0,0,'Données projet'!$E$15+1,1))</f>
        <v>355.72173590705142</v>
      </c>
      <c r="EP71" s="59">
        <f t="shared" si="100"/>
        <v>346.30980704469363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11.352595560192988</v>
      </c>
      <c r="EW71" s="21">
        <f>EXP(-LN(2)/25)*EW70+(1-EXP(-LN(2)/25))/(LN(2)/25)*Calculateur!ER71*Calculateur!ET71*VLOOKUP('Données projet'!$B$15,Paramètres!$A$1:$I$89,3,0)*0.475*44/12</f>
        <v>3.9006133085515948</v>
      </c>
      <c r="EX71" s="21">
        <f>EXP(-LN(2)/2)*EX70+(1-EXP(-LN(2)/2))/(LN(2)/2)*ER71*EU71*VLOOKUP('Données projet'!$B$15,Paramètres!$A$1:$I$89,3,0)*0.475*44/12</f>
        <v>1.3248539163142787</v>
      </c>
      <c r="EY71" s="22">
        <f t="shared" si="75"/>
        <v>16.578062785058862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3.8</v>
      </c>
      <c r="FE71" s="12">
        <f>IF('Données projet'!$A$218&gt;35,FE70+FD71-FM70,IF(A71&lt;'Données projet'!$A$218,$FB$205^A71,IF(A71='Données projet'!$A$218,'Données projet'!$B$218,FE70+FD71-FM70)))</f>
        <v>255.39999999999986</v>
      </c>
      <c r="FF71" s="17">
        <f>FE71*VLOOKUP('Données projet'!$B$16,Paramètres!$A$1:$I$89,3,0)*VLOOKUP('Données projet'!$B$16,Paramètres!$A$1:$I$89,5,0)</f>
        <v>207.1804799999999</v>
      </c>
      <c r="FG71" s="13">
        <f t="shared" si="101"/>
        <v>51.318965762681508</v>
      </c>
      <c r="FH71" s="20">
        <f t="shared" si="76"/>
        <v>450.21986803667011</v>
      </c>
      <c r="FI71" s="59">
        <f t="shared" si="77"/>
        <v>743.55320137000342</v>
      </c>
      <c r="FJ71" s="59">
        <f ca="1">AVERAGE(OFFSET($FI$3,0,0,'Données projet'!$E$16+1,1))-AVERAGE(OFFSET($H$3,0,0,'Données projet'!$E$16+1,1))</f>
        <v>304.26232113495314</v>
      </c>
      <c r="FK71" s="59">
        <f t="shared" si="102"/>
        <v>297.47246687305056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11.735841471827408</v>
      </c>
      <c r="FR71" s="21">
        <f>EXP(-LN(2)/25)*FR70+(1-EXP(-LN(2)/25))/(LN(2)/25)*Calculateur!FM71*Calculateur!FO71*VLOOKUP('Données projet'!$B$16,Paramètres!$A$1:$I$89,3,0)*0.475*44/12</f>
        <v>4.0322919273699176</v>
      </c>
      <c r="FS71" s="21">
        <f>EXP(-LN(2)/2)*FS70+(1-EXP(-LN(2)/2))/(LN(2)/2)*FM71*FP71*VLOOKUP('Données projet'!$B$16,Paramètres!$A$1:$I$89,3,0)*0.475*44/12</f>
        <v>1.1111678007797179</v>
      </c>
      <c r="FT71" s="22">
        <f t="shared" si="78"/>
        <v>16.879301199977043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5.4</v>
      </c>
      <c r="N72" s="13">
        <f>IF('Données projet'!$A$36&gt;35,N71+M72-V71,IF(A72&lt;'Données projet'!$A$36,$K$205^A72,IF(A72='Données projet'!$A$36,'Données projet'!$B$36,N71+M72-V71)))</f>
        <v>251.60000000000011</v>
      </c>
      <c r="O72" s="13">
        <f>N72*VLOOKUP('Données projet'!$B$9,Paramètres!$A$1:$I$89,3,0)*VLOOKUP('Données projet'!$B$9,Paramètres!$A$1:$I$89,5,0)</f>
        <v>219.79776000000012</v>
      </c>
      <c r="P72" s="13">
        <f t="shared" si="87"/>
        <v>54.070927503307431</v>
      </c>
      <c r="Q72" s="20">
        <f t="shared" si="54"/>
        <v>476.98796406826068</v>
      </c>
      <c r="R72" s="59">
        <f t="shared" si="55"/>
        <v>770.32129740159394</v>
      </c>
      <c r="S72" s="59">
        <f ca="1">AVERAGE(OFFSET($R$3,0,0,'Données projet'!$E$9+1,1))-AVERAGE(OFFSET($H$3,0,0,'Données projet'!$E$9+1,1))</f>
        <v>381.72225529388083</v>
      </c>
      <c r="T72" s="59">
        <f t="shared" si="88"/>
        <v>360.05900046417361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36.65556767518963</v>
      </c>
      <c r="AA72" s="21">
        <f>EXP(-LN(2)/25)*AA71+(1-EXP(-LN(2)/25))/(LN(2)/25)*Calculateur!V72*Calculateur!X72*VLOOKUP('Données projet'!$B$9,Paramètres!$A$1:$I$89,3,0)*0.475*44/12</f>
        <v>12.580104197610483</v>
      </c>
      <c r="AB72" s="21">
        <f>EXP(-LN(2)/2)*AB71+(1-EXP(-LN(2)/2))/(LN(2)/2)*V72*Y72*VLOOKUP('Données projet'!$B$9,Paramètres!$A$1:$I$89,3,0)*0.475*44/12</f>
        <v>2.1298766260765983E-6</v>
      </c>
      <c r="AC72" s="22">
        <f t="shared" si="57"/>
        <v>49.235674002676738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</v>
      </c>
      <c r="AI72" s="13">
        <f>IF('Données projet'!$A$62&gt;35,AI71+AH72-AQ71,IF(A72&lt;'Données projet'!$A$62,$AF$205^A72,IF(A72='Données projet'!$A$62,'Données projet'!$B$62,AI71+AH72-AQ71)))</f>
        <v>375.2</v>
      </c>
      <c r="AJ72" s="13">
        <f>AI72*VLOOKUP('Données projet'!$B$10,Paramètres!$A$1:$I$89,3,0)*VLOOKUP('Données projet'!$B$10,Paramètres!$A$1:$I$89,5,0)</f>
        <v>275.09663999999998</v>
      </c>
      <c r="AK72" s="13">
        <f t="shared" si="89"/>
        <v>65.92972489652206</v>
      </c>
      <c r="AL72" s="20">
        <f t="shared" si="58"/>
        <v>593.9542521947759</v>
      </c>
      <c r="AM72" s="59">
        <f t="shared" si="59"/>
        <v>887.28758552810928</v>
      </c>
      <c r="AN72" s="59">
        <f ca="1">AVERAGE(OFFSET($AM$3,0,0,'Données projet'!$E$10+1,1))-AVERAGE(OFFSET($H$3,0,0,'Données projet'!$E$10+1,1))</f>
        <v>464.3681853739115</v>
      </c>
      <c r="AO72" s="59">
        <f t="shared" si="90"/>
        <v>272.97841038165217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17.879329391506403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17.879329391506403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206.21951999999993</v>
      </c>
      <c r="BF72" s="13">
        <f t="shared" si="91"/>
        <v>51.10858428464028</v>
      </c>
      <c r="BG72" s="20">
        <f t="shared" si="61"/>
        <v>448.17978162908167</v>
      </c>
      <c r="BH72" s="59">
        <f t="shared" si="62"/>
        <v>741.51311496241499</v>
      </c>
      <c r="BI72" s="59">
        <f ca="1">AVERAGE(OFFSET($BH$3,0,0,'Données projet'!$E$11+1,1))-AVERAGE(OFFSET($H$3,0,0,'Données projet'!$E$11+1,1))</f>
        <v>299.10536994156814</v>
      </c>
      <c r="BJ72" s="59">
        <f t="shared" si="92"/>
        <v>292.57799203101769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11.284445148361337</v>
      </c>
      <c r="BQ72" s="21">
        <f>EXP(-LN(2)/25)*BQ71+(1-EXP(-LN(2)/25))/(LN(2)/25)*Calculateur!BL72*Calculateur!BN72*VLOOKUP('Données projet'!$B$11,Paramètres!$A$1:$I$89,3,0)*0.475*44/12</f>
        <v>3.8466050638637572</v>
      </c>
      <c r="BR72" s="21">
        <f>EXP(-LN(2)/2)*BR71+(1-EXP(-LN(2)/2))/(LN(2)/2)*BL72*BO72*VLOOKUP('Données projet'!$B$11,Paramètres!$A$1:$I$89,3,0)*0.475*44/12</f>
        <v>0.77060439683349102</v>
      </c>
      <c r="BS72" s="22">
        <f t="shared" si="63"/>
        <v>15.901654609058586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299.10536994156814</v>
      </c>
      <c r="CE72" s="59">
        <f t="shared" si="94"/>
        <v>292.57799203101769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11.284445148361337</v>
      </c>
      <c r="CL72" s="21">
        <f>EXP(-LN(2)/25)*CL71+(1-EXP(-LN(2)/25))/(LN(2)/25)*Calculateur!CG72*Calculateur!CI72*VLOOKUP('Données projet'!$B$12,Paramètres!$A$1:$I$89,3,0)*0.475*44/12</f>
        <v>3.8466050638637572</v>
      </c>
      <c r="CM72" s="21">
        <f>EXP(-LN(2)/2)*CM71+(1-EXP(-LN(2)/2))/(LN(2)/2)*CG72*CJ72*VLOOKUP('Données projet'!$B$12,Paramètres!$A$1:$I$89,3,0)*0.475*44/12</f>
        <v>0.77060439683349102</v>
      </c>
      <c r="CN72" s="22">
        <f t="shared" si="66"/>
        <v>15.901654609058586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274</v>
      </c>
      <c r="CR72" s="12">
        <f>VLOOKUP(A72,'Données projet'!$A$139:$I$159,9,0)</f>
        <v>8.6666666666666661</v>
      </c>
      <c r="CS72" s="12">
        <f t="array" ref="CS72">INDEX(CR:CR,MIN(IF(ISNUMBER(CR72:CR268),ROW(CR72:CR268),"")))</f>
        <v>8.6666666666666661</v>
      </c>
      <c r="CT72" s="12">
        <f>IF('Données projet'!$A$140&gt;35,CT71+CS72-DB71,IF(A72&lt;'Données projet'!$A$140,$CQ$205^A72,IF(A72='Données projet'!$A$140,'Données projet'!$B$140,CT71+CS72-DB71)))</f>
        <v>274</v>
      </c>
      <c r="CU72" s="17">
        <f>CT72*VLOOKUP('Données projet'!$B$13,Paramètres!$A$1:$I$89,3,0)*VLOOKUP('Données projet'!$B$13,Paramètres!$A$1:$I$89,5,0)</f>
        <v>247.9152</v>
      </c>
      <c r="CV72" s="13">
        <f t="shared" si="95"/>
        <v>60.139294964297406</v>
      </c>
      <c r="CW72" s="20">
        <f t="shared" si="67"/>
        <v>536.52824539615131</v>
      </c>
      <c r="CX72" s="59">
        <f t="shared" si="68"/>
        <v>829.86157872948456</v>
      </c>
      <c r="CY72" s="59">
        <f ca="1">AVERAGE(OFFSET($CX$3,0,0,'Données projet'!$E$13+1,1))-AVERAGE(OFFSET($H$3,0,0,'Données projet'!$E$13+1,1))</f>
        <v>528.15559695545812</v>
      </c>
      <c r="CZ72" s="59">
        <f t="shared" si="96"/>
        <v>276.26988364830532</v>
      </c>
      <c r="DA72" s="15">
        <f>IF(ISNA(VLOOKUP(A72,'Données projet'!$A$139:$I$159,3,0)),0,VLOOKUP(A72,'Données projet'!$A$139:$I$159,3,0))</f>
        <v>5</v>
      </c>
      <c r="DB72" s="15">
        <f>IF(ISNA(VLOOKUP(A72,'Données projet'!$A$139:$I$159,4,0)),0,VLOOKUP(A72,'Données projet'!$A$139:$I$159,4,0))</f>
        <v>51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0.215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33.286510669300256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33.286510669300256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274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274</v>
      </c>
      <c r="DP72" s="17">
        <f>DO72*VLOOKUP('Données projet'!$B$14,Paramètres!$A$1:$I$89,3,0)*VLOOKUP('Données projet'!$B$14,Paramètres!$A$1:$I$89,5,0)</f>
        <v>277.83600000000001</v>
      </c>
      <c r="DQ72" s="13">
        <f t="shared" si="97"/>
        <v>66.509487177652318</v>
      </c>
      <c r="DR72" s="20">
        <f t="shared" si="70"/>
        <v>599.73505683441124</v>
      </c>
      <c r="DS72" s="59">
        <f t="shared" si="71"/>
        <v>893.06839016774461</v>
      </c>
      <c r="DT72" s="59">
        <f ca="1">AVERAGE(OFFSET($DS$3,0,0,'Données projet'!$E$14+1,1))-AVERAGE(OFFSET($H$3,0,0,'Données projet'!$E$14+1,1))</f>
        <v>586.50020405958992</v>
      </c>
      <c r="DU72" s="59">
        <f t="shared" si="98"/>
        <v>304.44184537595294</v>
      </c>
      <c r="DV72" s="15">
        <f>IF(ISNA(VLOOKUP(A72,'Données projet'!$A$165:$I$185,3,0)),0,VLOOKUP(A72,'Données projet'!$A$165:$I$185,3,0))</f>
        <v>5</v>
      </c>
      <c r="DW72" s="15">
        <f>IF(ISNA(VLOOKUP(A72,'Données projet'!$A$165:$I$185,4,0)),0,VLOOKUP(A72,'Données projet'!$A$165:$I$185,4,0))</f>
        <v>51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0.215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37.303848163870981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37.303848163870981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3.8</v>
      </c>
      <c r="EJ72" s="12">
        <f>IF('Données projet'!$A$192&gt;35,EJ71+EI72-ER71,IF(A72&lt;'Données projet'!$A$192,$EG$205^A72,IF(A72='Données projet'!$A$192,'Données projet'!$B$192,EJ71+EI72-ER71)))</f>
        <v>259.19999999999987</v>
      </c>
      <c r="EK72" s="17">
        <f>EJ72*VLOOKUP('Données projet'!$B$15,Paramètres!$A$1:$I$89,3,0)*VLOOKUP('Données projet'!$B$15,Paramètres!$A$1:$I$89,5,0)</f>
        <v>250.69823999999988</v>
      </c>
      <c r="EL72" s="13">
        <f t="shared" si="99"/>
        <v>60.735434160476743</v>
      </c>
      <c r="EM72" s="20">
        <f t="shared" si="73"/>
        <v>542.4136491628301</v>
      </c>
      <c r="EN72" s="59">
        <f t="shared" si="74"/>
        <v>835.74698249616335</v>
      </c>
      <c r="EO72" s="59">
        <f ca="1">AVERAGE(OFFSET($EN$3,0,0,'Données projet'!$E$15+1,1))-AVERAGE(OFFSET($H$3,0,0,'Données projet'!$E$15+1,1))</f>
        <v>355.72173590705142</v>
      </c>
      <c r="EP72" s="59">
        <f t="shared" si="100"/>
        <v>346.30980704469363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11.129978085657168</v>
      </c>
      <c r="EW72" s="21">
        <f>EXP(-LN(2)/25)*EW71+(1-EXP(-LN(2)/25))/(LN(2)/25)*Calculateur!ER72*Calculateur!ET72*VLOOKUP('Données projet'!$B$15,Paramètres!$A$1:$I$89,3,0)*0.475*44/12</f>
        <v>3.7939508325049127</v>
      </c>
      <c r="EX72" s="21">
        <f>EXP(-LN(2)/2)*EX71+(1-EXP(-LN(2)/2))/(LN(2)/2)*ER72*EU72*VLOOKUP('Données projet'!$B$15,Paramètres!$A$1:$I$89,3,0)*0.475*44/12</f>
        <v>0.93681318830738125</v>
      </c>
      <c r="EY72" s="22">
        <f t="shared" si="75"/>
        <v>15.860742106469461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3.8</v>
      </c>
      <c r="FE72" s="12">
        <f>IF('Données projet'!$A$218&gt;35,FE71+FD72-FM71,IF(A72&lt;'Données projet'!$A$218,$FB$205^A72,IF(A72='Données projet'!$A$218,'Données projet'!$B$218,FE71+FD72-FM71)))</f>
        <v>259.19999999999987</v>
      </c>
      <c r="FF72" s="17">
        <f>FE72*VLOOKUP('Données projet'!$B$16,Paramètres!$A$1:$I$89,3,0)*VLOOKUP('Données projet'!$B$16,Paramètres!$A$1:$I$89,5,0)</f>
        <v>210.2630399999999</v>
      </c>
      <c r="FG72" s="13">
        <f t="shared" si="101"/>
        <v>51.993062367907982</v>
      </c>
      <c r="FH72" s="20">
        <f t="shared" si="76"/>
        <v>456.7627116241062</v>
      </c>
      <c r="FI72" s="59">
        <f t="shared" si="77"/>
        <v>750.09604495743952</v>
      </c>
      <c r="FJ72" s="59">
        <f ca="1">AVERAGE(OFFSET($FI$3,0,0,'Données projet'!$E$16+1,1))-AVERAGE(OFFSET($H$3,0,0,'Données projet'!$E$16+1,1))</f>
        <v>304.26232113495314</v>
      </c>
      <c r="FK72" s="59">
        <f t="shared" si="102"/>
        <v>297.47246687305056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11.505708778721361</v>
      </c>
      <c r="FR72" s="21">
        <f>EXP(-LN(2)/25)*FR71+(1-EXP(-LN(2)/25))/(LN(2)/25)*Calculateur!FM72*Calculateur!FO72*VLOOKUP('Données projet'!$B$16,Paramètres!$A$1:$I$89,3,0)*0.475*44/12</f>
        <v>3.9220286925669705</v>
      </c>
      <c r="FS72" s="21">
        <f>EXP(-LN(2)/2)*FS71+(1-EXP(-LN(2)/2))/(LN(2)/2)*FM72*FP72*VLOOKUP('Données projet'!$B$16,Paramètres!$A$1:$I$89,3,0)*0.475*44/12</f>
        <v>0.78571428696748125</v>
      </c>
      <c r="FT72" s="22">
        <f t="shared" si="78"/>
        <v>16.213451758255811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257</v>
      </c>
      <c r="L73" s="12">
        <f>VLOOKUP(A73,'Données projet'!$A$35:$I$55,9,0)</f>
        <v>5.4</v>
      </c>
      <c r="M73" s="12">
        <f t="array" ref="M73">INDEX(L:L,MIN(IF(ISNUMBER(L73:L269),ROW(L73:L269),"")))</f>
        <v>5.4</v>
      </c>
      <c r="N73" s="13">
        <f>IF('Données projet'!$A$36&gt;35,N72+M73-V72,IF(A73&lt;'Données projet'!$A$36,$K$205^A73,IF(A73='Données projet'!$A$36,'Données projet'!$B$36,N72+M73-V72)))</f>
        <v>257.00000000000011</v>
      </c>
      <c r="O73" s="13">
        <f>N73*VLOOKUP('Données projet'!$B$9,Paramètres!$A$1:$I$89,3,0)*VLOOKUP('Données projet'!$B$9,Paramètres!$A$1:$I$89,5,0)</f>
        <v>224.51520000000014</v>
      </c>
      <c r="P73" s="13">
        <f t="shared" si="87"/>
        <v>55.095078782313593</v>
      </c>
      <c r="Q73" s="20">
        <f t="shared" si="54"/>
        <v>486.98790221252966</v>
      </c>
      <c r="R73" s="59">
        <f t="shared" si="55"/>
        <v>780.32123554586292</v>
      </c>
      <c r="S73" s="59">
        <f ca="1">AVERAGE(OFFSET($R$3,0,0,'Données projet'!$E$9+1,1))-AVERAGE(OFFSET($H$3,0,0,'Données projet'!$E$9+1,1))</f>
        <v>381.72225529388083</v>
      </c>
      <c r="T73" s="59">
        <f t="shared" si="88"/>
        <v>360.05900046417361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0.30099999999999999</v>
      </c>
      <c r="X73" s="16">
        <f>IF(ISNA(VLOOKUP(A73,'Données projet'!$A$35:$I$55,6,0)),0%,VLOOKUP(A73,'Données projet'!$A$35:$I$55,6,0)*VLOOKUP('Données projet'!$B$9,Paramètres!$A$1:$I$89,7,0))</f>
        <v>4.3000000000000003E-2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42.041210086590475</v>
      </c>
      <c r="AA73" s="21">
        <f>EXP(-LN(2)/25)*AA72+(1-EXP(-LN(2)/25))/(LN(2)/25)*Calculateur!V73*Calculateur!X73*VLOOKUP('Données projet'!$B$9,Paramètres!$A$1:$I$89,3,0)*0.475*44/12</f>
        <v>13.10472919339052</v>
      </c>
      <c r="AB73" s="21">
        <f>EXP(-LN(2)/2)*AB72+(1-EXP(-LN(2)/2))/(LN(2)/2)*V73*Y73*VLOOKUP('Données projet'!$B$9,Paramètres!$A$1:$I$89,3,0)*0.475*44/12</f>
        <v>1.5060502053894873E-6</v>
      </c>
      <c r="AC73" s="22">
        <f t="shared" si="57"/>
        <v>55.145940786031197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387</v>
      </c>
      <c r="AG73" s="12">
        <f>VLOOKUP(A73,'Données projet'!$A$61:$I$81,9,0)</f>
        <v>11.8</v>
      </c>
      <c r="AH73" s="12">
        <f t="array" ref="AH73">INDEX(AG:AG,MIN(IF(ISNUMBER(AG73:AG269),ROW(AG73:AG269),"")))</f>
        <v>11.8</v>
      </c>
      <c r="AI73" s="13">
        <f>IF('Données projet'!$A$62&gt;35,AI72+AH73-AQ72,IF(A73&lt;'Données projet'!$A$62,$AF$205^A73,IF(A73='Données projet'!$A$62,'Données projet'!$B$62,AI72+AH73-AQ72)))</f>
        <v>387</v>
      </c>
      <c r="AJ73" s="13">
        <f>AI73*VLOOKUP('Données projet'!$B$10,Paramètres!$A$1:$I$89,3,0)*VLOOKUP('Données projet'!$B$10,Paramètres!$A$1:$I$89,5,0)</f>
        <v>283.7484</v>
      </c>
      <c r="AK73" s="13">
        <f t="shared" si="89"/>
        <v>67.758539422912406</v>
      </c>
      <c r="AL73" s="20">
        <f t="shared" si="58"/>
        <v>612.20791949490581</v>
      </c>
      <c r="AM73" s="59">
        <f t="shared" si="59"/>
        <v>905.54125282823907</v>
      </c>
      <c r="AN73" s="59">
        <f ca="1">AVERAGE(OFFSET($AM$3,0,0,'Données projet'!$E$10+1,1))-AVERAGE(OFFSET($H$3,0,0,'Données projet'!$E$10+1,1))</f>
        <v>464.3681853739115</v>
      </c>
      <c r="AO73" s="59">
        <f t="shared" si="90"/>
        <v>272.97841038165217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35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0.215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23.4656480270482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23.4656480270482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209.2427999999999</v>
      </c>
      <c r="BF73" s="13">
        <f t="shared" si="91"/>
        <v>51.770083677016814</v>
      </c>
      <c r="BG73" s="20">
        <f t="shared" si="61"/>
        <v>454.59743907080406</v>
      </c>
      <c r="BH73" s="59">
        <f t="shared" si="62"/>
        <v>747.93077240413731</v>
      </c>
      <c r="BI73" s="59">
        <f ca="1">AVERAGE(OFFSET($BH$3,0,0,'Données projet'!$E$11+1,1))-AVERAGE(OFFSET($H$3,0,0,'Données projet'!$E$11+1,1))</f>
        <v>299.10536994156814</v>
      </c>
      <c r="BJ73" s="59">
        <f t="shared" si="92"/>
        <v>292.57799203101769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0.26500000000000001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0.3</v>
      </c>
      <c r="BP73" s="21">
        <f>EXP(-LN(2)/35)*BP72+(1-EXP(-LN(2)/35))/(LN(2)/35)*BL73*BM73*VLOOKUP('Données projet'!$B$11,Paramètres!$A$1:$I$89,3,0)*0.475*44/12</f>
        <v>13.39387148181839</v>
      </c>
      <c r="BQ73" s="21">
        <f>EXP(-LN(2)/25)*BQ72+(1-EXP(-LN(2)/25))/(LN(2)/25)*Calculateur!BL73*Calculateur!BN73*VLOOKUP('Données projet'!$B$11,Paramètres!$A$1:$I$89,3,0)*0.475*44/12</f>
        <v>3.741419446108234</v>
      </c>
      <c r="BR73" s="21">
        <f>EXP(-LN(2)/2)*BR72+(1-EXP(-LN(2)/2))/(LN(2)/2)*BL73*BO73*VLOOKUP('Données projet'!$B$11,Paramètres!$A$1:$I$89,3,0)*0.475*44/12</f>
        <v>2.7969096343932711</v>
      </c>
      <c r="BS73" s="22">
        <f t="shared" si="63"/>
        <v>19.932200562319895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299.10536994156814</v>
      </c>
      <c r="CE73" s="59">
        <f t="shared" si="94"/>
        <v>292.57799203101769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0.26500000000000001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0.3</v>
      </c>
      <c r="CK73" s="21">
        <f>EXP(-LN(2)/35)*CK72+(1-EXP(-LN(2)/35))/(LN(2)/35)*CG73*CH73*VLOOKUP('Données projet'!$B$12,Paramètres!$A$1:$I$89,3,0)*0.475*44/12</f>
        <v>13.39387148181839</v>
      </c>
      <c r="CL73" s="21">
        <f>EXP(-LN(2)/25)*CL72+(1-EXP(-LN(2)/25))/(LN(2)/25)*Calculateur!CG73*Calculateur!CI73*VLOOKUP('Données projet'!$B$12,Paramètres!$A$1:$I$89,3,0)*0.475*44/12</f>
        <v>3.741419446108234</v>
      </c>
      <c r="CM73" s="21">
        <f>EXP(-LN(2)/2)*CM72+(1-EXP(-LN(2)/2))/(LN(2)/2)*CG73*CJ73*VLOOKUP('Données projet'!$B$12,Paramètres!$A$1:$I$89,3,0)*0.475*44/12</f>
        <v>2.7969096343932711</v>
      </c>
      <c r="CN73" s="22">
        <f t="shared" si="66"/>
        <v>19.932200562319895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8.1111111111111107</v>
      </c>
      <c r="CT73" s="12">
        <f>IF('Données projet'!$A$140&gt;35,CT72+CS73-DB72,IF(A73&lt;'Données projet'!$A$140,$CQ$205^A73,IF(A73='Données projet'!$A$140,'Données projet'!$B$140,CT72+CS73-DB72)))</f>
        <v>231.11111111111109</v>
      </c>
      <c r="CU73" s="17">
        <f>CT73*VLOOKUP('Données projet'!$B$13,Paramètres!$A$1:$I$89,3,0)*VLOOKUP('Données projet'!$B$13,Paramètres!$A$1:$I$89,5,0)</f>
        <v>209.1093333333333</v>
      </c>
      <c r="CV73" s="13">
        <f t="shared" si="95"/>
        <v>51.740904503189689</v>
      </c>
      <c r="CW73" s="20">
        <f t="shared" si="67"/>
        <v>454.31416423194418</v>
      </c>
      <c r="CX73" s="59">
        <f t="shared" si="68"/>
        <v>747.64749756527749</v>
      </c>
      <c r="CY73" s="59">
        <f ca="1">AVERAGE(OFFSET($CX$3,0,0,'Données projet'!$E$13+1,1))-AVERAGE(OFFSET($H$3,0,0,'Données projet'!$E$13+1,1))</f>
        <v>528.15559695545812</v>
      </c>
      <c r="CZ73" s="59">
        <f t="shared" si="96"/>
        <v>276.26988364830532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32.376289284586719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32.376289284586719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8.1111111111111107</v>
      </c>
      <c r="DO73" s="12">
        <f>IF('Données projet'!$A$166&gt;35,DO72+DN73-DW72,IF(A73&lt;'Données projet'!$A$166,$DL$205^A73,IF(A73='Données projet'!$A$166,'Données projet'!$B$166,DO72+DN73-DW72)))</f>
        <v>231.11111111111109</v>
      </c>
      <c r="DP73" s="17">
        <f>DO73*VLOOKUP('Données projet'!$B$14,Paramètres!$A$1:$I$89,3,0)*VLOOKUP('Données projet'!$B$14,Paramètres!$A$1:$I$89,5,0)</f>
        <v>234.34666666666664</v>
      </c>
      <c r="DQ73" s="13">
        <f t="shared" si="97"/>
        <v>57.22150594977844</v>
      </c>
      <c r="DR73" s="20">
        <f t="shared" si="70"/>
        <v>507.81456730697511</v>
      </c>
      <c r="DS73" s="59">
        <f t="shared" si="71"/>
        <v>801.14790064030842</v>
      </c>
      <c r="DT73" s="59">
        <f ca="1">AVERAGE(OFFSET($DS$3,0,0,'Données projet'!$E$14+1,1))-AVERAGE(OFFSET($H$3,0,0,'Données projet'!$E$14+1,1))</f>
        <v>586.50020405958992</v>
      </c>
      <c r="DU73" s="59">
        <f t="shared" si="98"/>
        <v>304.44184537595294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36.283772474105817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36.283772474105817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3.8</v>
      </c>
      <c r="EI73" s="12">
        <f t="array" ref="EI73">INDEX(EH:EH,MIN(IF(ISNUMBER(EH73:EH269),ROW(EH73:EH269),"")))</f>
        <v>3.8</v>
      </c>
      <c r="EJ73" s="12">
        <f>IF('Données projet'!$A$192&gt;35,EJ72+EI73-ER72,IF(A73&lt;'Données projet'!$A$192,$EG$205^A73,IF(A73='Données projet'!$A$192,'Données projet'!$B$192,EJ72+EI73-ER72)))</f>
        <v>262.99999999999989</v>
      </c>
      <c r="EK73" s="17">
        <f>EJ73*VLOOKUP('Données projet'!$B$15,Paramètres!$A$1:$I$89,3,0)*VLOOKUP('Données projet'!$B$15,Paramètres!$A$1:$I$89,5,0)</f>
        <v>254.37359999999987</v>
      </c>
      <c r="EL73" s="13">
        <f t="shared" si="99"/>
        <v>61.521534056516153</v>
      </c>
      <c r="EM73" s="20">
        <f t="shared" si="73"/>
        <v>550.18402514843217</v>
      </c>
      <c r="EN73" s="59">
        <f t="shared" si="74"/>
        <v>843.51735848176554</v>
      </c>
      <c r="EO73" s="59">
        <f ca="1">AVERAGE(OFFSET($EN$3,0,0,'Données projet'!$E$15+1,1))-AVERAGE(OFFSET($H$3,0,0,'Données projet'!$E$15+1,1))</f>
        <v>355.72173590705142</v>
      </c>
      <c r="EP73" s="59">
        <f t="shared" si="100"/>
        <v>346.30980704469363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0.215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0.3</v>
      </c>
      <c r="EV73" s="21">
        <f>EXP(-LN(2)/35)*EV72+(1-EXP(-LN(2)/35))/(LN(2)/35)*ER73*ES73*VLOOKUP('Données projet'!$B$15,Paramètres!$A$1:$I$89,3,0)*0.475*44/12</f>
        <v>13.210529548844923</v>
      </c>
      <c r="EW73" s="21">
        <f>EXP(-LN(2)/25)*EW72+(1-EXP(-LN(2)/25))/(LN(2)/25)*Calculateur!ER73*Calculateur!ET73*VLOOKUP('Données projet'!$B$15,Paramètres!$A$1:$I$89,3,0)*0.475*44/12</f>
        <v>3.6902050474748629</v>
      </c>
      <c r="EX73" s="21">
        <f>EXP(-LN(2)/2)*EX72+(1-EXP(-LN(2)/2))/(LN(2)/2)*ER73*EU73*VLOOKUP('Données projet'!$B$15,Paramètres!$A$1:$I$89,3,0)*0.475*44/12</f>
        <v>3.4001646535761338</v>
      </c>
      <c r="EY73" s="22">
        <f t="shared" si="75"/>
        <v>20.30089924989592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3.8</v>
      </c>
      <c r="FD73" s="12">
        <f t="array" ref="FD73">INDEX(FC:FC,MIN(IF(ISNUMBER(FC73:FC269),ROW(FC73:FC269),"")))</f>
        <v>3.8</v>
      </c>
      <c r="FE73" s="12">
        <f>IF('Données projet'!$A$218&gt;35,FE72+FD73-FM72,IF(A73&lt;'Données projet'!$A$218,$FB$205^A73,IF(A73='Données projet'!$A$218,'Données projet'!$B$218,FE72+FD73-FM72)))</f>
        <v>262.99999999999989</v>
      </c>
      <c r="FF73" s="17">
        <f>FE73*VLOOKUP('Données projet'!$B$16,Paramètres!$A$1:$I$89,3,0)*VLOOKUP('Données projet'!$B$16,Paramètres!$A$1:$I$89,5,0)</f>
        <v>213.34559999999991</v>
      </c>
      <c r="FG73" s="13">
        <f t="shared" si="101"/>
        <v>52.666009577179437</v>
      </c>
      <c r="FH73" s="20">
        <f t="shared" si="76"/>
        <v>463.30355334692064</v>
      </c>
      <c r="FI73" s="59">
        <f t="shared" si="77"/>
        <v>756.63688668025395</v>
      </c>
      <c r="FJ73" s="59">
        <f ca="1">AVERAGE(OFFSET($FI$3,0,0,'Données projet'!$E$16+1,1))-AVERAGE(OFFSET($H$3,0,0,'Données projet'!$E$16+1,1))</f>
        <v>304.26232113495314</v>
      </c>
      <c r="FK73" s="59">
        <f t="shared" si="102"/>
        <v>297.47246687305056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0.26500000000000001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0.3</v>
      </c>
      <c r="FQ73" s="21">
        <f>EXP(-LN(2)/35)*FQ72+(1-EXP(-LN(2)/35))/(LN(2)/35)*FM73*FN73*VLOOKUP('Données projet'!$B$16,Paramètres!$A$1:$I$89,3,0)*0.475*44/12</f>
        <v>13.656496412834432</v>
      </c>
      <c r="FR73" s="21">
        <f>EXP(-LN(2)/25)*FR72+(1-EXP(-LN(2)/25))/(LN(2)/25)*Calculateur!FM73*Calculateur!FO73*VLOOKUP('Données projet'!$B$16,Paramètres!$A$1:$I$89,3,0)*0.475*44/12</f>
        <v>3.8147806117182017</v>
      </c>
      <c r="FS73" s="21">
        <f>EXP(-LN(2)/2)*FS72+(1-EXP(-LN(2)/2))/(LN(2)/2)*FM73*FP73*VLOOKUP('Données projet'!$B$16,Paramètres!$A$1:$I$89,3,0)*0.475*44/12</f>
        <v>2.851750999773532</v>
      </c>
      <c r="FT73" s="22">
        <f t="shared" si="78"/>
        <v>20.323028024326167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241.00000000000011</v>
      </c>
      <c r="O74" s="13">
        <f>N74*VLOOKUP('Données projet'!$B$9,Paramètres!$A$1:$I$89,3,0)*VLOOKUP('Données projet'!$B$9,Paramètres!$A$1:$I$89,5,0)</f>
        <v>210.53760000000011</v>
      </c>
      <c r="P74" s="13">
        <f t="shared" si="87"/>
        <v>52.053047337322276</v>
      </c>
      <c r="Q74" s="20">
        <f t="shared" si="54"/>
        <v>457.34537744583645</v>
      </c>
      <c r="R74" s="59">
        <f t="shared" si="55"/>
        <v>750.67871077916971</v>
      </c>
      <c r="S74" s="59">
        <f ca="1">AVERAGE(OFFSET($R$3,0,0,'Données projet'!$E$9+1,1))-AVERAGE(OFFSET($H$3,0,0,'Données projet'!$E$9+1,1))</f>
        <v>381.72225529388083</v>
      </c>
      <c r="T74" s="59">
        <f t="shared" si="88"/>
        <v>360.05900046417361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41.216807599398592</v>
      </c>
      <c r="AA74" s="21">
        <f>EXP(-LN(2)/25)*AA73+(1-EXP(-LN(2)/25))/(LN(2)/25)*Calculateur!V74*Calculateur!X74*VLOOKUP('Données projet'!$B$9,Paramètres!$A$1:$I$89,3,0)*0.475*44/12</f>
        <v>12.746379684449499</v>
      </c>
      <c r="AB74" s="21">
        <f>EXP(-LN(2)/2)*AB73+(1-EXP(-LN(2)/2))/(LN(2)/2)*V74*Y74*VLOOKUP('Données projet'!$B$9,Paramètres!$A$1:$I$89,3,0)*0.475*44/12</f>
        <v>1.0649383130382992E-6</v>
      </c>
      <c r="AC74" s="22">
        <f t="shared" si="57"/>
        <v>53.963188348786403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</v>
      </c>
      <c r="AI74" s="13">
        <f>IF('Données projet'!$A$62&gt;35,AI73+AH74-AQ73,IF(A74&lt;'Données projet'!$A$62,$AF$205^A74,IF(A74='Données projet'!$A$62,'Données projet'!$B$62,AI73+AH74-AQ73)))</f>
        <v>363</v>
      </c>
      <c r="AJ74" s="13">
        <f>AI74*VLOOKUP('Données projet'!$B$10,Paramètres!$A$1:$I$89,3,0)*VLOOKUP('Données projet'!$B$10,Paramètres!$A$1:$I$89,5,0)</f>
        <v>266.15159999999997</v>
      </c>
      <c r="AK74" s="13">
        <f t="shared" si="89"/>
        <v>64.031860548293878</v>
      </c>
      <c r="AL74" s="20">
        <f t="shared" si="58"/>
        <v>575.06952712161171</v>
      </c>
      <c r="AM74" s="59">
        <f t="shared" si="59"/>
        <v>868.40286045494508</v>
      </c>
      <c r="AN74" s="59">
        <f ca="1">AVERAGE(OFFSET($AM$3,0,0,'Données projet'!$E$10+1,1))-AVERAGE(OFFSET($H$3,0,0,'Données projet'!$E$10+1,1))</f>
        <v>464.3681853739115</v>
      </c>
      <c r="AO74" s="59">
        <f t="shared" si="90"/>
        <v>272.97841038165217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22.823978647743768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22.823978647743768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203.99183999999988</v>
      </c>
      <c r="BF74" s="13">
        <f t="shared" si="91"/>
        <v>50.620441749347997</v>
      </c>
      <c r="BG74" s="20">
        <f t="shared" si="61"/>
        <v>443.44972404678083</v>
      </c>
      <c r="BH74" s="59">
        <f t="shared" si="62"/>
        <v>736.78305738011409</v>
      </c>
      <c r="BI74" s="59">
        <f ca="1">AVERAGE(OFFSET($BH$3,0,0,'Données projet'!$E$11+1,1))-AVERAGE(OFFSET($H$3,0,0,'Données projet'!$E$11+1,1))</f>
        <v>299.10536994156814</v>
      </c>
      <c r="BJ74" s="59">
        <f t="shared" si="92"/>
        <v>292.57799203101769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13.131225831514868</v>
      </c>
      <c r="BQ74" s="21">
        <f>EXP(-LN(2)/25)*BQ73+(1-EXP(-LN(2)/25))/(LN(2)/25)*Calculateur!BL74*Calculateur!BN74*VLOOKUP('Données projet'!$B$11,Paramètres!$A$1:$I$89,3,0)*0.475*44/12</f>
        <v>3.6391101346017067</v>
      </c>
      <c r="BR74" s="21">
        <f>EXP(-LN(2)/2)*BR73+(1-EXP(-LN(2)/2))/(LN(2)/2)*BL74*BO74*VLOOKUP('Données projet'!$B$11,Paramètres!$A$1:$I$89,3,0)*0.475*44/12</f>
        <v>1.9777137688454696</v>
      </c>
      <c r="BS74" s="22">
        <f t="shared" si="63"/>
        <v>18.748049734962045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299.10536994156814</v>
      </c>
      <c r="CE74" s="59">
        <f t="shared" si="94"/>
        <v>292.57799203101769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13.131225831514868</v>
      </c>
      <c r="CL74" s="21">
        <f>EXP(-LN(2)/25)*CL73+(1-EXP(-LN(2)/25))/(LN(2)/25)*Calculateur!CG74*Calculateur!CI74*VLOOKUP('Données projet'!$B$12,Paramètres!$A$1:$I$89,3,0)*0.475*44/12</f>
        <v>3.6391101346017067</v>
      </c>
      <c r="CM74" s="21">
        <f>EXP(-LN(2)/2)*CM73+(1-EXP(-LN(2)/2))/(LN(2)/2)*CG74*CJ74*VLOOKUP('Données projet'!$B$12,Paramètres!$A$1:$I$89,3,0)*0.475*44/12</f>
        <v>1.9777137688454696</v>
      </c>
      <c r="CN74" s="22">
        <f t="shared" si="66"/>
        <v>18.748049734962045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8.1111111111111107</v>
      </c>
      <c r="CT74" s="12">
        <f>IF('Données projet'!$A$140&gt;35,CT73+CS74-DB73,IF(A74&lt;'Données projet'!$A$140,$CQ$205^A74,IF(A74='Données projet'!$A$140,'Données projet'!$B$140,CT73+CS74-DB73)))</f>
        <v>239.2222222222222</v>
      </c>
      <c r="CU74" s="17">
        <f>CT74*VLOOKUP('Données projet'!$B$13,Paramètres!$A$1:$I$89,3,0)*VLOOKUP('Données projet'!$B$13,Paramètres!$A$1:$I$89,5,0)</f>
        <v>216.44826666666665</v>
      </c>
      <c r="CV74" s="13">
        <f t="shared" si="95"/>
        <v>53.342204311943696</v>
      </c>
      <c r="CW74" s="20">
        <f t="shared" si="67"/>
        <v>469.88507028774637</v>
      </c>
      <c r="CX74" s="59">
        <f t="shared" si="68"/>
        <v>763.21840362107969</v>
      </c>
      <c r="CY74" s="59">
        <f ca="1">AVERAGE(OFFSET($CX$3,0,0,'Données projet'!$E$13+1,1))-AVERAGE(OFFSET($H$3,0,0,'Données projet'!$E$13+1,1))</f>
        <v>528.15559695545812</v>
      </c>
      <c r="CZ74" s="59">
        <f t="shared" si="96"/>
        <v>276.26988364830532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31.490957951504637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31.490957951504637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8.1111111111111107</v>
      </c>
      <c r="DO74" s="12">
        <f>IF('Données projet'!$A$166&gt;35,DO73+DN74-DW73,IF(A74&lt;'Données projet'!$A$166,$DL$205^A74,IF(A74='Données projet'!$A$166,'Données projet'!$B$166,DO73+DN74-DW73)))</f>
        <v>239.2222222222222</v>
      </c>
      <c r="DP74" s="17">
        <f>DO74*VLOOKUP('Données projet'!$B$14,Paramètres!$A$1:$I$89,3,0)*VLOOKUP('Données projet'!$B$14,Paramètres!$A$1:$I$89,5,0)</f>
        <v>242.57133333333334</v>
      </c>
      <c r="DQ74" s="13">
        <f t="shared" si="97"/>
        <v>58.992421773802171</v>
      </c>
      <c r="DR74" s="20">
        <f t="shared" si="70"/>
        <v>525.22354014492771</v>
      </c>
      <c r="DS74" s="59">
        <f t="shared" si="71"/>
        <v>818.55687347826097</v>
      </c>
      <c r="DT74" s="59">
        <f ca="1">AVERAGE(OFFSET($DS$3,0,0,'Données projet'!$E$14+1,1))-AVERAGE(OFFSET($H$3,0,0,'Données projet'!$E$14+1,1))</f>
        <v>586.50020405958992</v>
      </c>
      <c r="DU74" s="59">
        <f t="shared" si="98"/>
        <v>304.44184537595294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35.291590807720723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35.291590807720723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256.39999999999986</v>
      </c>
      <c r="EK74" s="17">
        <f>EJ74*VLOOKUP('Données projet'!$B$15,Paramètres!$A$1:$I$89,3,0)*VLOOKUP('Données projet'!$B$15,Paramètres!$A$1:$I$89,5,0)</f>
        <v>247.99007999999986</v>
      </c>
      <c r="EL74" s="13">
        <f t="shared" si="99"/>
        <v>60.155344744419764</v>
      </c>
      <c r="EM74" s="20">
        <f t="shared" si="73"/>
        <v>536.68661476319755</v>
      </c>
      <c r="EN74" s="59">
        <f t="shared" si="74"/>
        <v>830.01994809653092</v>
      </c>
      <c r="EO74" s="59">
        <f ca="1">AVERAGE(OFFSET($EN$3,0,0,'Données projet'!$E$15+1,1))-AVERAGE(OFFSET($H$3,0,0,'Données projet'!$E$15+1,1))</f>
        <v>355.72173590705142</v>
      </c>
      <c r="EP74" s="59">
        <f t="shared" si="100"/>
        <v>346.30980704469363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12.951479122019474</v>
      </c>
      <c r="EW74" s="21">
        <f>EXP(-LN(2)/25)*EW73+(1-EXP(-LN(2)/25))/(LN(2)/25)*Calculateur!ER74*Calculateur!ET74*VLOOKUP('Données projet'!$B$15,Paramètres!$A$1:$I$89,3,0)*0.475*44/12</f>
        <v>3.5892961963922132</v>
      </c>
      <c r="EX74" s="21">
        <f>EXP(-LN(2)/2)*EX73+(1-EXP(-LN(2)/2))/(LN(2)/2)*ER74*EU74*VLOOKUP('Données projet'!$B$15,Paramètres!$A$1:$I$89,3,0)*0.475*44/12</f>
        <v>2.4042794836944927</v>
      </c>
      <c r="EY74" s="22">
        <f t="shared" si="75"/>
        <v>18.945054802106178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256.39999999999986</v>
      </c>
      <c r="FF74" s="17">
        <f>FE74*VLOOKUP('Données projet'!$B$16,Paramètres!$A$1:$I$89,3,0)*VLOOKUP('Données projet'!$B$16,Paramètres!$A$1:$I$89,5,0)</f>
        <v>207.99167999999992</v>
      </c>
      <c r="FG74" s="13">
        <f t="shared" si="101"/>
        <v>51.496472105486831</v>
      </c>
      <c r="FH74" s="20">
        <f t="shared" si="76"/>
        <v>451.94186491705608</v>
      </c>
      <c r="FI74" s="59">
        <f t="shared" si="77"/>
        <v>745.27519825038939</v>
      </c>
      <c r="FJ74" s="59">
        <f ca="1">AVERAGE(OFFSET($FI$3,0,0,'Données projet'!$E$16+1,1))-AVERAGE(OFFSET($H$3,0,0,'Données projet'!$E$16+1,1))</f>
        <v>304.26232113495314</v>
      </c>
      <c r="FK74" s="59">
        <f t="shared" si="102"/>
        <v>297.47246687305056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13.388700847819077</v>
      </c>
      <c r="FR74" s="21">
        <f>EXP(-LN(2)/25)*FR73+(1-EXP(-LN(2)/25))/(LN(2)/25)*Calculateur!FM74*Calculateur!FO74*VLOOKUP('Données projet'!$B$16,Paramètres!$A$1:$I$89,3,0)*0.475*44/12</f>
        <v>3.7104652352801737</v>
      </c>
      <c r="FS74" s="21">
        <f>EXP(-LN(2)/2)*FS73+(1-EXP(-LN(2)/2))/(LN(2)/2)*FM74*FP74*VLOOKUP('Données projet'!$B$16,Paramètres!$A$1:$I$89,3,0)*0.475*44/12</f>
        <v>2.0164924701953812</v>
      </c>
      <c r="FT74" s="22">
        <f t="shared" si="78"/>
        <v>19.115658553294633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246.00000000000011</v>
      </c>
      <c r="O75" s="13">
        <f>N75*VLOOKUP('Données projet'!$B$9,Paramètres!$A$1:$I$89,3,0)*VLOOKUP('Données projet'!$B$9,Paramètres!$A$1:$I$89,5,0)</f>
        <v>214.90560000000013</v>
      </c>
      <c r="P75" s="13">
        <f t="shared" si="87"/>
        <v>53.006137800892375</v>
      </c>
      <c r="Q75" s="20">
        <f t="shared" si="54"/>
        <v>466.61294333655451</v>
      </c>
      <c r="R75" s="59">
        <f t="shared" si="55"/>
        <v>759.94627666988777</v>
      </c>
      <c r="S75" s="59">
        <f ca="1">AVERAGE(OFFSET($R$3,0,0,'Données projet'!$E$9+1,1))-AVERAGE(OFFSET($H$3,0,0,'Données projet'!$E$9+1,1))</f>
        <v>381.72225529388083</v>
      </c>
      <c r="T75" s="59">
        <f t="shared" si="88"/>
        <v>360.05900046417361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40.408571142144673</v>
      </c>
      <c r="AA75" s="21">
        <f>EXP(-LN(2)/25)*AA74+(1-EXP(-LN(2)/25))/(LN(2)/25)*Calculateur!V75*Calculateur!X75*VLOOKUP('Données projet'!$B$9,Paramètres!$A$1:$I$89,3,0)*0.475*44/12</f>
        <v>12.397829261675252</v>
      </c>
      <c r="AB75" s="21">
        <f>EXP(-LN(2)/2)*AB74+(1-EXP(-LN(2)/2))/(LN(2)/2)*V75*Y75*VLOOKUP('Données projet'!$B$9,Paramètres!$A$1:$I$89,3,0)*0.475*44/12</f>
        <v>7.5302510269474366E-7</v>
      </c>
      <c r="AC75" s="22">
        <f t="shared" si="57"/>
        <v>52.806401156845027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</v>
      </c>
      <c r="AI75" s="13">
        <f>IF('Données projet'!$A$62&gt;35,AI74+AH75-AQ74,IF(A75&lt;'Données projet'!$A$62,$AF$205^A75,IF(A75='Données projet'!$A$62,'Données projet'!$B$62,AI74+AH75-AQ74)))</f>
        <v>374</v>
      </c>
      <c r="AJ75" s="13">
        <f>AI75*VLOOKUP('Données projet'!$B$10,Paramètres!$A$1:$I$89,3,0)*VLOOKUP('Données projet'!$B$10,Paramètres!$A$1:$I$89,5,0)</f>
        <v>274.21680000000003</v>
      </c>
      <c r="AK75" s="13">
        <f t="shared" si="89"/>
        <v>65.743371927752975</v>
      </c>
      <c r="AL75" s="20">
        <f t="shared" si="58"/>
        <v>592.09729944083642</v>
      </c>
      <c r="AM75" s="59">
        <f t="shared" si="59"/>
        <v>885.43063277416968</v>
      </c>
      <c r="AN75" s="59">
        <f ca="1">AVERAGE(OFFSET($AM$3,0,0,'Données projet'!$E$10+1,1))-AVERAGE(OFFSET($H$3,0,0,'Données projet'!$E$10+1,1))</f>
        <v>464.3681853739115</v>
      </c>
      <c r="AO75" s="59">
        <f t="shared" si="90"/>
        <v>272.97841038165217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22.199855751360342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22.199855751360342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206.69687999999991</v>
      </c>
      <c r="BF75" s="13">
        <f t="shared" si="91"/>
        <v>51.213106197404436</v>
      </c>
      <c r="BG75" s="20">
        <f t="shared" si="61"/>
        <v>449.1932259604792</v>
      </c>
      <c r="BH75" s="59">
        <f t="shared" si="62"/>
        <v>742.52655929381251</v>
      </c>
      <c r="BI75" s="59">
        <f ca="1">AVERAGE(OFFSET($BH$3,0,0,'Données projet'!$E$11+1,1))-AVERAGE(OFFSET($H$3,0,0,'Données projet'!$E$11+1,1))</f>
        <v>299.10536994156814</v>
      </c>
      <c r="BJ75" s="59">
        <f t="shared" si="92"/>
        <v>292.57799203101769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12.873730502215771</v>
      </c>
      <c r="BQ75" s="21">
        <f>EXP(-LN(2)/25)*BQ74+(1-EXP(-LN(2)/25))/(LN(2)/25)*Calculateur!BL75*Calculateur!BN75*VLOOKUP('Données projet'!$B$11,Paramètres!$A$1:$I$89,3,0)*0.475*44/12</f>
        <v>3.5395984765985382</v>
      </c>
      <c r="BR75" s="21">
        <f>EXP(-LN(2)/2)*BR74+(1-EXP(-LN(2)/2))/(LN(2)/2)*BL75*BO75*VLOOKUP('Données projet'!$B$11,Paramètres!$A$1:$I$89,3,0)*0.475*44/12</f>
        <v>1.3984548171966358</v>
      </c>
      <c r="BS75" s="22">
        <f t="shared" si="63"/>
        <v>17.811783796010946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299.10536994156814</v>
      </c>
      <c r="CE75" s="59">
        <f t="shared" si="94"/>
        <v>292.57799203101769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12.873730502215771</v>
      </c>
      <c r="CL75" s="21">
        <f>EXP(-LN(2)/25)*CL74+(1-EXP(-LN(2)/25))/(LN(2)/25)*Calculateur!CG75*Calculateur!CI75*VLOOKUP('Données projet'!$B$12,Paramètres!$A$1:$I$89,3,0)*0.475*44/12</f>
        <v>3.5395984765985382</v>
      </c>
      <c r="CM75" s="21">
        <f>EXP(-LN(2)/2)*CM74+(1-EXP(-LN(2)/2))/(LN(2)/2)*CG75*CJ75*VLOOKUP('Données projet'!$B$12,Paramètres!$A$1:$I$89,3,0)*0.475*44/12</f>
        <v>1.3984548171966358</v>
      </c>
      <c r="CN75" s="22">
        <f t="shared" si="66"/>
        <v>17.811783796010946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8.1111111111111107</v>
      </c>
      <c r="CT75" s="12">
        <f>IF('Données projet'!$A$140&gt;35,CT74+CS75-DB74,IF(A75&lt;'Données projet'!$A$140,$CQ$205^A75,IF(A75='Données projet'!$A$140,'Données projet'!$B$140,CT74+CS75-DB74)))</f>
        <v>247.33333333333331</v>
      </c>
      <c r="CU75" s="17">
        <f>CT75*VLOOKUP('Données projet'!$B$13,Paramètres!$A$1:$I$89,3,0)*VLOOKUP('Données projet'!$B$13,Paramètres!$A$1:$I$89,5,0)</f>
        <v>223.78719999999998</v>
      </c>
      <c r="CV75" s="13">
        <f t="shared" si="95"/>
        <v>54.937195482089855</v>
      </c>
      <c r="CW75" s="20">
        <f t="shared" si="67"/>
        <v>485.44498879797311</v>
      </c>
      <c r="CX75" s="59">
        <f t="shared" si="68"/>
        <v>778.77832213130637</v>
      </c>
      <c r="CY75" s="59">
        <f ca="1">AVERAGE(OFFSET($CX$3,0,0,'Données projet'!$E$13+1,1))-AVERAGE(OFFSET($H$3,0,0,'Données projet'!$E$13+1,1))</f>
        <v>528.15559695545812</v>
      </c>
      <c r="CZ75" s="59">
        <f t="shared" si="96"/>
        <v>276.26988364830532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30.629836050283238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30.629836050283238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8.1111111111111107</v>
      </c>
      <c r="DO75" s="12">
        <f>IF('Données projet'!$A$166&gt;35,DO74+DN75-DW74,IF(A75&lt;'Données projet'!$A$166,$DL$205^A75,IF(A75='Données projet'!$A$166,'Données projet'!$B$166,DO74+DN75-DW74)))</f>
        <v>247.33333333333331</v>
      </c>
      <c r="DP75" s="17">
        <f>DO75*VLOOKUP('Données projet'!$B$14,Paramètres!$A$1:$I$89,3,0)*VLOOKUP('Données projet'!$B$14,Paramètres!$A$1:$I$89,5,0)</f>
        <v>250.79599999999999</v>
      </c>
      <c r="DQ75" s="13">
        <f t="shared" si="97"/>
        <v>60.756360723240782</v>
      </c>
      <c r="DR75" s="20">
        <f t="shared" si="70"/>
        <v>542.6203615929777</v>
      </c>
      <c r="DS75" s="59">
        <f t="shared" si="71"/>
        <v>835.95369492631107</v>
      </c>
      <c r="DT75" s="59">
        <f ca="1">AVERAGE(OFFSET($DS$3,0,0,'Données projet'!$E$14+1,1))-AVERAGE(OFFSET($H$3,0,0,'Données projet'!$E$14+1,1))</f>
        <v>586.50020405958992</v>
      </c>
      <c r="DU75" s="59">
        <f t="shared" si="98"/>
        <v>304.44184537595294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34.3265404011795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34.3265404011795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259.79999999999984</v>
      </c>
      <c r="EK75" s="17">
        <f>EJ75*VLOOKUP('Données projet'!$B$15,Paramètres!$A$1:$I$89,3,0)*VLOOKUP('Données projet'!$B$15,Paramètres!$A$1:$I$89,5,0)</f>
        <v>251.27855999999986</v>
      </c>
      <c r="EL75" s="13">
        <f t="shared" si="99"/>
        <v>60.859643896274868</v>
      </c>
      <c r="EM75" s="20">
        <f t="shared" si="73"/>
        <v>543.64070511934517</v>
      </c>
      <c r="EN75" s="59">
        <f t="shared" si="74"/>
        <v>836.97403845267854</v>
      </c>
      <c r="EO75" s="59">
        <f ca="1">AVERAGE(OFFSET($EN$3,0,0,'Données projet'!$E$15+1,1))-AVERAGE(OFFSET($H$3,0,0,'Données projet'!$E$15+1,1))</f>
        <v>355.72173590705142</v>
      </c>
      <c r="EP75" s="59">
        <f t="shared" si="100"/>
        <v>346.30980704469363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12.697508516058914</v>
      </c>
      <c r="EW75" s="21">
        <f>EXP(-LN(2)/25)*EW74+(1-EXP(-LN(2)/25))/(LN(2)/25)*Calculateur!ER75*Calculateur!ET75*VLOOKUP('Données projet'!$B$15,Paramètres!$A$1:$I$89,3,0)*0.475*44/12</f>
        <v>3.4911467031489845</v>
      </c>
      <c r="EX75" s="21">
        <f>EXP(-LN(2)/2)*EX74+(1-EXP(-LN(2)/2))/(LN(2)/2)*ER75*EU75*VLOOKUP('Données projet'!$B$15,Paramètres!$A$1:$I$89,3,0)*0.475*44/12</f>
        <v>1.7000823267880671</v>
      </c>
      <c r="EY75" s="22">
        <f t="shared" si="75"/>
        <v>17.888737545995966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259.79999999999984</v>
      </c>
      <c r="FF75" s="17">
        <f>FE75*VLOOKUP('Données projet'!$B$16,Paramètres!$A$1:$I$89,3,0)*VLOOKUP('Données projet'!$B$16,Paramètres!$A$1:$I$89,5,0)</f>
        <v>210.74975999999987</v>
      </c>
      <c r="FG75" s="13">
        <f t="shared" si="101"/>
        <v>52.099393122422597</v>
      </c>
      <c r="FH75" s="20">
        <f t="shared" si="76"/>
        <v>457.79560835488581</v>
      </c>
      <c r="FI75" s="59">
        <f t="shared" si="77"/>
        <v>751.12894168821913</v>
      </c>
      <c r="FJ75" s="59">
        <f ca="1">AVERAGE(OFFSET($FI$3,0,0,'Données projet'!$E$16+1,1))-AVERAGE(OFFSET($H$3,0,0,'Données projet'!$E$16+1,1))</f>
        <v>304.26232113495314</v>
      </c>
      <c r="FK75" s="59">
        <f t="shared" si="102"/>
        <v>297.47246687305056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13.126156590494507</v>
      </c>
      <c r="FR75" s="21">
        <f>EXP(-LN(2)/25)*FR74+(1-EXP(-LN(2)/25))/(LN(2)/25)*Calculateur!FM75*Calculateur!FO75*VLOOKUP('Données projet'!$B$16,Paramètres!$A$1:$I$89,3,0)*0.475*44/12</f>
        <v>3.6090023682965509</v>
      </c>
      <c r="FS75" s="21">
        <f>EXP(-LN(2)/2)*FS74+(1-EXP(-LN(2)/2))/(LN(2)/2)*FM75*FP75*VLOOKUP('Données projet'!$B$16,Paramètres!$A$1:$I$89,3,0)*0.475*44/12</f>
        <v>1.4258754998867662</v>
      </c>
      <c r="FT75" s="22">
        <f t="shared" si="78"/>
        <v>18.161034458677825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251.00000000000011</v>
      </c>
      <c r="O76" s="13">
        <f>N76*VLOOKUP('Données projet'!$B$9,Paramètres!$A$1:$I$89,3,0)*VLOOKUP('Données projet'!$B$9,Paramètres!$A$1:$I$89,5,0)</f>
        <v>219.27360000000016</v>
      </c>
      <c r="P76" s="13">
        <f t="shared" si="87"/>
        <v>53.956975893220168</v>
      </c>
      <c r="Q76" s="20">
        <f t="shared" si="54"/>
        <v>475.87658634735868</v>
      </c>
      <c r="R76" s="59">
        <f t="shared" si="55"/>
        <v>769.209919680692</v>
      </c>
      <c r="S76" s="59">
        <f ca="1">AVERAGE(OFFSET($R$3,0,0,'Données projet'!$E$9+1,1))-AVERAGE(OFFSET($H$3,0,0,'Données projet'!$E$9+1,1))</f>
        <v>381.72225529388083</v>
      </c>
      <c r="T76" s="59">
        <f t="shared" si="88"/>
        <v>360.05900046417361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39.616183708841945</v>
      </c>
      <c r="AA76" s="21">
        <f>EXP(-LN(2)/25)*AA75+(1-EXP(-LN(2)/25))/(LN(2)/25)*Calculateur!V76*Calculateur!X76*VLOOKUP('Données projet'!$B$9,Paramètres!$A$1:$I$89,3,0)*0.475*44/12</f>
        <v>12.058809968541237</v>
      </c>
      <c r="AB76" s="21">
        <f>EXP(-LN(2)/2)*AB75+(1-EXP(-LN(2)/2))/(LN(2)/2)*V76*Y76*VLOOKUP('Données projet'!$B$9,Paramètres!$A$1:$I$89,3,0)*0.475*44/12</f>
        <v>5.3246915651914958E-7</v>
      </c>
      <c r="AC76" s="22">
        <f t="shared" si="57"/>
        <v>51.674994209852343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</v>
      </c>
      <c r="AI76" s="13">
        <f>IF('Données projet'!$A$62&gt;35,AI75+AH76-AQ75,IF(A76&lt;'Données projet'!$A$62,$AF$205^A76,IF(A76='Données projet'!$A$62,'Données projet'!$B$62,AI75+AH76-AQ75)))</f>
        <v>385</v>
      </c>
      <c r="AJ76" s="13">
        <f>AI76*VLOOKUP('Données projet'!$B$10,Paramètres!$A$1:$I$89,3,0)*VLOOKUP('Données projet'!$B$10,Paramètres!$A$1:$I$89,5,0)</f>
        <v>282.28199999999998</v>
      </c>
      <c r="AK76" s="13">
        <f t="shared" si="89"/>
        <v>67.449033024944271</v>
      </c>
      <c r="AL76" s="20">
        <f t="shared" si="58"/>
        <v>609.11488251844457</v>
      </c>
      <c r="AM76" s="59">
        <f t="shared" si="59"/>
        <v>902.44821585177783</v>
      </c>
      <c r="AN76" s="59">
        <f ca="1">AVERAGE(OFFSET($AM$3,0,0,'Données projet'!$E$10+1,1))-AVERAGE(OFFSET($H$3,0,0,'Données projet'!$E$10+1,1))</f>
        <v>464.3681853739115</v>
      </c>
      <c r="AO76" s="59">
        <f t="shared" si="90"/>
        <v>272.97841038165217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21.59279952839972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21.59279952839972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209.40191999999988</v>
      </c>
      <c r="BF76" s="13">
        <f t="shared" si="91"/>
        <v>51.804868484579039</v>
      </c>
      <c r="BG76" s="20">
        <f t="shared" si="61"/>
        <v>454.93515661064157</v>
      </c>
      <c r="BH76" s="59">
        <f t="shared" si="62"/>
        <v>748.26848994397483</v>
      </c>
      <c r="BI76" s="59">
        <f ca="1">AVERAGE(OFFSET($BH$3,0,0,'Données projet'!$E$11+1,1))-AVERAGE(OFFSET($H$3,0,0,'Données projet'!$E$11+1,1))</f>
        <v>299.10536994156814</v>
      </c>
      <c r="BJ76" s="59">
        <f t="shared" si="92"/>
        <v>292.57799203101769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12.621284499267587</v>
      </c>
      <c r="BQ76" s="21">
        <f>EXP(-LN(2)/25)*BQ75+(1-EXP(-LN(2)/25))/(LN(2)/25)*Calculateur!BL76*Calculateur!BN76*VLOOKUP('Données projet'!$B$11,Paramètres!$A$1:$I$89,3,0)*0.475*44/12</f>
        <v>3.442807970116557</v>
      </c>
      <c r="BR76" s="21">
        <f>EXP(-LN(2)/2)*BR75+(1-EXP(-LN(2)/2))/(LN(2)/2)*BL76*BO76*VLOOKUP('Données projet'!$B$11,Paramètres!$A$1:$I$89,3,0)*0.475*44/12</f>
        <v>0.98885688442273489</v>
      </c>
      <c r="BS76" s="22">
        <f t="shared" si="63"/>
        <v>17.052949353806877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299.10536994156814</v>
      </c>
      <c r="CE76" s="59">
        <f t="shared" si="94"/>
        <v>292.57799203101769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12.621284499267587</v>
      </c>
      <c r="CL76" s="21">
        <f>EXP(-LN(2)/25)*CL75+(1-EXP(-LN(2)/25))/(LN(2)/25)*Calculateur!CG76*Calculateur!CI76*VLOOKUP('Données projet'!$B$12,Paramètres!$A$1:$I$89,3,0)*0.475*44/12</f>
        <v>3.442807970116557</v>
      </c>
      <c r="CM76" s="21">
        <f>EXP(-LN(2)/2)*CM75+(1-EXP(-LN(2)/2))/(LN(2)/2)*CG76*CJ76*VLOOKUP('Données projet'!$B$12,Paramètres!$A$1:$I$89,3,0)*0.475*44/12</f>
        <v>0.98885688442273489</v>
      </c>
      <c r="CN76" s="22">
        <f t="shared" si="66"/>
        <v>17.052949353806877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8.1111111111111107</v>
      </c>
      <c r="CT76" s="12">
        <f>IF('Données projet'!$A$140&gt;35,CT75+CS76-DB75,IF(A76&lt;'Données projet'!$A$140,$CQ$205^A76,IF(A76='Données projet'!$A$140,'Données projet'!$B$140,CT75+CS76-DB75)))</f>
        <v>255.44444444444443</v>
      </c>
      <c r="CU76" s="17">
        <f>CT76*VLOOKUP('Données projet'!$B$13,Paramètres!$A$1:$I$89,3,0)*VLOOKUP('Données projet'!$B$13,Paramètres!$A$1:$I$89,5,0)</f>
        <v>231.12613333333331</v>
      </c>
      <c r="CV76" s="13">
        <f t="shared" si="95"/>
        <v>56.526108626018512</v>
      </c>
      <c r="CW76" s="20">
        <f t="shared" si="67"/>
        <v>500.99432141253783</v>
      </c>
      <c r="CX76" s="59">
        <f t="shared" si="68"/>
        <v>794.32765474587109</v>
      </c>
      <c r="CY76" s="59">
        <f ca="1">AVERAGE(OFFSET($CX$3,0,0,'Données projet'!$E$13+1,1))-AVERAGE(OFFSET($H$3,0,0,'Données projet'!$E$13+1,1))</f>
        <v>528.15559695545812</v>
      </c>
      <c r="CZ76" s="59">
        <f t="shared" si="96"/>
        <v>276.26988364830532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29.792261572735171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29.792261572735171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8.1111111111111107</v>
      </c>
      <c r="DO76" s="12">
        <f>IF('Données projet'!$A$166&gt;35,DO75+DN76-DW75,IF(A76&lt;'Données projet'!$A$166,$DL$205^A76,IF(A76='Données projet'!$A$166,'Données projet'!$B$166,DO75+DN76-DW75)))</f>
        <v>255.44444444444443</v>
      </c>
      <c r="DP76" s="17">
        <f>DO76*VLOOKUP('Données projet'!$B$14,Paramètres!$A$1:$I$89,3,0)*VLOOKUP('Données projet'!$B$14,Paramètres!$A$1:$I$89,5,0)</f>
        <v>259.02066666666667</v>
      </c>
      <c r="DQ76" s="13">
        <f t="shared" si="97"/>
        <v>62.513577837862201</v>
      </c>
      <c r="DR76" s="20">
        <f t="shared" si="70"/>
        <v>560.00547584538776</v>
      </c>
      <c r="DS76" s="59">
        <f t="shared" si="71"/>
        <v>853.33880917872102</v>
      </c>
      <c r="DT76" s="59">
        <f ca="1">AVERAGE(OFFSET($DS$3,0,0,'Données projet'!$E$14+1,1))-AVERAGE(OFFSET($H$3,0,0,'Données projet'!$E$14+1,1))</f>
        <v>586.50020405958992</v>
      </c>
      <c r="DU76" s="59">
        <f t="shared" si="98"/>
        <v>304.44184537595294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33.387879348754943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33.387879348754943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263.19999999999982</v>
      </c>
      <c r="EK76" s="17">
        <f>EJ76*VLOOKUP('Données projet'!$B$15,Paramètres!$A$1:$I$89,3,0)*VLOOKUP('Données projet'!$B$15,Paramètres!$A$1:$I$89,5,0)</f>
        <v>254.56703999999982</v>
      </c>
      <c r="EL76" s="13">
        <f t="shared" si="99"/>
        <v>61.562870955572379</v>
      </c>
      <c r="EM76" s="20">
        <f t="shared" si="73"/>
        <v>550.59292824762156</v>
      </c>
      <c r="EN76" s="59">
        <f t="shared" si="74"/>
        <v>843.92626158095482</v>
      </c>
      <c r="EO76" s="59">
        <f ca="1">AVERAGE(OFFSET($EN$3,0,0,'Données projet'!$E$15+1,1))-AVERAGE(OFFSET($H$3,0,0,'Données projet'!$E$15+1,1))</f>
        <v>355.72173590705142</v>
      </c>
      <c r="EP76" s="59">
        <f t="shared" si="100"/>
        <v>346.30980704469363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12.448518118774466</v>
      </c>
      <c r="EW76" s="21">
        <f>EXP(-LN(2)/25)*EW75+(1-EXP(-LN(2)/25))/(LN(2)/25)*Calculateur!ER76*Calculateur!ET76*VLOOKUP('Données projet'!$B$15,Paramètres!$A$1:$I$89,3,0)*0.475*44/12</f>
        <v>3.3956811129599496</v>
      </c>
      <c r="EX76" s="21">
        <f>EXP(-LN(2)/2)*EX75+(1-EXP(-LN(2)/2))/(LN(2)/2)*ER76*EU76*VLOOKUP('Données projet'!$B$15,Paramètres!$A$1:$I$89,3,0)*0.475*44/12</f>
        <v>1.2021397418472464</v>
      </c>
      <c r="EY76" s="22">
        <f t="shared" si="75"/>
        <v>17.046338973581662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263.19999999999982</v>
      </c>
      <c r="FF76" s="17">
        <f>FE76*VLOOKUP('Données projet'!$B$16,Paramètres!$A$1:$I$89,3,0)*VLOOKUP('Données projet'!$B$16,Paramètres!$A$1:$I$89,5,0)</f>
        <v>213.50783999999987</v>
      </c>
      <c r="FG76" s="13">
        <f t="shared" si="101"/>
        <v>52.701396365805124</v>
      </c>
      <c r="FH76" s="20">
        <f t="shared" si="76"/>
        <v>463.64775333711032</v>
      </c>
      <c r="FI76" s="59">
        <f t="shared" si="77"/>
        <v>756.98108667044357</v>
      </c>
      <c r="FJ76" s="59">
        <f ca="1">AVERAGE(OFFSET($FI$3,0,0,'Données projet'!$E$16+1,1))-AVERAGE(OFFSET($H$3,0,0,'Données projet'!$E$16+1,1))</f>
        <v>304.26232113495314</v>
      </c>
      <c r="FK76" s="59">
        <f t="shared" si="102"/>
        <v>297.47246687305056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12.868760665919886</v>
      </c>
      <c r="FR76" s="21">
        <f>EXP(-LN(2)/25)*FR75+(1-EXP(-LN(2)/25))/(LN(2)/25)*Calculateur!FM76*Calculateur!FO76*VLOOKUP('Données projet'!$B$16,Paramètres!$A$1:$I$89,3,0)*0.475*44/12</f>
        <v>3.5103140087462954</v>
      </c>
      <c r="FS76" s="21">
        <f>EXP(-LN(2)/2)*FS75+(1-EXP(-LN(2)/2))/(LN(2)/2)*FM76*FP76*VLOOKUP('Données projet'!$B$16,Paramètres!$A$1:$I$89,3,0)*0.475*44/12</f>
        <v>1.0082462350976906</v>
      </c>
      <c r="FT76" s="22">
        <f t="shared" si="78"/>
        <v>17.387320909763872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256.00000000000011</v>
      </c>
      <c r="O77" s="13">
        <f>N77*VLOOKUP('Données projet'!$B$9,Paramètres!$A$1:$I$89,3,0)*VLOOKUP('Données projet'!$B$9,Paramètres!$A$1:$I$89,5,0)</f>
        <v>223.64160000000012</v>
      </c>
      <c r="P77" s="13">
        <f t="shared" si="87"/>
        <v>54.905611653539218</v>
      </c>
      <c r="Q77" s="20">
        <f t="shared" si="54"/>
        <v>485.13639362991444</v>
      </c>
      <c r="R77" s="59">
        <f t="shared" si="55"/>
        <v>778.46972696324769</v>
      </c>
      <c r="S77" s="59">
        <f ca="1">AVERAGE(OFFSET($R$3,0,0,'Données projet'!$E$9+1,1))-AVERAGE(OFFSET($H$3,0,0,'Données projet'!$E$9+1,1))</f>
        <v>381.72225529388083</v>
      </c>
      <c r="T77" s="59">
        <f t="shared" si="88"/>
        <v>360.05900046417361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38.839334509797673</v>
      </c>
      <c r="AA77" s="21">
        <f>EXP(-LN(2)/25)*AA76+(1-EXP(-LN(2)/25))/(LN(2)/25)*Calculateur!V77*Calculateur!X77*VLOOKUP('Données projet'!$B$9,Paramètres!$A$1:$I$89,3,0)*0.475*44/12</f>
        <v>11.729061175806221</v>
      </c>
      <c r="AB77" s="21">
        <f>EXP(-LN(2)/2)*AB76+(1-EXP(-LN(2)/2))/(LN(2)/2)*V77*Y77*VLOOKUP('Données projet'!$B$9,Paramètres!$A$1:$I$89,3,0)*0.475*44/12</f>
        <v>3.7651255134737183E-7</v>
      </c>
      <c r="AC77" s="22">
        <f t="shared" si="57"/>
        <v>50.568396062116449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</v>
      </c>
      <c r="AI77" s="13">
        <f>IF('Données projet'!$A$62&gt;35,AI76+AH77-AQ76,IF(A77&lt;'Données projet'!$A$62,$AF$205^A77,IF(A77='Données projet'!$A$62,'Données projet'!$B$62,AI76+AH77-AQ76)))</f>
        <v>396</v>
      </c>
      <c r="AJ77" s="13">
        <f>AI77*VLOOKUP('Données projet'!$B$10,Paramètres!$A$1:$I$89,3,0)*VLOOKUP('Données projet'!$B$10,Paramètres!$A$1:$I$89,5,0)</f>
        <v>290.34719999999999</v>
      </c>
      <c r="AK77" s="13">
        <f t="shared" si="89"/>
        <v>69.149030188577811</v>
      </c>
      <c r="AL77" s="20">
        <f t="shared" si="58"/>
        <v>626.12260091177302</v>
      </c>
      <c r="AM77" s="59">
        <f t="shared" si="59"/>
        <v>919.45593424510639</v>
      </c>
      <c r="AN77" s="59">
        <f ca="1">AVERAGE(OFFSET($AM$3,0,0,'Données projet'!$E$10+1,1))-AVERAGE(OFFSET($H$3,0,0,'Données projet'!$E$10+1,1))</f>
        <v>464.3681853739115</v>
      </c>
      <c r="AO77" s="59">
        <f t="shared" si="90"/>
        <v>272.97841038165217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21.002343289779652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21.002343289779652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212.10695999999984</v>
      </c>
      <c r="BF77" s="13">
        <f t="shared" si="91"/>
        <v>52.395741612408194</v>
      </c>
      <c r="BG77" s="20">
        <f t="shared" si="61"/>
        <v>460.67553864161067</v>
      </c>
      <c r="BH77" s="59">
        <f t="shared" si="62"/>
        <v>754.00887197494399</v>
      </c>
      <c r="BI77" s="59">
        <f ca="1">AVERAGE(OFFSET($BH$3,0,0,'Données projet'!$E$11+1,1))-AVERAGE(OFFSET($H$3,0,0,'Données projet'!$E$11+1,1))</f>
        <v>299.10536994156814</v>
      </c>
      <c r="BJ77" s="59">
        <f t="shared" si="92"/>
        <v>292.57799203101769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12.373788808460358</v>
      </c>
      <c r="BQ77" s="21">
        <f>EXP(-LN(2)/25)*BQ76+(1-EXP(-LN(2)/25))/(LN(2)/25)*Calculateur!BL77*Calculateur!BN77*VLOOKUP('Données projet'!$B$11,Paramètres!$A$1:$I$89,3,0)*0.475*44/12</f>
        <v>3.3486642051243174</v>
      </c>
      <c r="BR77" s="21">
        <f>EXP(-LN(2)/2)*BR76+(1-EXP(-LN(2)/2))/(LN(2)/2)*BL77*BO77*VLOOKUP('Données projet'!$B$11,Paramètres!$A$1:$I$89,3,0)*0.475*44/12</f>
        <v>0.699227408598318</v>
      </c>
      <c r="BS77" s="22">
        <f t="shared" si="63"/>
        <v>16.421680422182991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299.10536994156814</v>
      </c>
      <c r="CE77" s="59">
        <f t="shared" si="94"/>
        <v>292.57799203101769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12.373788808460358</v>
      </c>
      <c r="CL77" s="21">
        <f>EXP(-LN(2)/25)*CL76+(1-EXP(-LN(2)/25))/(LN(2)/25)*Calculateur!CG77*Calculateur!CI77*VLOOKUP('Données projet'!$B$12,Paramètres!$A$1:$I$89,3,0)*0.475*44/12</f>
        <v>3.3486642051243174</v>
      </c>
      <c r="CM77" s="21">
        <f>EXP(-LN(2)/2)*CM76+(1-EXP(-LN(2)/2))/(LN(2)/2)*CG77*CJ77*VLOOKUP('Données projet'!$B$12,Paramètres!$A$1:$I$89,3,0)*0.475*44/12</f>
        <v>0.699227408598318</v>
      </c>
      <c r="CN77" s="22">
        <f t="shared" si="66"/>
        <v>16.421680422182991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8.1111111111111107</v>
      </c>
      <c r="CT77" s="12">
        <f>IF('Données projet'!$A$140&gt;35,CT76+CS77-DB76,IF(A77&lt;'Données projet'!$A$140,$CQ$205^A77,IF(A77='Données projet'!$A$140,'Données projet'!$B$140,CT76+CS77-DB76)))</f>
        <v>263.55555555555554</v>
      </c>
      <c r="CU77" s="17">
        <f>CT77*VLOOKUP('Données projet'!$B$13,Paramètres!$A$1:$I$89,3,0)*VLOOKUP('Données projet'!$B$13,Paramètres!$A$1:$I$89,5,0)</f>
        <v>238.46506666666667</v>
      </c>
      <c r="CV77" s="13">
        <f t="shared" si="95"/>
        <v>58.109158879235501</v>
      </c>
      <c r="CW77" s="20">
        <f t="shared" si="67"/>
        <v>516.53344282577962</v>
      </c>
      <c r="CX77" s="59">
        <f t="shared" si="68"/>
        <v>809.86677615911299</v>
      </c>
      <c r="CY77" s="59">
        <f ca="1">AVERAGE(OFFSET($CX$3,0,0,'Données projet'!$E$13+1,1))-AVERAGE(OFFSET($H$3,0,0,'Données projet'!$E$13+1,1))</f>
        <v>528.15559695545812</v>
      </c>
      <c r="CZ77" s="59">
        <f t="shared" si="96"/>
        <v>276.26988364830532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28.977590613321784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28.977590613321784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8.1111111111111107</v>
      </c>
      <c r="DO77" s="12">
        <f>IF('Données projet'!$A$166&gt;35,DO76+DN77-DW76,IF(A77&lt;'Données projet'!$A$166,$DL$205^A77,IF(A77='Données projet'!$A$166,'Données projet'!$B$166,DO76+DN77-DW76)))</f>
        <v>263.55555555555554</v>
      </c>
      <c r="DP77" s="17">
        <f>DO77*VLOOKUP('Données projet'!$B$14,Paramètres!$A$1:$I$89,3,0)*VLOOKUP('Données projet'!$B$14,Paramètres!$A$1:$I$89,5,0)</f>
        <v>267.24533333333335</v>
      </c>
      <c r="DQ77" s="13">
        <f t="shared" si="97"/>
        <v>64.264311041176555</v>
      </c>
      <c r="DR77" s="20">
        <f t="shared" si="70"/>
        <v>577.37929728560482</v>
      </c>
      <c r="DS77" s="59">
        <f t="shared" si="71"/>
        <v>870.71263061893819</v>
      </c>
      <c r="DT77" s="59">
        <f ca="1">AVERAGE(OFFSET($DS$3,0,0,'Données projet'!$E$14+1,1))-AVERAGE(OFFSET($H$3,0,0,'Données projet'!$E$14+1,1))</f>
        <v>586.50020405958992</v>
      </c>
      <c r="DU77" s="59">
        <f t="shared" si="98"/>
        <v>304.44184537595294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32.474886032170971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32.474886032170971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266.5999999999998</v>
      </c>
      <c r="EK77" s="17">
        <f>EJ77*VLOOKUP('Données projet'!$B$15,Paramètres!$A$1:$I$89,3,0)*VLOOKUP('Données projet'!$B$15,Paramètres!$A$1:$I$89,5,0)</f>
        <v>257.85551999999979</v>
      </c>
      <c r="EL77" s="13">
        <f t="shared" si="99"/>
        <v>62.265041372827518</v>
      </c>
      <c r="EM77" s="20">
        <f t="shared" si="73"/>
        <v>557.54331105767415</v>
      </c>
      <c r="EN77" s="59">
        <f t="shared" si="74"/>
        <v>850.8766443910074</v>
      </c>
      <c r="EO77" s="59">
        <f ca="1">AVERAGE(OFFSET($EN$3,0,0,'Données projet'!$E$15+1,1))-AVERAGE(OFFSET($H$3,0,0,'Données projet'!$E$15+1,1))</f>
        <v>355.72173590705142</v>
      </c>
      <c r="EP77" s="59">
        <f t="shared" si="100"/>
        <v>346.30980704469363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12.20441027131162</v>
      </c>
      <c r="EW77" s="21">
        <f>EXP(-LN(2)/25)*EW76+(1-EXP(-LN(2)/25))/(LN(2)/25)*Calculateur!ER77*Calculateur!ET77*VLOOKUP('Données projet'!$B$15,Paramètres!$A$1:$I$89,3,0)*0.475*44/12</f>
        <v>3.3028260343549509</v>
      </c>
      <c r="EX77" s="21">
        <f>EXP(-LN(2)/2)*EX76+(1-EXP(-LN(2)/2))/(LN(2)/2)*ER77*EU77*VLOOKUP('Données projet'!$B$15,Paramètres!$A$1:$I$89,3,0)*0.475*44/12</f>
        <v>0.85004116339403357</v>
      </c>
      <c r="EY77" s="22">
        <f t="shared" si="75"/>
        <v>16.357277469060605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266.5999999999998</v>
      </c>
      <c r="FF77" s="17">
        <f>FE77*VLOOKUP('Données projet'!$B$16,Paramètres!$A$1:$I$89,3,0)*VLOOKUP('Données projet'!$B$16,Paramètres!$A$1:$I$89,5,0)</f>
        <v>216.26591999999982</v>
      </c>
      <c r="FG77" s="13">
        <f t="shared" si="101"/>
        <v>53.302495062173776</v>
      </c>
      <c r="FH77" s="20">
        <f t="shared" si="76"/>
        <v>469.49832289995226</v>
      </c>
      <c r="FI77" s="59">
        <f t="shared" si="77"/>
        <v>762.83165623328557</v>
      </c>
      <c r="FJ77" s="59">
        <f ca="1">AVERAGE(OFFSET($FI$3,0,0,'Données projet'!$E$16+1,1))-AVERAGE(OFFSET($H$3,0,0,'Données projet'!$E$16+1,1))</f>
        <v>304.26232113495314</v>
      </c>
      <c r="FK77" s="59">
        <f t="shared" si="102"/>
        <v>297.47246687305056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12.616412118430162</v>
      </c>
      <c r="FR77" s="21">
        <f>EXP(-LN(2)/25)*FR76+(1-EXP(-LN(2)/25))/(LN(2)/25)*Calculateur!FM77*Calculateur!FO77*VLOOKUP('Données projet'!$B$16,Paramètres!$A$1:$I$89,3,0)*0.475*44/12</f>
        <v>3.4143242875777373</v>
      </c>
      <c r="FS77" s="21">
        <f>EXP(-LN(2)/2)*FS76+(1-EXP(-LN(2)/2))/(LN(2)/2)*FM77*FP77*VLOOKUP('Données projet'!$B$16,Paramètres!$A$1:$I$89,3,0)*0.475*44/12</f>
        <v>0.7129377499433831</v>
      </c>
      <c r="FT77" s="22">
        <f t="shared" si="78"/>
        <v>16.743674155951283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261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261.00000000000011</v>
      </c>
      <c r="O78" s="13">
        <f>N78*VLOOKUP('Données projet'!$B$9,Paramètres!$A$1:$I$89,3,0)*VLOOKUP('Données projet'!$B$9,Paramètres!$A$1:$I$89,5,0)</f>
        <v>228.00960000000015</v>
      </c>
      <c r="P78" s="13">
        <f t="shared" si="87"/>
        <v>55.852093054619878</v>
      </c>
      <c r="Q78" s="20">
        <f t="shared" si="54"/>
        <v>494.39244873679655</v>
      </c>
      <c r="R78" s="59">
        <f t="shared" si="55"/>
        <v>787.72578207012987</v>
      </c>
      <c r="S78" s="59">
        <f ca="1">AVERAGE(OFFSET($R$3,0,0,'Données projet'!$E$9+1,1))-AVERAGE(OFFSET($H$3,0,0,'Données projet'!$E$9+1,1))</f>
        <v>381.72225529388083</v>
      </c>
      <c r="T78" s="59">
        <f t="shared" si="88"/>
        <v>360.05900046417361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19</v>
      </c>
      <c r="W78" s="16">
        <f>IF(ISNA(VLOOKUP(A78,'Données projet'!$A$35:$I$55,5,0)),0%,VLOOKUP(A78,'Données projet'!$A$35:$I$55,5,0)*VLOOKUP('Données projet'!$B$9,Paramètres!$A$1:$I$89,7,0))</f>
        <v>0.30099999999999999</v>
      </c>
      <c r="X78" s="16">
        <f>IF(ISNA(VLOOKUP(A78,'Données projet'!$A$35:$I$55,6,0)),0%,VLOOKUP(A78,'Données projet'!$A$35:$I$55,6,0)*VLOOKUP('Données projet'!$B$9,Paramètres!$A$1:$I$89,7,0))</f>
        <v>4.3000000000000003E-2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43.600779753554988</v>
      </c>
      <c r="AA78" s="21">
        <f>EXP(-LN(2)/25)*AA77+(1-EXP(-LN(2)/25))/(LN(2)/25)*Calculateur!V78*Calculateur!X78*VLOOKUP('Données projet'!$B$9,Paramètres!$A$1:$I$89,3,0)*0.475*44/12</f>
        <v>12.194231453807843</v>
      </c>
      <c r="AB78" s="21">
        <f>EXP(-LN(2)/2)*AB77+(1-EXP(-LN(2)/2))/(LN(2)/2)*V78*Y78*VLOOKUP('Données projet'!$B$9,Paramètres!$A$1:$I$89,3,0)*0.475*44/12</f>
        <v>2.6623457825957479E-7</v>
      </c>
      <c r="AC78" s="22">
        <f t="shared" si="57"/>
        <v>55.795011473597413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407</v>
      </c>
      <c r="AG78" s="12">
        <f>VLOOKUP(A78,'Données projet'!$A$61:$I$81,9,0)</f>
        <v>11</v>
      </c>
      <c r="AH78" s="12">
        <f t="array" ref="AH78">INDEX(AG:AG,MIN(IF(ISNUMBER(AG78:AG274),ROW(AG78:AG274),"")))</f>
        <v>11</v>
      </c>
      <c r="AI78" s="13">
        <f>IF('Données projet'!$A$62&gt;35,AI77+AH78-AQ77,IF(A78&lt;'Données projet'!$A$62,$AF$205^A78,IF(A78='Données projet'!$A$62,'Données projet'!$B$62,AI77+AH78-AQ77)))</f>
        <v>407</v>
      </c>
      <c r="AJ78" s="13">
        <f>AI78*VLOOKUP('Données projet'!$B$10,Paramètres!$A$1:$I$89,3,0)*VLOOKUP('Données projet'!$B$10,Paramètres!$A$1:$I$89,5,0)</f>
        <v>298.41239999999999</v>
      </c>
      <c r="AK78" s="13">
        <f t="shared" si="89"/>
        <v>70.843538825568004</v>
      </c>
      <c r="AL78" s="20">
        <f t="shared" si="58"/>
        <v>643.12076012119758</v>
      </c>
      <c r="AM78" s="59">
        <f t="shared" si="59"/>
        <v>936.45409345453095</v>
      </c>
      <c r="AN78" s="59">
        <f ca="1">AVERAGE(OFFSET($AM$3,0,0,'Données projet'!$E$10+1,1))-AVERAGE(OFFSET($H$3,0,0,'Données projet'!$E$10+1,1))</f>
        <v>464.3681853739115</v>
      </c>
      <c r="AO78" s="59">
        <f t="shared" si="90"/>
        <v>272.97841038165217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35</v>
      </c>
      <c r="AR78" s="16">
        <f>IF(ISNA(VLOOKUP(A78,'Données projet'!$A$61:$I$81,5,0)),0%,VLOOKUP(A78,'Données projet'!$A$61:$I$81,5,0)*VLOOKUP('Données projet'!$B$10,Paramètres!$A$1:$I$89,7,0))</f>
        <v>4.3000000000000003E-2</v>
      </c>
      <c r="AS78" s="16">
        <f>IF(ISNA(VLOOKUP(A78,'Données projet'!$A$61:$I$81,6,0)),0%,VLOOKUP(A78,'Données projet'!$A$61:$I$81,6,0)*VLOOKUP('Données projet'!$B$10,Paramètres!$A$1:$I$89,7,0))</f>
        <v>0.215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1.2198489778217065</v>
      </c>
      <c r="AV78" s="21">
        <f>EXP(-LN(2)/25)*AV77+(1-EXP(-LN(2)/25))/(LN(2)/25)*Calculateur!AQ78*Calculateur!AS78*VLOOKUP('Données projet'!$B$10,Paramètres!$A$1:$I$89,3,0)*0.475*44/12</f>
        <v>26.503262946041005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27.72311192386271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214.81199999999981</v>
      </c>
      <c r="BF78" s="13">
        <f t="shared" si="91"/>
        <v>52.985738231738011</v>
      </c>
      <c r="BG78" s="20">
        <f t="shared" si="61"/>
        <v>466.41439408694333</v>
      </c>
      <c r="BH78" s="59">
        <f t="shared" si="62"/>
        <v>759.74772742027665</v>
      </c>
      <c r="BI78" s="59">
        <f ca="1">AVERAGE(OFFSET($BH$3,0,0,'Données projet'!$E$11+1,1))-AVERAGE(OFFSET($H$3,0,0,'Données projet'!$E$11+1,1))</f>
        <v>299.10536994156814</v>
      </c>
      <c r="BJ78" s="59">
        <f t="shared" si="92"/>
        <v>292.57799203101769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0.371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15.067837706372863</v>
      </c>
      <c r="BQ78" s="21">
        <f>EXP(-LN(2)/25)*BQ77+(1-EXP(-LN(2)/25))/(LN(2)/25)*Calculateur!BL78*Calculateur!BN78*VLOOKUP('Données projet'!$B$11,Paramètres!$A$1:$I$89,3,0)*0.475*44/12</f>
        <v>3.2570948063365956</v>
      </c>
      <c r="BR78" s="21">
        <f>EXP(-LN(2)/2)*BR77+(1-EXP(-LN(2)/2))/(LN(2)/2)*BL78*BO78*VLOOKUP('Données projet'!$B$11,Paramètres!$A$1:$I$89,3,0)*0.475*44/12</f>
        <v>1.8456344660794521</v>
      </c>
      <c r="BS78" s="22">
        <f t="shared" si="63"/>
        <v>20.170566978788912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299.10536994156814</v>
      </c>
      <c r="CE78" s="59">
        <f t="shared" si="94"/>
        <v>292.57799203101769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0.371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0.2</v>
      </c>
      <c r="CK78" s="21">
        <f>EXP(-LN(2)/35)*CK77+(1-EXP(-LN(2)/35))/(LN(2)/35)*CG78*CH78*VLOOKUP('Données projet'!$B$12,Paramètres!$A$1:$I$89,3,0)*0.475*44/12</f>
        <v>15.067837706372863</v>
      </c>
      <c r="CL78" s="21">
        <f>EXP(-LN(2)/25)*CL77+(1-EXP(-LN(2)/25))/(LN(2)/25)*Calculateur!CG78*Calculateur!CI78*VLOOKUP('Données projet'!$B$12,Paramètres!$A$1:$I$89,3,0)*0.475*44/12</f>
        <v>3.2570948063365956</v>
      </c>
      <c r="CM78" s="21">
        <f>EXP(-LN(2)/2)*CM77+(1-EXP(-LN(2)/2))/(LN(2)/2)*CG78*CJ78*VLOOKUP('Données projet'!$B$12,Paramètres!$A$1:$I$89,3,0)*0.475*44/12</f>
        <v>1.8456344660794521</v>
      </c>
      <c r="CN78" s="22">
        <f t="shared" si="66"/>
        <v>20.170566978788912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8.1111111111111107</v>
      </c>
      <c r="CT78" s="12">
        <f>IF('Données projet'!$A$140&gt;35,CT77+CS78-DB77,IF(A78&lt;'Données projet'!$A$140,$CQ$205^A78,IF(A78='Données projet'!$A$140,'Données projet'!$B$140,CT77+CS78-DB77)))</f>
        <v>271.66666666666663</v>
      </c>
      <c r="CU78" s="17">
        <f>CT78*VLOOKUP('Données projet'!$B$13,Paramètres!$A$1:$I$89,3,0)*VLOOKUP('Données projet'!$B$13,Paramètres!$A$1:$I$89,5,0)</f>
        <v>245.80399999999995</v>
      </c>
      <c r="CV78" s="13">
        <f t="shared" si="95"/>
        <v>59.686547383038381</v>
      </c>
      <c r="CW78" s="20">
        <f t="shared" si="67"/>
        <v>532.06270335879174</v>
      </c>
      <c r="CX78" s="59">
        <f t="shared" si="68"/>
        <v>825.39603669212511</v>
      </c>
      <c r="CY78" s="59">
        <f ca="1">AVERAGE(OFFSET($CX$3,0,0,'Données projet'!$E$13+1,1))-AVERAGE(OFFSET($H$3,0,0,'Données projet'!$E$13+1,1))</f>
        <v>528.15559695545812</v>
      </c>
      <c r="CZ78" s="59">
        <f t="shared" si="96"/>
        <v>276.26988364830532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28.18519687413524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28.18519687413524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8.1111111111111107</v>
      </c>
      <c r="DO78" s="12">
        <f>IF('Données projet'!$A$166&gt;35,DO77+DN78-DW77,IF(A78&lt;'Données projet'!$A$166,$DL$205^A78,IF(A78='Données projet'!$A$166,'Données projet'!$B$166,DO77+DN78-DW77)))</f>
        <v>271.66666666666663</v>
      </c>
      <c r="DP78" s="17">
        <f>DO78*VLOOKUP('Données projet'!$B$14,Paramètres!$A$1:$I$89,3,0)*VLOOKUP('Données projet'!$B$14,Paramètres!$A$1:$I$89,5,0)</f>
        <v>275.46999999999997</v>
      </c>
      <c r="DQ78" s="13">
        <f t="shared" si="97"/>
        <v>66.008782780164168</v>
      </c>
      <c r="DR78" s="20">
        <f t="shared" si="70"/>
        <v>594.74221334211904</v>
      </c>
      <c r="DS78" s="59">
        <f t="shared" si="71"/>
        <v>888.07554667545242</v>
      </c>
      <c r="DT78" s="59">
        <f ca="1">AVERAGE(OFFSET($DS$3,0,0,'Données projet'!$E$14+1,1))-AVERAGE(OFFSET($H$3,0,0,'Données projet'!$E$14+1,1))</f>
        <v>586.50020405958992</v>
      </c>
      <c r="DU78" s="59">
        <f t="shared" si="98"/>
        <v>304.44184537595294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31.586858565841222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31.586858565841222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270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269.99999999999977</v>
      </c>
      <c r="EK78" s="17">
        <f>EJ78*VLOOKUP('Données projet'!$B$15,Paramètres!$A$1:$I$89,3,0)*VLOOKUP('Données projet'!$B$15,Paramètres!$A$1:$I$89,5,0)</f>
        <v>261.14399999999978</v>
      </c>
      <c r="EL78" s="13">
        <f t="shared" si="99"/>
        <v>62.966170181808813</v>
      </c>
      <c r="EM78" s="20">
        <f t="shared" si="73"/>
        <v>564.49187973331652</v>
      </c>
      <c r="EN78" s="59">
        <f t="shared" si="74"/>
        <v>857.82521306664989</v>
      </c>
      <c r="EO78" s="59">
        <f ca="1">AVERAGE(OFFSET($EN$3,0,0,'Données projet'!$E$15+1,1))-AVERAGE(OFFSET($H$3,0,0,'Données projet'!$E$15+1,1))</f>
        <v>355.72173590705142</v>
      </c>
      <c r="EP78" s="59">
        <f t="shared" si="100"/>
        <v>346.30980704469363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9</v>
      </c>
      <c r="ES78" s="16">
        <f>IF(ISNA(VLOOKUP(A78,'Données projet'!$A$191:$I$211,5,0)),0%,VLOOKUP(A78,'Données projet'!$A$191:$I$211,5,0)*VLOOKUP('Données projet'!$B$15,Paramètres!$A$1:$I$89,7,0))</f>
        <v>0.30099999999999999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0.2</v>
      </c>
      <c r="EV78" s="21">
        <f>EXP(-LN(2)/35)*EV77+(1-EXP(-LN(2)/35))/(LN(2)/35)*ER78*ES78*VLOOKUP('Données projet'!$B$15,Paramètres!$A$1:$I$89,3,0)*0.475*44/12</f>
        <v>14.861581696333719</v>
      </c>
      <c r="EW78" s="21">
        <f>EXP(-LN(2)/25)*EW77+(1-EXP(-LN(2)/25))/(LN(2)/25)*Calculateur!ER78*Calculateur!ET78*VLOOKUP('Données projet'!$B$15,Paramètres!$A$1:$I$89,3,0)*0.475*44/12</f>
        <v>3.2125100827574422</v>
      </c>
      <c r="EX78" s="21">
        <f>EXP(-LN(2)/2)*EX77+(1-EXP(-LN(2)/2))/(LN(2)/2)*ER78*EU78*VLOOKUP('Données projet'!$B$15,Paramètres!$A$1:$I$89,3,0)*0.475*44/12</f>
        <v>2.2437124881750199</v>
      </c>
      <c r="EY78" s="22">
        <f t="shared" si="75"/>
        <v>20.317804267266183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270</v>
      </c>
      <c r="FC78" s="12">
        <f>VLOOKUP(A78,'Données projet'!$A$217:$I$237,9,0)</f>
        <v>3.4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269.99999999999977</v>
      </c>
      <c r="FF78" s="17">
        <f>FE78*VLOOKUP('Données projet'!$B$16,Paramètres!$A$1:$I$89,3,0)*VLOOKUP('Données projet'!$B$16,Paramètres!$A$1:$I$89,5,0)</f>
        <v>219.02399999999983</v>
      </c>
      <c r="FG78" s="13">
        <f t="shared" si="101"/>
        <v>53.902702081308306</v>
      </c>
      <c r="FH78" s="20">
        <f t="shared" si="76"/>
        <v>475.34733945827821</v>
      </c>
      <c r="FI78" s="59">
        <f t="shared" si="77"/>
        <v>768.68067279161153</v>
      </c>
      <c r="FJ78" s="59">
        <f ca="1">AVERAGE(OFFSET($FI$3,0,0,'Données projet'!$E$16+1,1))-AVERAGE(OFFSET($H$3,0,0,'Données projet'!$E$16+1,1))</f>
        <v>304.26232113495314</v>
      </c>
      <c r="FK78" s="59">
        <f t="shared" si="102"/>
        <v>297.47246687305056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0.371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0.2</v>
      </c>
      <c r="FQ78" s="21">
        <f>EXP(-LN(2)/35)*FQ77+(1-EXP(-LN(2)/35))/(LN(2)/35)*FM78*FN78*VLOOKUP('Données projet'!$B$16,Paramètres!$A$1:$I$89,3,0)*0.475*44/12</f>
        <v>15.36328550453703</v>
      </c>
      <c r="FR78" s="21">
        <f>EXP(-LN(2)/25)*FR77+(1-EXP(-LN(2)/25))/(LN(2)/25)*Calculateur!FM78*Calculateur!FO78*VLOOKUP('Données projet'!$B$16,Paramètres!$A$1:$I$89,3,0)*0.475*44/12</f>
        <v>3.3209594103824132</v>
      </c>
      <c r="FS78" s="21">
        <f>EXP(-LN(2)/2)*FS77+(1-EXP(-LN(2)/2))/(LN(2)/2)*FM78*FP78*VLOOKUP('Données projet'!$B$16,Paramètres!$A$1:$I$89,3,0)*0.475*44/12</f>
        <v>1.8818233771790491</v>
      </c>
      <c r="FT78" s="22">
        <f t="shared" si="78"/>
        <v>20.566068292098493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4.4000000000000004</v>
      </c>
      <c r="N79" s="13">
        <f>IF('Données projet'!$A$36&gt;35,N78+M79-V78,IF(A79&lt;'Données projet'!$A$36,$K$205^A79,IF(A79='Données projet'!$A$36,'Données projet'!$B$36,N78+M79-V78)))</f>
        <v>246.40000000000009</v>
      </c>
      <c r="O79" s="13">
        <f>N79*VLOOKUP('Données projet'!$B$9,Paramètres!$A$1:$I$89,3,0)*VLOOKUP('Données projet'!$B$9,Paramètres!$A$1:$I$89,5,0)</f>
        <v>215.25504000000012</v>
      </c>
      <c r="P79" s="13">
        <f t="shared" si="87"/>
        <v>53.082287058997267</v>
      </c>
      <c r="Q79" s="20">
        <f t="shared" si="54"/>
        <v>467.35417796108709</v>
      </c>
      <c r="R79" s="59">
        <f t="shared" si="55"/>
        <v>760.68751129442035</v>
      </c>
      <c r="S79" s="59">
        <f ca="1">AVERAGE(OFFSET($R$3,0,0,'Données projet'!$E$9+1,1))-AVERAGE(OFFSET($H$3,0,0,'Données projet'!$E$9+1,1))</f>
        <v>381.72225529388083</v>
      </c>
      <c r="T79" s="59">
        <f t="shared" si="88"/>
        <v>360.05900046417361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42.745795056437501</v>
      </c>
      <c r="AA79" s="21">
        <f>EXP(-LN(2)/25)*AA78+(1-EXP(-LN(2)/25))/(LN(2)/25)*Calculateur!V79*Calculateur!X79*VLOOKUP('Données projet'!$B$9,Paramètres!$A$1:$I$89,3,0)*0.475*44/12</f>
        <v>11.860779553436705</v>
      </c>
      <c r="AB79" s="21">
        <f>EXP(-LN(2)/2)*AB78+(1-EXP(-LN(2)/2))/(LN(2)/2)*V79*Y79*VLOOKUP('Données projet'!$B$9,Paramètres!$A$1:$I$89,3,0)*0.475*44/12</f>
        <v>1.8825627567368591E-7</v>
      </c>
      <c r="AC79" s="22">
        <f t="shared" si="57"/>
        <v>54.606574798130481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10.4</v>
      </c>
      <c r="AI79" s="13">
        <f>IF('Données projet'!$A$62&gt;35,AI78+AH79-AQ78,IF(A79&lt;'Données projet'!$A$62,$AF$205^A79,IF(A79='Données projet'!$A$62,'Données projet'!$B$62,AI78+AH79-AQ78)))</f>
        <v>382.4</v>
      </c>
      <c r="AJ79" s="13">
        <f>AI79*VLOOKUP('Données projet'!$B$10,Paramètres!$A$1:$I$89,3,0)*VLOOKUP('Données projet'!$B$10,Paramètres!$A$1:$I$89,5,0)</f>
        <v>280.37567999999999</v>
      </c>
      <c r="AK79" s="13">
        <f t="shared" si="89"/>
        <v>67.046394668179971</v>
      </c>
      <c r="AL79" s="20">
        <f t="shared" si="58"/>
        <v>605.09344671374674</v>
      </c>
      <c r="AM79" s="59">
        <f t="shared" si="59"/>
        <v>898.42678004708</v>
      </c>
      <c r="AN79" s="59">
        <f ca="1">AVERAGE(OFFSET($AM$3,0,0,'Données projet'!$E$10+1,1))-AVERAGE(OFFSET($H$3,0,0,'Données projet'!$E$10+1,1))</f>
        <v>464.3681853739115</v>
      </c>
      <c r="AO79" s="59">
        <f t="shared" si="90"/>
        <v>272.97841038165217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1.195928483401032</v>
      </c>
      <c r="AV79" s="21">
        <f>EXP(-LN(2)/25)*AV78+(1-EXP(-LN(2)/25))/(LN(2)/25)*Calculateur!AQ79*Calculateur!AS79*VLOOKUP('Données projet'!$B$10,Paramètres!$A$1:$I$89,3,0)*0.475*44/12</f>
        <v>25.778529827035488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26.974458310436521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209.87927999999985</v>
      </c>
      <c r="BF79" s="13">
        <f t="shared" si="91"/>
        <v>51.909204458241767</v>
      </c>
      <c r="BG79" s="20">
        <f t="shared" si="61"/>
        <v>455.94827709810414</v>
      </c>
      <c r="BH79" s="59">
        <f t="shared" si="62"/>
        <v>749.28161043143746</v>
      </c>
      <c r="BI79" s="59">
        <f ca="1">AVERAGE(OFFSET($BH$3,0,0,'Données projet'!$E$11+1,1))-AVERAGE(OFFSET($H$3,0,0,'Données projet'!$E$11+1,1))</f>
        <v>299.10536994156814</v>
      </c>
      <c r="BJ79" s="59">
        <f t="shared" si="92"/>
        <v>292.57799203101769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14.772366599424409</v>
      </c>
      <c r="BQ79" s="21">
        <f>EXP(-LN(2)/25)*BQ78+(1-EXP(-LN(2)/25))/(LN(2)/25)*Calculateur!BL79*Calculateur!BN79*VLOOKUP('Données projet'!$B$11,Paramètres!$A$1:$I$89,3,0)*0.475*44/12</f>
        <v>3.1680293775741499</v>
      </c>
      <c r="BR79" s="21">
        <f>EXP(-LN(2)/2)*BR78+(1-EXP(-LN(2)/2))/(LN(2)/2)*BL79*BO79*VLOOKUP('Données projet'!$B$11,Paramètres!$A$1:$I$89,3,0)*0.475*44/12</f>
        <v>1.3050606465563936</v>
      </c>
      <c r="BS79" s="22">
        <f t="shared" si="63"/>
        <v>19.245456623554954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299.10536994156814</v>
      </c>
      <c r="CE79" s="59">
        <f t="shared" si="94"/>
        <v>292.57799203101769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14.772366599424409</v>
      </c>
      <c r="CL79" s="21">
        <f>EXP(-LN(2)/25)*CL78+(1-EXP(-LN(2)/25))/(LN(2)/25)*Calculateur!CG79*Calculateur!CI79*VLOOKUP('Données projet'!$B$12,Paramètres!$A$1:$I$89,3,0)*0.475*44/12</f>
        <v>3.1680293775741499</v>
      </c>
      <c r="CM79" s="21">
        <f>EXP(-LN(2)/2)*CM78+(1-EXP(-LN(2)/2))/(LN(2)/2)*CG79*CJ79*VLOOKUP('Données projet'!$B$12,Paramètres!$A$1:$I$89,3,0)*0.475*44/12</f>
        <v>1.3050606465563936</v>
      </c>
      <c r="CN79" s="22">
        <f t="shared" si="66"/>
        <v>19.245456623554954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8.1111111111111107</v>
      </c>
      <c r="CT79" s="12">
        <f>IF('Données projet'!$A$140&gt;35,CT78+CS79-DB78,IF(A79&lt;'Données projet'!$A$140,$CQ$205^A79,IF(A79='Données projet'!$A$140,'Données projet'!$B$140,CT78+CS79-DB78)))</f>
        <v>279.77777777777771</v>
      </c>
      <c r="CU79" s="17">
        <f>CT79*VLOOKUP('Données projet'!$B$13,Paramètres!$A$1:$I$89,3,0)*VLOOKUP('Données projet'!$B$13,Paramètres!$A$1:$I$89,5,0)</f>
        <v>253.14293333333325</v>
      </c>
      <c r="CV79" s="13">
        <f t="shared" si="95"/>
        <v>61.258462585145814</v>
      </c>
      <c r="CW79" s="20">
        <f t="shared" si="67"/>
        <v>547.58243122468434</v>
      </c>
      <c r="CX79" s="59">
        <f t="shared" si="68"/>
        <v>840.9157645580176</v>
      </c>
      <c r="CY79" s="59">
        <f ca="1">AVERAGE(OFFSET($CX$3,0,0,'Données projet'!$E$13+1,1))-AVERAGE(OFFSET($H$3,0,0,'Données projet'!$E$13+1,1))</f>
        <v>528.15559695545812</v>
      </c>
      <c r="CZ79" s="59">
        <f t="shared" si="96"/>
        <v>276.26988364830532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27.414471183416925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27.414471183416925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8.1111111111111107</v>
      </c>
      <c r="DO79" s="12">
        <f>IF('Données projet'!$A$166&gt;35,DO78+DN79-DW78,IF(A79&lt;'Données projet'!$A$166,$DL$205^A79,IF(A79='Données projet'!$A$166,'Données projet'!$B$166,DO78+DN79-DW78)))</f>
        <v>279.77777777777771</v>
      </c>
      <c r="DP79" s="17">
        <f>DO79*VLOOKUP('Données projet'!$B$14,Paramètres!$A$1:$I$89,3,0)*VLOOKUP('Données projet'!$B$14,Paramètres!$A$1:$I$89,5,0)</f>
        <v>283.69466666666665</v>
      </c>
      <c r="DQ79" s="13">
        <f t="shared" si="97"/>
        <v>67.747201463671971</v>
      </c>
      <c r="DR79" s="20">
        <f t="shared" si="70"/>
        <v>612.09458699367303</v>
      </c>
      <c r="DS79" s="59">
        <f t="shared" si="71"/>
        <v>905.4279203270064</v>
      </c>
      <c r="DT79" s="59">
        <f ca="1">AVERAGE(OFFSET($DS$3,0,0,'Données projet'!$E$14+1,1))-AVERAGE(OFFSET($H$3,0,0,'Données projet'!$E$14+1,1))</f>
        <v>586.50020405958992</v>
      </c>
      <c r="DU79" s="59">
        <f t="shared" si="98"/>
        <v>304.44184537595294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30.723114257277594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30.723114257277594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2.8</v>
      </c>
      <c r="EJ79" s="12">
        <f>IF('Données projet'!$A$192&gt;35,EJ78+EI79-ER78,IF(A79&lt;'Données projet'!$A$192,$EG$205^A79,IF(A79='Données projet'!$A$192,'Données projet'!$B$192,EJ78+EI79-ER78)))</f>
        <v>263.79999999999978</v>
      </c>
      <c r="EK79" s="17">
        <f>EJ79*VLOOKUP('Données projet'!$B$15,Paramètres!$A$1:$I$89,3,0)*VLOOKUP('Données projet'!$B$15,Paramètres!$A$1:$I$89,5,0)</f>
        <v>255.14735999999979</v>
      </c>
      <c r="EL79" s="13">
        <f t="shared" si="99"/>
        <v>61.686859728645594</v>
      </c>
      <c r="EM79" s="20">
        <f t="shared" si="73"/>
        <v>551.81959936072406</v>
      </c>
      <c r="EN79" s="59">
        <f t="shared" si="74"/>
        <v>845.15293269405743</v>
      </c>
      <c r="EO79" s="59">
        <f ca="1">AVERAGE(OFFSET($EN$3,0,0,'Données projet'!$E$15+1,1))-AVERAGE(OFFSET($H$3,0,0,'Données projet'!$E$15+1,1))</f>
        <v>355.72173590705142</v>
      </c>
      <c r="EP79" s="59">
        <f t="shared" si="100"/>
        <v>346.30980704469363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14.570155143938388</v>
      </c>
      <c r="EW79" s="21">
        <f>EXP(-LN(2)/25)*EW78+(1-EXP(-LN(2)/25))/(LN(2)/25)*Calculateur!ER79*Calculateur!ET79*VLOOKUP('Données projet'!$B$15,Paramètres!$A$1:$I$89,3,0)*0.475*44/12</f>
        <v>3.124663825605877</v>
      </c>
      <c r="EX79" s="21">
        <f>EXP(-LN(2)/2)*EX78+(1-EXP(-LN(2)/2))/(LN(2)/2)*ER79*EU79*VLOOKUP('Données projet'!$B$15,Paramètres!$A$1:$I$89,3,0)*0.475*44/12</f>
        <v>1.586544315421498</v>
      </c>
      <c r="EY79" s="22">
        <f t="shared" si="75"/>
        <v>19.281363284965764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2.8</v>
      </c>
      <c r="FE79" s="12">
        <f>IF('Données projet'!$A$218&gt;35,FE78+FD79-FM78,IF(A79&lt;'Données projet'!$A$218,$FB$205^A79,IF(A79='Données projet'!$A$218,'Données projet'!$B$218,FE78+FD79-FM78)))</f>
        <v>263.79999999999978</v>
      </c>
      <c r="FF79" s="17">
        <f>FE79*VLOOKUP('Données projet'!$B$16,Paramètres!$A$1:$I$89,3,0)*VLOOKUP('Données projet'!$B$16,Paramètres!$A$1:$I$89,5,0)</f>
        <v>213.99455999999986</v>
      </c>
      <c r="FG79" s="13">
        <f t="shared" si="101"/>
        <v>52.807537963382018</v>
      </c>
      <c r="FH79" s="20">
        <f t="shared" si="76"/>
        <v>464.68032061955677</v>
      </c>
      <c r="FI79" s="59">
        <f t="shared" si="77"/>
        <v>758.01365395289008</v>
      </c>
      <c r="FJ79" s="59">
        <f ca="1">AVERAGE(OFFSET($FI$3,0,0,'Données projet'!$E$16+1,1))-AVERAGE(OFFSET($H$3,0,0,'Données projet'!$E$16+1,1))</f>
        <v>304.26232113495314</v>
      </c>
      <c r="FK79" s="59">
        <f t="shared" si="102"/>
        <v>297.47246687305056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15.062020846471938</v>
      </c>
      <c r="FR79" s="21">
        <f>EXP(-LN(2)/25)*FR78+(1-EXP(-LN(2)/25))/(LN(2)/25)*Calculateur!FM79*Calculateur!FO79*VLOOKUP('Données projet'!$B$16,Paramètres!$A$1:$I$89,3,0)*0.475*44/12</f>
        <v>3.230147600663841</v>
      </c>
      <c r="FS79" s="21">
        <f>EXP(-LN(2)/2)*FS78+(1-EXP(-LN(2)/2))/(LN(2)/2)*FM79*FP79*VLOOKUP('Données projet'!$B$16,Paramètres!$A$1:$I$89,3,0)*0.475*44/12</f>
        <v>1.3306500709986759</v>
      </c>
      <c r="FT79" s="22">
        <f t="shared" si="78"/>
        <v>19.622818518134455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4.4000000000000004</v>
      </c>
      <c r="N80" s="13">
        <f>IF('Données projet'!$A$36&gt;35,N79+M80-V79,IF(A80&lt;'Données projet'!$A$36,$K$205^A80,IF(A80='Données projet'!$A$36,'Données projet'!$B$36,N79+M80-V79)))</f>
        <v>250.8000000000001</v>
      </c>
      <c r="O80" s="13">
        <f>N80*VLOOKUP('Données projet'!$B$9,Paramètres!$A$1:$I$89,3,0)*VLOOKUP('Données projet'!$B$9,Paramètres!$A$1:$I$89,5,0)</f>
        <v>219.09888000000012</v>
      </c>
      <c r="P80" s="13">
        <f t="shared" si="87"/>
        <v>53.918984980452286</v>
      </c>
      <c r="Q80" s="20">
        <f t="shared" si="54"/>
        <v>475.50611484095458</v>
      </c>
      <c r="R80" s="59">
        <f t="shared" si="55"/>
        <v>768.8394481742879</v>
      </c>
      <c r="S80" s="59">
        <f ca="1">AVERAGE(OFFSET($R$3,0,0,'Données projet'!$E$9+1,1))-AVERAGE(OFFSET($H$3,0,0,'Données projet'!$E$9+1,1))</f>
        <v>381.72225529388083</v>
      </c>
      <c r="T80" s="59">
        <f t="shared" si="88"/>
        <v>360.05900046417361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41.907576087741312</v>
      </c>
      <c r="AA80" s="21">
        <f>EXP(-LN(2)/25)*AA79+(1-EXP(-LN(2)/25))/(LN(2)/25)*Calculateur!V80*Calculateur!X80*VLOOKUP('Données projet'!$B$9,Paramètres!$A$1:$I$89,3,0)*0.475*44/12</f>
        <v>11.53644591281669</v>
      </c>
      <c r="AB80" s="21">
        <f>EXP(-LN(2)/2)*AB79+(1-EXP(-LN(2)/2))/(LN(2)/2)*V80*Y80*VLOOKUP('Données projet'!$B$9,Paramètres!$A$1:$I$89,3,0)*0.475*44/12</f>
        <v>1.3311728912978739E-7</v>
      </c>
      <c r="AC80" s="22">
        <f t="shared" si="57"/>
        <v>53.44402213367529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10.4</v>
      </c>
      <c r="AI80" s="13">
        <f>IF('Données projet'!$A$62&gt;35,AI79+AH80-AQ79,IF(A80&lt;'Données projet'!$A$62,$AF$205^A80,IF(A80='Données projet'!$A$62,'Données projet'!$B$62,AI79+AH80-AQ79)))</f>
        <v>392.79999999999995</v>
      </c>
      <c r="AJ80" s="13">
        <f>AI80*VLOOKUP('Données projet'!$B$10,Paramètres!$A$1:$I$89,3,0)*VLOOKUP('Données projet'!$B$10,Paramètres!$A$1:$I$89,5,0)</f>
        <v>288.00095999999996</v>
      </c>
      <c r="AK80" s="13">
        <f t="shared" si="89"/>
        <v>68.655059235753953</v>
      </c>
      <c r="AL80" s="20">
        <f t="shared" si="58"/>
        <v>621.17590016893803</v>
      </c>
      <c r="AM80" s="59">
        <f t="shared" si="59"/>
        <v>914.5092335022714</v>
      </c>
      <c r="AN80" s="59">
        <f ca="1">AVERAGE(OFFSET($AM$3,0,0,'Données projet'!$E$10+1,1))-AVERAGE(OFFSET($H$3,0,0,'Données projet'!$E$10+1,1))</f>
        <v>464.3681853739115</v>
      </c>
      <c r="AO80" s="59">
        <f t="shared" si="90"/>
        <v>272.97841038165217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1.1724770552858859</v>
      </c>
      <c r="AV80" s="21">
        <f>EXP(-LN(2)/25)*AV79+(1-EXP(-LN(2)/25))/(LN(2)/25)*Calculateur!AQ80*Calculateur!AS80*VLOOKUP('Données projet'!$B$10,Paramètres!$A$1:$I$89,3,0)*0.475*44/12</f>
        <v>25.073614573281237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26.246091628567122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212.10695999999984</v>
      </c>
      <c r="BF80" s="13">
        <f t="shared" si="91"/>
        <v>52.395741612408194</v>
      </c>
      <c r="BG80" s="20">
        <f t="shared" si="61"/>
        <v>460.67553864161067</v>
      </c>
      <c r="BH80" s="59">
        <f t="shared" si="62"/>
        <v>754.00887197494399</v>
      </c>
      <c r="BI80" s="59">
        <f ca="1">AVERAGE(OFFSET($BH$3,0,0,'Données projet'!$E$11+1,1))-AVERAGE(OFFSET($H$3,0,0,'Données projet'!$E$11+1,1))</f>
        <v>299.10536994156814</v>
      </c>
      <c r="BJ80" s="59">
        <f t="shared" si="92"/>
        <v>292.57799203101769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14.482689500663634</v>
      </c>
      <c r="BQ80" s="21">
        <f>EXP(-LN(2)/25)*BQ79+(1-EXP(-LN(2)/25))/(LN(2)/25)*Calculateur!BL80*Calculateur!BN80*VLOOKUP('Données projet'!$B$11,Paramètres!$A$1:$I$89,3,0)*0.475*44/12</f>
        <v>3.0813994476449604</v>
      </c>
      <c r="BR80" s="21">
        <f>EXP(-LN(2)/2)*BR79+(1-EXP(-LN(2)/2))/(LN(2)/2)*BL80*BO80*VLOOKUP('Données projet'!$B$11,Paramètres!$A$1:$I$89,3,0)*0.475*44/12</f>
        <v>0.92281723303972618</v>
      </c>
      <c r="BS80" s="22">
        <f t="shared" si="63"/>
        <v>18.486906181348321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299.10536994156814</v>
      </c>
      <c r="CE80" s="59">
        <f t="shared" si="94"/>
        <v>292.57799203101769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14.482689500663634</v>
      </c>
      <c r="CL80" s="21">
        <f>EXP(-LN(2)/25)*CL79+(1-EXP(-LN(2)/25))/(LN(2)/25)*Calculateur!CG80*Calculateur!CI80*VLOOKUP('Données projet'!$B$12,Paramètres!$A$1:$I$89,3,0)*0.475*44/12</f>
        <v>3.0813994476449604</v>
      </c>
      <c r="CM80" s="21">
        <f>EXP(-LN(2)/2)*CM79+(1-EXP(-LN(2)/2))/(LN(2)/2)*CG80*CJ80*VLOOKUP('Données projet'!$B$12,Paramètres!$A$1:$I$89,3,0)*0.475*44/12</f>
        <v>0.92281723303972618</v>
      </c>
      <c r="CN80" s="22">
        <f t="shared" si="66"/>
        <v>18.486906181348321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8.1111111111111107</v>
      </c>
      <c r="CT80" s="12">
        <f>IF('Données projet'!$A$140&gt;35,CT79+CS80-DB79,IF(A80&lt;'Données projet'!$A$140,$CQ$205^A80,IF(A80='Données projet'!$A$140,'Données projet'!$B$140,CT79+CS80-DB79)))</f>
        <v>287.8888888888888</v>
      </c>
      <c r="CU80" s="17">
        <f>CT80*VLOOKUP('Données projet'!$B$13,Paramètres!$A$1:$I$89,3,0)*VLOOKUP('Données projet'!$B$13,Paramètres!$A$1:$I$89,5,0)</f>
        <v>260.48186666666658</v>
      </c>
      <c r="CV80" s="13">
        <f t="shared" si="95"/>
        <v>62.825081385259836</v>
      </c>
      <c r="CW80" s="20">
        <f t="shared" si="67"/>
        <v>563.09293452377176</v>
      </c>
      <c r="CX80" s="59">
        <f t="shared" si="68"/>
        <v>856.42626785710513</v>
      </c>
      <c r="CY80" s="59">
        <f ca="1">AVERAGE(OFFSET($CX$3,0,0,'Données projet'!$E$13+1,1))-AVERAGE(OFFSET($H$3,0,0,'Données projet'!$E$13+1,1))</f>
        <v>528.15559695545812</v>
      </c>
      <c r="CZ80" s="59">
        <f t="shared" si="96"/>
        <v>276.26988364830532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26.664821027242006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26.664821027242006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8.1111111111111107</v>
      </c>
      <c r="DO80" s="12">
        <f>IF('Données projet'!$A$166&gt;35,DO79+DN80-DW79,IF(A80&lt;'Données projet'!$A$166,$DL$205^A80,IF(A80='Données projet'!$A$166,'Données projet'!$B$166,DO79+DN80-DW79)))</f>
        <v>287.8888888888888</v>
      </c>
      <c r="DP80" s="17">
        <f>DO80*VLOOKUP('Données projet'!$B$14,Paramètres!$A$1:$I$89,3,0)*VLOOKUP('Données projet'!$B$14,Paramètres!$A$1:$I$89,5,0)</f>
        <v>291.91933333333327</v>
      </c>
      <c r="DQ80" s="13">
        <f t="shared" si="97"/>
        <v>69.479762729318765</v>
      </c>
      <c r="DR80" s="20">
        <f t="shared" si="70"/>
        <v>629.43675897578566</v>
      </c>
      <c r="DS80" s="59">
        <f t="shared" si="71"/>
        <v>922.77009230911904</v>
      </c>
      <c r="DT80" s="59">
        <f ca="1">AVERAGE(OFFSET($DS$3,0,0,'Données projet'!$E$14+1,1))-AVERAGE(OFFSET($H$3,0,0,'Données projet'!$E$14+1,1))</f>
        <v>586.50020405958992</v>
      </c>
      <c r="DU80" s="59">
        <f t="shared" si="98"/>
        <v>304.44184537595294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29.882989082253978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29.882989082253978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2.8</v>
      </c>
      <c r="EJ80" s="12">
        <f>IF('Données projet'!$A$192&gt;35,EJ79+EI80-ER79,IF(A80&lt;'Données projet'!$A$192,$EG$205^A80,IF(A80='Données projet'!$A$192,'Données projet'!$B$192,EJ79+EI80-ER79)))</f>
        <v>266.5999999999998</v>
      </c>
      <c r="EK80" s="17">
        <f>EJ80*VLOOKUP('Données projet'!$B$15,Paramètres!$A$1:$I$89,3,0)*VLOOKUP('Données projet'!$B$15,Paramètres!$A$1:$I$89,5,0)</f>
        <v>257.85551999999979</v>
      </c>
      <c r="EL80" s="13">
        <f t="shared" si="99"/>
        <v>62.265041372827518</v>
      </c>
      <c r="EM80" s="20">
        <f t="shared" si="73"/>
        <v>557.54331105767415</v>
      </c>
      <c r="EN80" s="59">
        <f t="shared" si="74"/>
        <v>850.8766443910074</v>
      </c>
      <c r="EO80" s="59">
        <f ca="1">AVERAGE(OFFSET($EN$3,0,0,'Données projet'!$E$15+1,1))-AVERAGE(OFFSET($H$3,0,0,'Données projet'!$E$15+1,1))</f>
        <v>355.72173590705142</v>
      </c>
      <c r="EP80" s="59">
        <f t="shared" si="100"/>
        <v>346.30980704469363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14.284443288482883</v>
      </c>
      <c r="EW80" s="21">
        <f>EXP(-LN(2)/25)*EW79+(1-EXP(-LN(2)/25))/(LN(2)/25)*Calculateur!ER80*Calculateur!ET80*VLOOKUP('Données projet'!$B$15,Paramètres!$A$1:$I$89,3,0)*0.475*44/12</f>
        <v>3.039219728975755</v>
      </c>
      <c r="EX80" s="21">
        <f>EXP(-LN(2)/2)*EX79+(1-EXP(-LN(2)/2))/(LN(2)/2)*ER80*EU80*VLOOKUP('Données projet'!$B$15,Paramètres!$A$1:$I$89,3,0)*0.475*44/12</f>
        <v>1.1218562440875102</v>
      </c>
      <c r="EY80" s="22">
        <f t="shared" si="75"/>
        <v>18.445519261546149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2.8</v>
      </c>
      <c r="FE80" s="12">
        <f>IF('Données projet'!$A$218&gt;35,FE79+FD80-FM79,IF(A80&lt;'Données projet'!$A$218,$FB$205^A80,IF(A80='Données projet'!$A$218,'Données projet'!$B$218,FE79+FD80-FM79)))</f>
        <v>266.5999999999998</v>
      </c>
      <c r="FF80" s="17">
        <f>FE80*VLOOKUP('Données projet'!$B$16,Paramètres!$A$1:$I$89,3,0)*VLOOKUP('Données projet'!$B$16,Paramètres!$A$1:$I$89,5,0)</f>
        <v>216.26591999999982</v>
      </c>
      <c r="FG80" s="13">
        <f t="shared" si="101"/>
        <v>53.302495062173776</v>
      </c>
      <c r="FH80" s="20">
        <f t="shared" si="76"/>
        <v>469.49832289995226</v>
      </c>
      <c r="FI80" s="59">
        <f t="shared" si="77"/>
        <v>762.83165623328557</v>
      </c>
      <c r="FJ80" s="59">
        <f ca="1">AVERAGE(OFFSET($FI$3,0,0,'Données projet'!$E$16+1,1))-AVERAGE(OFFSET($H$3,0,0,'Données projet'!$E$16+1,1))</f>
        <v>304.26232113495314</v>
      </c>
      <c r="FK80" s="59">
        <f t="shared" si="102"/>
        <v>297.47246687305056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14.766663804598206</v>
      </c>
      <c r="FR80" s="21">
        <f>EXP(-LN(2)/25)*FR79+(1-EXP(-LN(2)/25))/(LN(2)/25)*Calculateur!FM80*Calculateur!FO80*VLOOKUP('Données projet'!$B$16,Paramètres!$A$1:$I$89,3,0)*0.475*44/12</f>
        <v>3.1418190446576086</v>
      </c>
      <c r="FS80" s="21">
        <f>EXP(-LN(2)/2)*FS79+(1-EXP(-LN(2)/2))/(LN(2)/2)*FM80*FP80*VLOOKUP('Données projet'!$B$16,Paramètres!$A$1:$I$89,3,0)*0.475*44/12</f>
        <v>0.94091168858952479</v>
      </c>
      <c r="FT80" s="22">
        <f t="shared" si="78"/>
        <v>18.849394537845342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4.4000000000000004</v>
      </c>
      <c r="N81" s="13">
        <f>IF('Données projet'!$A$36&gt;35,N80+M81-V80,IF(A81&lt;'Données projet'!$A$36,$K$205^A81,IF(A81='Données projet'!$A$36,'Données projet'!$B$36,N80+M81-V80)))</f>
        <v>255.2000000000001</v>
      </c>
      <c r="O81" s="13">
        <f>N81*VLOOKUP('Données projet'!$B$9,Paramètres!$A$1:$I$89,3,0)*VLOOKUP('Données projet'!$B$9,Paramètres!$A$1:$I$89,5,0)</f>
        <v>222.94272000000009</v>
      </c>
      <c r="P81" s="13">
        <f t="shared" si="87"/>
        <v>54.753975927514929</v>
      </c>
      <c r="Q81" s="20">
        <f t="shared" si="54"/>
        <v>483.65507874042197</v>
      </c>
      <c r="R81" s="59">
        <f t="shared" si="55"/>
        <v>776.98841207375528</v>
      </c>
      <c r="S81" s="59">
        <f ca="1">AVERAGE(OFFSET($R$3,0,0,'Données projet'!$E$9+1,1))-AVERAGE(OFFSET($H$3,0,0,'Données projet'!$E$9+1,1))</f>
        <v>381.72225529388083</v>
      </c>
      <c r="T81" s="59">
        <f t="shared" si="88"/>
        <v>360.05900046417361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41.085794081758166</v>
      </c>
      <c r="AA81" s="21">
        <f>EXP(-LN(2)/25)*AA80+(1-EXP(-LN(2)/25))/(LN(2)/25)*Calculateur!V81*Calculateur!X81*VLOOKUP('Données projet'!$B$9,Paramètres!$A$1:$I$89,3,0)*0.475*44/12</f>
        <v>11.220981192655394</v>
      </c>
      <c r="AB81" s="21">
        <f>EXP(-LN(2)/2)*AB80+(1-EXP(-LN(2)/2))/(LN(2)/2)*V81*Y81*VLOOKUP('Données projet'!$B$9,Paramètres!$A$1:$I$89,3,0)*0.475*44/12</f>
        <v>9.4128137836842957E-8</v>
      </c>
      <c r="AC81" s="22">
        <f t="shared" si="57"/>
        <v>52.3067753685417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10.4</v>
      </c>
      <c r="AI81" s="13">
        <f>IF('Données projet'!$A$62&gt;35,AI80+AH81-AQ80,IF(A81&lt;'Données projet'!$A$62,$AF$205^A81,IF(A81='Données projet'!$A$62,'Données projet'!$B$62,AI80+AH81-AQ80)))</f>
        <v>403.19999999999993</v>
      </c>
      <c r="AJ81" s="13">
        <f>AI81*VLOOKUP('Données projet'!$B$10,Paramètres!$A$1:$I$89,3,0)*VLOOKUP('Données projet'!$B$10,Paramètres!$A$1:$I$89,5,0)</f>
        <v>295.62623999999994</v>
      </c>
      <c r="AK81" s="13">
        <f t="shared" si="89"/>
        <v>70.25877312268689</v>
      </c>
      <c r="AL81" s="20">
        <f t="shared" si="58"/>
        <v>637.24973118867945</v>
      </c>
      <c r="AM81" s="59">
        <f t="shared" si="59"/>
        <v>930.58306452201282</v>
      </c>
      <c r="AN81" s="59">
        <f ca="1">AVERAGE(OFFSET($AM$3,0,0,'Données projet'!$E$10+1,1))-AVERAGE(OFFSET($H$3,0,0,'Données projet'!$E$10+1,1))</f>
        <v>464.3681853739115</v>
      </c>
      <c r="AO81" s="59">
        <f t="shared" si="90"/>
        <v>272.97841038165217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1.1494854953721192</v>
      </c>
      <c r="AV81" s="21">
        <f>EXP(-LN(2)/25)*AV80+(1-EXP(-LN(2)/25))/(LN(2)/25)*Calculateur!AQ81*Calculateur!AS81*VLOOKUP('Données projet'!$B$10,Paramètres!$A$1:$I$89,3,0)*0.475*44/12</f>
        <v>24.387975264210777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25.537460759582896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214.33463999999984</v>
      </c>
      <c r="BF81" s="13">
        <f t="shared" si="91"/>
        <v>52.881684324030282</v>
      </c>
      <c r="BG81" s="20">
        <f t="shared" si="61"/>
        <v>465.40176486435234</v>
      </c>
      <c r="BH81" s="59">
        <f t="shared" si="62"/>
        <v>758.7350981976856</v>
      </c>
      <c r="BI81" s="59">
        <f ca="1">AVERAGE(OFFSET($BH$3,0,0,'Données projet'!$E$11+1,1))-AVERAGE(OFFSET($H$3,0,0,'Données projet'!$E$11+1,1))</f>
        <v>299.10536994156814</v>
      </c>
      <c r="BJ81" s="59">
        <f t="shared" si="92"/>
        <v>292.57799203101769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14.198692793123973</v>
      </c>
      <c r="BQ81" s="21">
        <f>EXP(-LN(2)/25)*BQ80+(1-EXP(-LN(2)/25))/(LN(2)/25)*Calculateur!BL81*Calculateur!BN81*VLOOKUP('Données projet'!$B$11,Paramètres!$A$1:$I$89,3,0)*0.475*44/12</f>
        <v>2.9971384177053548</v>
      </c>
      <c r="BR81" s="21">
        <f>EXP(-LN(2)/2)*BR80+(1-EXP(-LN(2)/2))/(LN(2)/2)*BL81*BO81*VLOOKUP('Données projet'!$B$11,Paramètres!$A$1:$I$89,3,0)*0.475*44/12</f>
        <v>0.65253032327819693</v>
      </c>
      <c r="BS81" s="22">
        <f t="shared" si="63"/>
        <v>17.848361534107525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299.10536994156814</v>
      </c>
      <c r="CE81" s="59">
        <f t="shared" si="94"/>
        <v>292.57799203101769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14.198692793123973</v>
      </c>
      <c r="CL81" s="21">
        <f>EXP(-LN(2)/25)*CL80+(1-EXP(-LN(2)/25))/(LN(2)/25)*Calculateur!CG81*Calculateur!CI81*VLOOKUP('Données projet'!$B$12,Paramètres!$A$1:$I$89,3,0)*0.475*44/12</f>
        <v>2.9971384177053548</v>
      </c>
      <c r="CM81" s="21">
        <f>EXP(-LN(2)/2)*CM80+(1-EXP(-LN(2)/2))/(LN(2)/2)*CG81*CJ81*VLOOKUP('Données projet'!$B$12,Paramètres!$A$1:$I$89,3,0)*0.475*44/12</f>
        <v>0.65253032327819693</v>
      </c>
      <c r="CN81" s="22">
        <f t="shared" si="66"/>
        <v>17.848361534107525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>
        <f>VLOOKUP(A81,'Données projet'!$A$139:$I$159,2,0)</f>
        <v>296</v>
      </c>
      <c r="CR81" s="12">
        <f>VLOOKUP(A81,'Données projet'!$A$139:$I$159,9,0)</f>
        <v>8.1111111111111107</v>
      </c>
      <c r="CS81" s="12">
        <f t="array" ref="CS81">INDEX(CR:CR,MIN(IF(ISNUMBER(CR81:CR277),ROW(CR81:CR277),"")))</f>
        <v>8.1111111111111107</v>
      </c>
      <c r="CT81" s="12">
        <f>IF('Données projet'!$A$140&gt;35,CT80+CS81-DB80,IF(A81&lt;'Données projet'!$A$140,$CQ$205^A81,IF(A81='Données projet'!$A$140,'Données projet'!$B$140,CT80+CS81-DB80)))</f>
        <v>295.99999999999989</v>
      </c>
      <c r="CU81" s="17">
        <f>CT81*VLOOKUP('Données projet'!$B$13,Paramètres!$A$1:$I$89,3,0)*VLOOKUP('Données projet'!$B$13,Paramètres!$A$1:$I$89,5,0)</f>
        <v>267.82079999999991</v>
      </c>
      <c r="CV81" s="13">
        <f t="shared" si="95"/>
        <v>64.386570147897302</v>
      </c>
      <c r="CW81" s="20">
        <f t="shared" si="67"/>
        <v>578.5945030075876</v>
      </c>
      <c r="CX81" s="59">
        <f t="shared" si="68"/>
        <v>871.92783634092098</v>
      </c>
      <c r="CY81" s="59">
        <f ca="1">AVERAGE(OFFSET($CX$3,0,0,'Données projet'!$E$13+1,1))-AVERAGE(OFFSET($H$3,0,0,'Données projet'!$E$13+1,1))</f>
        <v>528.15559695545812</v>
      </c>
      <c r="CZ81" s="59">
        <f t="shared" si="96"/>
        <v>276.26988364830532</v>
      </c>
      <c r="DA81" s="15">
        <f>IF(ISNA(VLOOKUP(A81,'Données projet'!$A$139:$I$159,3,0)),0,VLOOKUP(A81,'Données projet'!$A$139:$I$159,3,0))</f>
        <v>6</v>
      </c>
      <c r="DB81" s="15">
        <f>IF(ISNA(VLOOKUP(A81,'Données projet'!$A$139:$I$159,4,0)),0,VLOOKUP(A81,'Données projet'!$A$139:$I$159,4,0))</f>
        <v>49</v>
      </c>
      <c r="DC81" s="16">
        <f>IF(ISNA(VLOOKUP(A81,'Données projet'!$A$139:$I$159,5,0)),0%,VLOOKUP(A81,'Données projet'!$A$139:$I$159,5,0)*VLOOKUP('Données projet'!$B$13,Paramètres!$A$1:$I$89,7,0))</f>
        <v>4.3000000000000003E-2</v>
      </c>
      <c r="DD81" s="16">
        <f>IF(ISNA(VLOOKUP(A81,'Données projet'!$A$139:$I$159,6,0)),0%,VLOOKUP(A81,'Données projet'!$A$139:$I$159,6,0)*VLOOKUP('Données projet'!$B$13,Paramètres!$A$1:$I$89,7,0))</f>
        <v>0.215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2.107483765938778</v>
      </c>
      <c r="DG81" s="21">
        <f>EXP(-LN(2)/25)*DG80+(1-EXP(-LN(2)/25))/(LN(2)/25)*Calculateur!DB81*Calculateur!DD81*VLOOKUP('Données projet'!$B$13,Paramètres!$A$1:$I$89,3,0)*0.475*44/12</f>
        <v>36.431599090700111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38.539082856638892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>
        <f>VLOOKUP(A81,'Données projet'!$A$165:$I$185,2,0)</f>
        <v>296</v>
      </c>
      <c r="DM81" s="12">
        <f>VLOOKUP(A81,'Données projet'!$A$165:$I$185,9,0)</f>
        <v>8.1111111111111107</v>
      </c>
      <c r="DN81" s="12">
        <f t="array" ref="DN81">INDEX(DM:DM,MIN(IF(ISNUMBER(DM81:DM277),ROW(DM81:DM277),"")))</f>
        <v>8.1111111111111107</v>
      </c>
      <c r="DO81" s="12">
        <f>IF('Données projet'!$A$166&gt;35,DO80+DN81-DW80,IF(A81&lt;'Données projet'!$A$166,$DL$205^A81,IF(A81='Données projet'!$A$166,'Données projet'!$B$166,DO80+DN81-DW80)))</f>
        <v>295.99999999999989</v>
      </c>
      <c r="DP81" s="17">
        <f>DO81*VLOOKUP('Données projet'!$B$14,Paramètres!$A$1:$I$89,3,0)*VLOOKUP('Données projet'!$B$14,Paramètres!$A$1:$I$89,5,0)</f>
        <v>300.14399999999989</v>
      </c>
      <c r="DQ81" s="13">
        <f t="shared" si="97"/>
        <v>71.206650563609855</v>
      </c>
      <c r="DR81" s="20">
        <f t="shared" si="70"/>
        <v>646.76904973162027</v>
      </c>
      <c r="DS81" s="59">
        <f t="shared" si="71"/>
        <v>940.10238306495353</v>
      </c>
      <c r="DT81" s="59">
        <f ca="1">AVERAGE(OFFSET($DS$3,0,0,'Données projet'!$E$14+1,1))-AVERAGE(OFFSET($H$3,0,0,'Données projet'!$E$14+1,1))</f>
        <v>586.50020405958992</v>
      </c>
      <c r="DU81" s="59">
        <f t="shared" si="98"/>
        <v>304.44184537595294</v>
      </c>
      <c r="DV81" s="15">
        <f>IF(ISNA(VLOOKUP(A81,'Données projet'!$A$165:$I$185,3,0)),0,VLOOKUP(A81,'Données projet'!$A$165:$I$185,3,0))</f>
        <v>6</v>
      </c>
      <c r="DW81" s="15">
        <f>IF(ISNA(VLOOKUP(A81,'Données projet'!$A$165:$I$185,4,0)),0,VLOOKUP(A81,'Données projet'!$A$165:$I$185,4,0))</f>
        <v>49</v>
      </c>
      <c r="DX81" s="16">
        <f>IF(ISNA(VLOOKUP(A81,'Données projet'!$A$165:$I$185,5,0)),0%,VLOOKUP(A81,'Données projet'!$A$165:$I$185,5,0)*VLOOKUP('Données projet'!$B$14,Paramètres!$A$1:$I$89,7,0))</f>
        <v>4.3000000000000003E-2</v>
      </c>
      <c r="DY81" s="16">
        <f>IF(ISNA(VLOOKUP(A81,'Données projet'!$A$165:$I$185,6,0)),0%,VLOOKUP(A81,'Données projet'!$A$165:$I$185,6,0)*VLOOKUP('Données projet'!$B$14,Paramètres!$A$1:$I$89,7,0))</f>
        <v>0.215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2.3618352549313895</v>
      </c>
      <c r="EB81" s="21">
        <f>EXP(-LN(2)/25)*EB80+(1-EXP(-LN(2)/25))/(LN(2)/25)*Calculateur!DW81*Calculateur!DY81*VLOOKUP('Données projet'!$B$14,Paramètres!$A$1:$I$89,3,0)*0.475*44/12</f>
        <v>40.82851622233634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43.190351477267733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2.8</v>
      </c>
      <c r="EJ81" s="12">
        <f>IF('Données projet'!$A$192&gt;35,EJ80+EI81-ER80,IF(A81&lt;'Données projet'!$A$192,$EG$205^A81,IF(A81='Données projet'!$A$192,'Données projet'!$B$192,EJ80+EI81-ER80)))</f>
        <v>269.39999999999981</v>
      </c>
      <c r="EK81" s="17">
        <f>EJ81*VLOOKUP('Données projet'!$B$15,Paramètres!$A$1:$I$89,3,0)*VLOOKUP('Données projet'!$B$15,Paramètres!$A$1:$I$89,5,0)</f>
        <v>260.56367999999981</v>
      </c>
      <c r="EL81" s="13">
        <f t="shared" si="99"/>
        <v>62.842516604837627</v>
      </c>
      <c r="EM81" s="20">
        <f t="shared" si="73"/>
        <v>563.26579242009177</v>
      </c>
      <c r="EN81" s="59">
        <f t="shared" si="74"/>
        <v>856.59912575342514</v>
      </c>
      <c r="EO81" s="59">
        <f ca="1">AVERAGE(OFFSET($EN$3,0,0,'Données projet'!$E$15+1,1))-AVERAGE(OFFSET($H$3,0,0,'Données projet'!$E$15+1,1))</f>
        <v>355.72173590705142</v>
      </c>
      <c r="EP81" s="59">
        <f t="shared" si="100"/>
        <v>346.30980704469363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14.004334068245837</v>
      </c>
      <c r="EW81" s="21">
        <f>EXP(-LN(2)/25)*EW80+(1-EXP(-LN(2)/25))/(LN(2)/25)*Calculateur!ER81*Calculateur!ET81*VLOOKUP('Données projet'!$B$15,Paramètres!$A$1:$I$89,3,0)*0.475*44/12</f>
        <v>2.9561121056612936</v>
      </c>
      <c r="EX81" s="21">
        <f>EXP(-LN(2)/2)*EX80+(1-EXP(-LN(2)/2))/(LN(2)/2)*ER81*EU81*VLOOKUP('Données projet'!$B$15,Paramètres!$A$1:$I$89,3,0)*0.475*44/12</f>
        <v>0.7932721577107491</v>
      </c>
      <c r="EY81" s="22">
        <f t="shared" si="75"/>
        <v>17.753718331617879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2.8</v>
      </c>
      <c r="FE81" s="12">
        <f>IF('Données projet'!$A$218&gt;35,FE80+FD81-FM80,IF(A81&lt;'Données projet'!$A$218,$FB$205^A81,IF(A81='Données projet'!$A$218,'Données projet'!$B$218,FE80+FD81-FM80)))</f>
        <v>269.39999999999981</v>
      </c>
      <c r="FF81" s="17">
        <f>FE81*VLOOKUP('Données projet'!$B$16,Paramètres!$A$1:$I$89,3,0)*VLOOKUP('Données projet'!$B$16,Paramètres!$A$1:$I$89,5,0)</f>
        <v>218.53727999999987</v>
      </c>
      <c r="FG81" s="13">
        <f t="shared" si="101"/>
        <v>53.796847431080771</v>
      </c>
      <c r="FH81" s="20">
        <f t="shared" si="76"/>
        <v>474.31527194246542</v>
      </c>
      <c r="FI81" s="59">
        <f t="shared" si="77"/>
        <v>767.64860527579867</v>
      </c>
      <c r="FJ81" s="59">
        <f ca="1">AVERAGE(OFFSET($FI$3,0,0,'Données projet'!$E$16+1,1))-AVERAGE(OFFSET($H$3,0,0,'Données projet'!$E$16+1,1))</f>
        <v>304.26232113495314</v>
      </c>
      <c r="FK81" s="59">
        <f t="shared" si="102"/>
        <v>297.47246687305056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14.477098534165611</v>
      </c>
      <c r="FR81" s="21">
        <f>EXP(-LN(2)/25)*FR80+(1-EXP(-LN(2)/25))/(LN(2)/25)*Calculateur!FM81*Calculateur!FO81*VLOOKUP('Données projet'!$B$16,Paramètres!$A$1:$I$89,3,0)*0.475*44/12</f>
        <v>3.0559058376603634</v>
      </c>
      <c r="FS81" s="21">
        <f>EXP(-LN(2)/2)*FS80+(1-EXP(-LN(2)/2))/(LN(2)/2)*FM81*FP81*VLOOKUP('Données projet'!$B$16,Paramètres!$A$1:$I$89,3,0)*0.475*44/12</f>
        <v>0.66532503549933808</v>
      </c>
      <c r="FT81" s="22">
        <f t="shared" si="78"/>
        <v>18.198329407325314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4.4000000000000004</v>
      </c>
      <c r="N82" s="13">
        <f>IF('Données projet'!$A$36&gt;35,N81+M82-V81,IF(A82&lt;'Données projet'!$A$36,$K$205^A82,IF(A82='Données projet'!$A$36,'Données projet'!$B$36,N81+M82-V81)))</f>
        <v>259.60000000000008</v>
      </c>
      <c r="O82" s="13">
        <f>N82*VLOOKUP('Données projet'!$B$9,Paramètres!$A$1:$I$89,3,0)*VLOOKUP('Données projet'!$B$9,Paramètres!$A$1:$I$89,5,0)</f>
        <v>226.78656000000009</v>
      </c>
      <c r="P82" s="13">
        <f t="shared" si="87"/>
        <v>55.587292726829872</v>
      </c>
      <c r="Q82" s="20">
        <f t="shared" si="54"/>
        <v>491.8011268325622</v>
      </c>
      <c r="R82" s="59">
        <f t="shared" si="55"/>
        <v>785.13446016589546</v>
      </c>
      <c r="S82" s="59">
        <f ca="1">AVERAGE(OFFSET($R$3,0,0,'Données projet'!$E$9+1,1))-AVERAGE(OFFSET($H$3,0,0,'Données projet'!$E$9+1,1))</f>
        <v>381.72225529388083</v>
      </c>
      <c r="T82" s="59">
        <f t="shared" si="88"/>
        <v>360.05900046417361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40.280126719674826</v>
      </c>
      <c r="AA82" s="21">
        <f>EXP(-LN(2)/25)*AA81+(1-EXP(-LN(2)/25))/(LN(2)/25)*Calculateur!V82*Calculateur!X82*VLOOKUP('Données projet'!$B$9,Paramètres!$A$1:$I$89,3,0)*0.475*44/12</f>
        <v>10.914142871856477</v>
      </c>
      <c r="AB82" s="21">
        <f>EXP(-LN(2)/2)*AB81+(1-EXP(-LN(2)/2))/(LN(2)/2)*V82*Y82*VLOOKUP('Données projet'!$B$9,Paramètres!$A$1:$I$89,3,0)*0.475*44/12</f>
        <v>6.6558644564893697E-8</v>
      </c>
      <c r="AC82" s="22">
        <f t="shared" si="57"/>
        <v>51.194269658089944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10.4</v>
      </c>
      <c r="AI82" s="13">
        <f>IF('Données projet'!$A$62&gt;35,AI81+AH82-AQ81,IF(A82&lt;'Données projet'!$A$62,$AF$205^A82,IF(A82='Données projet'!$A$62,'Données projet'!$B$62,AI81+AH82-AQ81)))</f>
        <v>413.59999999999991</v>
      </c>
      <c r="AJ82" s="13">
        <f>AI82*VLOOKUP('Données projet'!$B$10,Paramètres!$A$1:$I$89,3,0)*VLOOKUP('Données projet'!$B$10,Paramètres!$A$1:$I$89,5,0)</f>
        <v>303.25151999999991</v>
      </c>
      <c r="AK82" s="13">
        <f t="shared" si="89"/>
        <v>71.857678707090869</v>
      </c>
      <c r="AL82" s="20">
        <f t="shared" si="58"/>
        <v>653.31518774818312</v>
      </c>
      <c r="AM82" s="59">
        <f t="shared" si="59"/>
        <v>946.64852108151649</v>
      </c>
      <c r="AN82" s="59">
        <f ca="1">AVERAGE(OFFSET($AM$3,0,0,'Données projet'!$E$10+1,1))-AVERAGE(OFFSET($H$3,0,0,'Données projet'!$E$10+1,1))</f>
        <v>464.3681853739115</v>
      </c>
      <c r="AO82" s="59">
        <f t="shared" si="90"/>
        <v>272.97841038165217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1.1269447859247945</v>
      </c>
      <c r="AV82" s="21">
        <f>EXP(-LN(2)/25)*AV81+(1-EXP(-LN(2)/25))/(LN(2)/25)*Calculateur!AQ82*Calculateur!AS82*VLOOKUP('Données projet'!$B$10,Paramètres!$A$1:$I$89,3,0)*0.475*44/12</f>
        <v>23.721084798103053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24.848029584027849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216.56231999999989</v>
      </c>
      <c r="BF82" s="13">
        <f t="shared" si="91"/>
        <v>53.367039486661959</v>
      </c>
      <c r="BG82" s="20">
        <f t="shared" si="61"/>
        <v>470.12696777260271</v>
      </c>
      <c r="BH82" s="59">
        <f t="shared" si="62"/>
        <v>763.46030110593597</v>
      </c>
      <c r="BI82" s="59">
        <f ca="1">AVERAGE(OFFSET($BH$3,0,0,'Données projet'!$E$11+1,1))-AVERAGE(OFFSET($H$3,0,0,'Données projet'!$E$11+1,1))</f>
        <v>299.10536994156814</v>
      </c>
      <c r="BJ82" s="59">
        <f t="shared" si="92"/>
        <v>292.57799203101769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13.920265087798278</v>
      </c>
      <c r="BQ82" s="21">
        <f>EXP(-LN(2)/25)*BQ81+(1-EXP(-LN(2)/25))/(LN(2)/25)*Calculateur!BL82*Calculateur!BN82*VLOOKUP('Données projet'!$B$11,Paramètres!$A$1:$I$89,3,0)*0.475*44/12</f>
        <v>2.9151815100605427</v>
      </c>
      <c r="BR82" s="21">
        <f>EXP(-LN(2)/2)*BR81+(1-EXP(-LN(2)/2))/(LN(2)/2)*BL82*BO82*VLOOKUP('Données projet'!$B$11,Paramètres!$A$1:$I$89,3,0)*0.475*44/12</f>
        <v>0.46140861651986315</v>
      </c>
      <c r="BS82" s="22">
        <f t="shared" si="63"/>
        <v>17.296855214378681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299.10536994156814</v>
      </c>
      <c r="CE82" s="59">
        <f t="shared" si="94"/>
        <v>292.57799203101769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13.920265087798278</v>
      </c>
      <c r="CL82" s="21">
        <f>EXP(-LN(2)/25)*CL81+(1-EXP(-LN(2)/25))/(LN(2)/25)*Calculateur!CG82*Calculateur!CI82*VLOOKUP('Données projet'!$B$12,Paramètres!$A$1:$I$89,3,0)*0.475*44/12</f>
        <v>2.9151815100605427</v>
      </c>
      <c r="CM82" s="21">
        <f>EXP(-LN(2)/2)*CM81+(1-EXP(-LN(2)/2))/(LN(2)/2)*CG82*CJ82*VLOOKUP('Données projet'!$B$12,Paramètres!$A$1:$I$89,3,0)*0.475*44/12</f>
        <v>0.46140861651986315</v>
      </c>
      <c r="CN82" s="22">
        <f t="shared" si="66"/>
        <v>17.296855214378681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7.7777777777777777</v>
      </c>
      <c r="CT82" s="12">
        <f>IF('Données projet'!$A$140&gt;35,CT81+CS82-DB81,IF(A82&lt;'Données projet'!$A$140,$CQ$205^A82,IF(A82='Données projet'!$A$140,'Données projet'!$B$140,CT81+CS82-DB81)))</f>
        <v>254.77777777777766</v>
      </c>
      <c r="CU82" s="17">
        <f>CT82*VLOOKUP('Données projet'!$B$13,Paramètres!$A$1:$I$89,3,0)*VLOOKUP('Données projet'!$B$13,Paramètres!$A$1:$I$89,5,0)</f>
        <v>230.52293333333321</v>
      </c>
      <c r="CV82" s="13">
        <f t="shared" si="95"/>
        <v>56.395736994607496</v>
      </c>
      <c r="CW82" s="20">
        <f t="shared" si="67"/>
        <v>499.71668415449676</v>
      </c>
      <c r="CX82" s="59">
        <f t="shared" si="68"/>
        <v>793.05001748783002</v>
      </c>
      <c r="CY82" s="59">
        <f ca="1">AVERAGE(OFFSET($CX$3,0,0,'Données projet'!$E$13+1,1))-AVERAGE(OFFSET($H$3,0,0,'Données projet'!$E$13+1,1))</f>
        <v>528.15559695545812</v>
      </c>
      <c r="CZ82" s="59">
        <f t="shared" si="96"/>
        <v>276.26988364830532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2.0661572947268891</v>
      </c>
      <c r="DG82" s="21">
        <f>EXP(-LN(2)/25)*DG81+(1-EXP(-LN(2)/25))/(LN(2)/25)*Calculateur!DB82*Calculateur!DD82*VLOOKUP('Données projet'!$B$13,Paramètres!$A$1:$I$89,3,0)*0.475*44/12</f>
        <v>35.435375097710384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37.501532392437277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7.7777777777777777</v>
      </c>
      <c r="DO82" s="12">
        <f>IF('Données projet'!$A$166&gt;35,DO81+DN82-DW81,IF(A82&lt;'Données projet'!$A$166,$DL$205^A82,IF(A82='Données projet'!$A$166,'Données projet'!$B$166,DO81+DN82-DW81)))</f>
        <v>254.77777777777766</v>
      </c>
      <c r="DP82" s="17">
        <f>DO82*VLOOKUP('Données projet'!$B$14,Paramètres!$A$1:$I$89,3,0)*VLOOKUP('Données projet'!$B$14,Paramètres!$A$1:$I$89,5,0)</f>
        <v>258.34466666666651</v>
      </c>
      <c r="DQ82" s="13">
        <f t="shared" si="97"/>
        <v>62.369396727112374</v>
      </c>
      <c r="DR82" s="20">
        <f t="shared" si="70"/>
        <v>558.57699374416472</v>
      </c>
      <c r="DS82" s="59">
        <f t="shared" si="71"/>
        <v>851.9103270774981</v>
      </c>
      <c r="DT82" s="59">
        <f ca="1">AVERAGE(OFFSET($DS$3,0,0,'Données projet'!$E$14+1,1))-AVERAGE(OFFSET($H$3,0,0,'Données projet'!$E$14+1,1))</f>
        <v>586.50020405958992</v>
      </c>
      <c r="DU82" s="59">
        <f t="shared" si="98"/>
        <v>304.44184537595294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2.3155211061594452</v>
      </c>
      <c r="EB82" s="21">
        <f>EXP(-LN(2)/25)*EB81+(1-EXP(-LN(2)/25))/(LN(2)/25)*Calculateur!DW82*Calculateur!DY82*VLOOKUP('Données projet'!$B$14,Paramètres!$A$1:$I$89,3,0)*0.475*44/12</f>
        <v>39.712058299158201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42.027579405317645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2.8</v>
      </c>
      <c r="EJ82" s="12">
        <f>IF('Données projet'!$A$192&gt;35,EJ81+EI82-ER81,IF(A82&lt;'Données projet'!$A$192,$EG$205^A82,IF(A82='Données projet'!$A$192,'Données projet'!$B$192,EJ81+EI82-ER81)))</f>
        <v>272.19999999999982</v>
      </c>
      <c r="EK82" s="17">
        <f>EJ82*VLOOKUP('Données projet'!$B$15,Paramètres!$A$1:$I$89,3,0)*VLOOKUP('Données projet'!$B$15,Paramètres!$A$1:$I$89,5,0)</f>
        <v>263.27183999999983</v>
      </c>
      <c r="EL82" s="13">
        <f t="shared" si="99"/>
        <v>63.419293616705005</v>
      </c>
      <c r="EM82" s="20">
        <f t="shared" si="73"/>
        <v>568.9870577157609</v>
      </c>
      <c r="EN82" s="59">
        <f t="shared" si="74"/>
        <v>862.32039104909427</v>
      </c>
      <c r="EO82" s="59">
        <f ca="1">AVERAGE(OFFSET($EN$3,0,0,'Données projet'!$E$15+1,1))-AVERAGE(OFFSET($H$3,0,0,'Données projet'!$E$15+1,1))</f>
        <v>355.72173590705142</v>
      </c>
      <c r="EP82" s="59">
        <f t="shared" si="100"/>
        <v>346.30980704469363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13.729717618967886</v>
      </c>
      <c r="EW82" s="21">
        <f>EXP(-LN(2)/25)*EW81+(1-EXP(-LN(2)/25))/(LN(2)/25)*Calculateur!ER82*Calculateur!ET82*VLOOKUP('Données projet'!$B$15,Paramètres!$A$1:$I$89,3,0)*0.475*44/12</f>
        <v>2.8752770646768062</v>
      </c>
      <c r="EX82" s="21">
        <f>EXP(-LN(2)/2)*EX81+(1-EXP(-LN(2)/2))/(LN(2)/2)*ER82*EU82*VLOOKUP('Données projet'!$B$15,Paramètres!$A$1:$I$89,3,0)*0.475*44/12</f>
        <v>0.56092812204375508</v>
      </c>
      <c r="EY82" s="22">
        <f t="shared" si="75"/>
        <v>17.165922805688446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2.8</v>
      </c>
      <c r="FE82" s="12">
        <f>IF('Données projet'!$A$218&gt;35,FE81+FD82-FM81,IF(A82&lt;'Données projet'!$A$218,$FB$205^A82,IF(A82='Données projet'!$A$218,'Données projet'!$B$218,FE81+FD82-FM81)))</f>
        <v>272.19999999999982</v>
      </c>
      <c r="FF82" s="17">
        <f>FE82*VLOOKUP('Données projet'!$B$16,Paramètres!$A$1:$I$89,3,0)*VLOOKUP('Données projet'!$B$16,Paramètres!$A$1:$I$89,5,0)</f>
        <v>220.80863999999985</v>
      </c>
      <c r="FG82" s="13">
        <f t="shared" si="101"/>
        <v>54.290602082955985</v>
      </c>
      <c r="FH82" s="20">
        <f t="shared" si="76"/>
        <v>479.13117996114801</v>
      </c>
      <c r="FI82" s="59">
        <f t="shared" si="77"/>
        <v>772.46451329448132</v>
      </c>
      <c r="FJ82" s="59">
        <f ca="1">AVERAGE(OFFSET($FI$3,0,0,'Données projet'!$E$16+1,1))-AVERAGE(OFFSET($H$3,0,0,'Données projet'!$E$16+1,1))</f>
        <v>304.26232113495314</v>
      </c>
      <c r="FK82" s="59">
        <f t="shared" si="102"/>
        <v>297.47246687305056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14.193211462068824</v>
      </c>
      <c r="FR82" s="21">
        <f>EXP(-LN(2)/25)*FR81+(1-EXP(-LN(2)/25))/(LN(2)/25)*Calculateur!FM82*Calculateur!FO82*VLOOKUP('Données projet'!$B$16,Paramètres!$A$1:$I$89,3,0)*0.475*44/12</f>
        <v>2.972341931826437</v>
      </c>
      <c r="FS82" s="21">
        <f>EXP(-LN(2)/2)*FS81+(1-EXP(-LN(2)/2))/(LN(2)/2)*FM82*FP82*VLOOKUP('Données projet'!$B$16,Paramètres!$A$1:$I$89,3,0)*0.475*44/12</f>
        <v>0.47045584429476245</v>
      </c>
      <c r="FT82" s="22">
        <f t="shared" si="78"/>
        <v>17.636009238190024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264</v>
      </c>
      <c r="L83" s="12">
        <f>VLOOKUP(A83,'Données projet'!$A$35:$I$55,9,0)</f>
        <v>4.4000000000000004</v>
      </c>
      <c r="M83" s="12">
        <f t="array" ref="M83">INDEX(L:L,MIN(IF(ISNUMBER(L83:L279),ROW(L83:L279),"")))</f>
        <v>4.4000000000000004</v>
      </c>
      <c r="N83" s="13">
        <f>IF('Données projet'!$A$36&gt;35,N82+M83-V82,IF(A83&lt;'Données projet'!$A$36,$K$205^A83,IF(A83='Données projet'!$A$36,'Données projet'!$B$36,N82+M83-V82)))</f>
        <v>264.00000000000006</v>
      </c>
      <c r="O83" s="13">
        <f>N83*VLOOKUP('Données projet'!$B$9,Paramètres!$A$1:$I$89,3,0)*VLOOKUP('Données projet'!$B$9,Paramètres!$A$1:$I$89,5,0)</f>
        <v>230.63040000000007</v>
      </c>
      <c r="P83" s="13">
        <f t="shared" si="87"/>
        <v>56.418967028503253</v>
      </c>
      <c r="Q83" s="20">
        <f t="shared" si="54"/>
        <v>499.94431424130994</v>
      </c>
      <c r="R83" s="59">
        <f t="shared" si="55"/>
        <v>793.2776475746432</v>
      </c>
      <c r="S83" s="59">
        <f ca="1">AVERAGE(OFFSET($R$3,0,0,'Données projet'!$E$9+1,1))-AVERAGE(OFFSET($H$3,0,0,'Données projet'!$E$9+1,1))</f>
        <v>381.72225529388083</v>
      </c>
      <c r="T83" s="59">
        <f t="shared" si="88"/>
        <v>360.05900046417361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17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4.3000000000000003E-2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44.431944075009817</v>
      </c>
      <c r="AA83" s="21">
        <f>EXP(-LN(2)/25)*AA82+(1-EXP(-LN(2)/25))/(LN(2)/25)*Calculateur!V83*Calculateur!X83*VLOOKUP('Données projet'!$B$9,Paramètres!$A$1:$I$89,3,0)*0.475*44/12</f>
        <v>11.318870599770236</v>
      </c>
      <c r="AB83" s="21">
        <f>EXP(-LN(2)/2)*AB82+(1-EXP(-LN(2)/2))/(LN(2)/2)*V83*Y83*VLOOKUP('Données projet'!$B$9,Paramètres!$A$1:$I$89,3,0)*0.475*44/12</f>
        <v>4.7064068918421479E-8</v>
      </c>
      <c r="AC83" s="22">
        <f t="shared" si="57"/>
        <v>55.750814721844122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424</v>
      </c>
      <c r="AG83" s="12">
        <f>VLOOKUP(A83,'Données projet'!$A$61:$I$81,9,0)</f>
        <v>10.4</v>
      </c>
      <c r="AH83" s="12">
        <f t="array" ref="AH83">INDEX(AG:AG,MIN(IF(ISNUMBER(AG83:AG279),ROW(AG83:AG279),"")))</f>
        <v>10.4</v>
      </c>
      <c r="AI83" s="13">
        <f>IF('Données projet'!$A$62&gt;35,AI82+AH83-AQ82,IF(A83&lt;'Données projet'!$A$62,$AF$205^A83,IF(A83='Données projet'!$A$62,'Données projet'!$B$62,AI82+AH83-AQ82)))</f>
        <v>423.99999999999989</v>
      </c>
      <c r="AJ83" s="13">
        <f>AI83*VLOOKUP('Données projet'!$B$10,Paramètres!$A$1:$I$89,3,0)*VLOOKUP('Données projet'!$B$10,Paramètres!$A$1:$I$89,5,0)</f>
        <v>310.87679999999995</v>
      </c>
      <c r="AK83" s="13">
        <f t="shared" si="89"/>
        <v>73.451910798811909</v>
      </c>
      <c r="AL83" s="20">
        <f t="shared" si="58"/>
        <v>669.37250464126396</v>
      </c>
      <c r="AM83" s="59">
        <f t="shared" si="59"/>
        <v>962.70583797459722</v>
      </c>
      <c r="AN83" s="59">
        <f ca="1">AVERAGE(OFFSET($AM$3,0,0,'Données projet'!$E$10+1,1))-AVERAGE(OFFSET($H$3,0,0,'Données projet'!$E$10+1,1))</f>
        <v>464.3681853739115</v>
      </c>
      <c r="AO83" s="59">
        <f t="shared" si="90"/>
        <v>272.97841038165217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34</v>
      </c>
      <c r="AR83" s="16">
        <f>IF(ISNA(VLOOKUP(A83,'Données projet'!$A$61:$I$81,5,0)),0%,VLOOKUP(A83,'Données projet'!$A$61:$I$81,5,0)*VLOOKUP('Données projet'!$B$10,Paramètres!$A$1:$I$89,7,0))</f>
        <v>4.3000000000000003E-2</v>
      </c>
      <c r="AS83" s="16">
        <f>IF(ISNA(VLOOKUP(A83,'Données projet'!$A$61:$I$81,6,0)),0%,VLOOKUP(A83,'Données projet'!$A$61:$I$81,6,0)*VLOOKUP('Données projet'!$B$10,Paramètres!$A$1:$I$89,7,0))</f>
        <v>0.215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2.2898422359252004</v>
      </c>
      <c r="AV83" s="21">
        <f>EXP(-LN(2)/25)*AV82+(1-EXP(-LN(2)/25))/(LN(2)/25)*Calculateur!AQ83*Calculateur!AS83*VLOOKUP('Données projet'!$B$10,Paramètres!$A$1:$I$89,3,0)*0.475*44/12</f>
        <v>28.97408232947588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31.26392456540108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218.78999999999988</v>
      </c>
      <c r="BF83" s="13">
        <f t="shared" si="91"/>
        <v>53.851813843863468</v>
      </c>
      <c r="BG83" s="20">
        <f t="shared" si="61"/>
        <v>474.85115911139536</v>
      </c>
      <c r="BH83" s="59">
        <f t="shared" si="62"/>
        <v>768.18449244472868</v>
      </c>
      <c r="BI83" s="59">
        <f ca="1">AVERAGE(OFFSET($BH$3,0,0,'Données projet'!$E$11+1,1))-AVERAGE(OFFSET($H$3,0,0,'Données projet'!$E$11+1,1))</f>
        <v>299.10536994156814</v>
      </c>
      <c r="BJ83" s="59">
        <f t="shared" si="92"/>
        <v>292.57799203101769</v>
      </c>
      <c r="BK83" s="15" t="str">
        <f>IF(ISNA(VLOOKUP(A83,'Données projet'!$A$87:$I$107,3,0)),0,VLOOKUP(A83,'Données projet'!$A$87:$I$107,3,0))</f>
        <v>CR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0.371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103.37953284935313</v>
      </c>
      <c r="BQ83" s="21">
        <f>EXP(-LN(2)/25)*BQ82+(1-EXP(-LN(2)/25))/(LN(2)/25)*Calculateur!BL83*Calculateur!BN83*VLOOKUP('Données projet'!$B$11,Paramètres!$A$1:$I$89,3,0)*0.475*44/12</f>
        <v>2.8354657183652043</v>
      </c>
      <c r="BR83" s="21">
        <f>EXP(-LN(2)/2)*BR82+(1-EXP(-LN(2)/2))/(LN(2)/2)*BL83*BO83*VLOOKUP('Données projet'!$B$11,Paramètres!$A$1:$I$89,3,0)*0.475*44/12</f>
        <v>41.613115890941678</v>
      </c>
      <c r="BS83" s="22">
        <f t="shared" si="63"/>
        <v>147.82811445866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299.10536994156814</v>
      </c>
      <c r="CE83" s="59">
        <f t="shared" si="94"/>
        <v>292.57799203101769</v>
      </c>
      <c r="CF83" s="15" t="str">
        <f>IF(ISNA(VLOOKUP(A83,'Données projet'!$A$113:$I$133,3,0)),0,VLOOKUP(A83,'Données projet'!$A$113:$I$133,3,0))</f>
        <v>CR</v>
      </c>
      <c r="CG83" s="15">
        <f>IF(ISNA(VLOOKUP(A83,'Données projet'!$A$113:$I$133,4,0)),0,VLOOKUP(A83,'Données projet'!$A$113:$I$133,4,0))</f>
        <v>275</v>
      </c>
      <c r="CH83" s="16">
        <f>IF(ISNA(VLOOKUP(A83,'Données projet'!$A$113:$I$133,5,0)),0%,VLOOKUP(A83,'Données projet'!$A$113:$I$133,5,0)*VLOOKUP('Données projet'!$B$12,Paramètres!$A$1:$I$89,7,0))</f>
        <v>0.371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103.37953284935313</v>
      </c>
      <c r="CL83" s="21">
        <f>EXP(-LN(2)/25)*CL82+(1-EXP(-LN(2)/25))/(LN(2)/25)*Calculateur!CG83*Calculateur!CI83*VLOOKUP('Données projet'!$B$12,Paramètres!$A$1:$I$89,3,0)*0.475*44/12</f>
        <v>2.8354657183652043</v>
      </c>
      <c r="CM83" s="21">
        <f>EXP(-LN(2)/2)*CM82+(1-EXP(-LN(2)/2))/(LN(2)/2)*CG83*CJ83*VLOOKUP('Données projet'!$B$12,Paramètres!$A$1:$I$89,3,0)*0.475*44/12</f>
        <v>41.613115890941678</v>
      </c>
      <c r="CN83" s="22">
        <f t="shared" si="66"/>
        <v>147.82811445866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7.7777777777777777</v>
      </c>
      <c r="CT83" s="12">
        <f>IF('Données projet'!$A$140&gt;35,CT82+CS83-DB82,IF(A83&lt;'Données projet'!$A$140,$CQ$205^A83,IF(A83='Données projet'!$A$140,'Données projet'!$B$140,CT82+CS83-DB82)))</f>
        <v>262.55555555555543</v>
      </c>
      <c r="CU83" s="17">
        <f>CT83*VLOOKUP('Données projet'!$B$13,Paramètres!$A$1:$I$89,3,0)*VLOOKUP('Données projet'!$B$13,Paramètres!$A$1:$I$89,5,0)</f>
        <v>237.56026666666656</v>
      </c>
      <c r="CV83" s="13">
        <f t="shared" si="95"/>
        <v>57.914298227932981</v>
      </c>
      <c r="CW83" s="20">
        <f t="shared" si="67"/>
        <v>514.61820052476094</v>
      </c>
      <c r="CX83" s="59">
        <f t="shared" si="68"/>
        <v>807.95153385809431</v>
      </c>
      <c r="CY83" s="59">
        <f ca="1">AVERAGE(OFFSET($CX$3,0,0,'Données projet'!$E$13+1,1))-AVERAGE(OFFSET($H$3,0,0,'Données projet'!$E$13+1,1))</f>
        <v>528.15559695545812</v>
      </c>
      <c r="CZ83" s="59">
        <f t="shared" si="96"/>
        <v>276.26988364830532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2.0256412104088071</v>
      </c>
      <c r="DG83" s="21">
        <f>EXP(-LN(2)/25)*DG82+(1-EXP(-LN(2)/25))/(LN(2)/25)*Calculateur!DB83*Calculateur!DD83*VLOOKUP('Données projet'!$B$13,Paramètres!$A$1:$I$89,3,0)*0.475*44/12</f>
        <v>34.466392902198109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36.492034112606916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7.7777777777777777</v>
      </c>
      <c r="DO83" s="12">
        <f>IF('Données projet'!$A$166&gt;35,DO82+DN83-DW82,IF(A83&lt;'Données projet'!$A$166,$DL$205^A83,IF(A83='Données projet'!$A$166,'Données projet'!$B$166,DO82+DN83-DW82)))</f>
        <v>262.55555555555543</v>
      </c>
      <c r="DP83" s="17">
        <f>DO83*VLOOKUP('Données projet'!$B$14,Paramètres!$A$1:$I$89,3,0)*VLOOKUP('Données projet'!$B$14,Paramètres!$A$1:$I$89,5,0)</f>
        <v>266.23133333333323</v>
      </c>
      <c r="DQ83" s="13">
        <f t="shared" si="97"/>
        <v>64.048809978237188</v>
      </c>
      <c r="DR83" s="20">
        <f t="shared" si="70"/>
        <v>575.23791626765171</v>
      </c>
      <c r="DS83" s="59">
        <f t="shared" si="71"/>
        <v>868.57124960098508</v>
      </c>
      <c r="DT83" s="59">
        <f ca="1">AVERAGE(OFFSET($DS$3,0,0,'Données projet'!$E$14+1,1))-AVERAGE(OFFSET($H$3,0,0,'Données projet'!$E$14+1,1))</f>
        <v>586.50020405958992</v>
      </c>
      <c r="DU83" s="59">
        <f t="shared" si="98"/>
        <v>304.44184537595294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2.2701151495960774</v>
      </c>
      <c r="EB83" s="21">
        <f>EXP(-LN(2)/25)*EB82+(1-EXP(-LN(2)/25))/(LN(2)/25)*Calculateur!DW83*Calculateur!DY83*VLOOKUP('Données projet'!$B$14,Paramètres!$A$1:$I$89,3,0)*0.475*44/12</f>
        <v>38.626129976601341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40.896245126197421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275</v>
      </c>
      <c r="EH83" s="12">
        <f>VLOOKUP(A83,'Données projet'!$A$191:$I$211,9,0)</f>
        <v>2.8</v>
      </c>
      <c r="EI83" s="12">
        <f t="array" ref="EI83">INDEX(EH:EH,MIN(IF(ISNUMBER(EH83:EH279),ROW(EH83:EH279),"")))</f>
        <v>2.8</v>
      </c>
      <c r="EJ83" s="12">
        <f>IF('Données projet'!$A$192&gt;35,EJ82+EI83-ER82,IF(A83&lt;'Données projet'!$A$192,$EG$205^A83,IF(A83='Données projet'!$A$192,'Données projet'!$B$192,EJ82+EI83-ER82)))</f>
        <v>274.99999999999983</v>
      </c>
      <c r="EK83" s="17">
        <f>EJ83*VLOOKUP('Données projet'!$B$15,Paramètres!$A$1:$I$89,3,0)*VLOOKUP('Données projet'!$B$15,Paramètres!$A$1:$I$89,5,0)</f>
        <v>265.97999999999985</v>
      </c>
      <c r="EL83" s="13">
        <f t="shared" si="99"/>
        <v>63.995380422211589</v>
      </c>
      <c r="EM83" s="20">
        <f t="shared" si="73"/>
        <v>574.70712090201823</v>
      </c>
      <c r="EN83" s="59">
        <f t="shared" si="74"/>
        <v>868.04045423535149</v>
      </c>
      <c r="EO83" s="59">
        <f ca="1">AVERAGE(OFFSET($EN$3,0,0,'Données projet'!$E$15+1,1))-AVERAGE(OFFSET($H$3,0,0,'Données projet'!$E$15+1,1))</f>
        <v>355.72173590705142</v>
      </c>
      <c r="EP83" s="59">
        <f t="shared" si="100"/>
        <v>346.30980704469363</v>
      </c>
      <c r="EQ83" s="15" t="str">
        <f>IF(ISNA(VLOOKUP(A83,'Données projet'!$A$191:$I$211,3,0)),0,VLOOKUP(A83,'Données projet'!$A$191:$I$211,3,0))</f>
        <v>CR</v>
      </c>
      <c r="ER83" s="15">
        <f>IF(ISNA(VLOOKUP(A83,'Données projet'!$A$191:$I$211,4,0)),0,VLOOKUP(A83,'Données projet'!$A$191:$I$211,4,0))</f>
        <v>275</v>
      </c>
      <c r="ES83" s="16">
        <f>IF(ISNA(VLOOKUP(A83,'Données projet'!$A$191:$I$211,5,0)),0%,VLOOKUP(A83,'Données projet'!$A$191:$I$211,5,0)*VLOOKUP('Données projet'!$B$15,Paramètres!$A$1:$I$89,7,0))</f>
        <v>0.30099999999999999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0.2</v>
      </c>
      <c r="EV83" s="21">
        <f>EXP(-LN(2)/35)*EV82+(1-EXP(-LN(2)/35))/(LN(2)/35)*ER83*ES83*VLOOKUP('Données projet'!$B$15,Paramètres!$A$1:$I$89,3,0)*0.475*44/12</f>
        <v>101.96442270676117</v>
      </c>
      <c r="EW83" s="21">
        <f>EXP(-LN(2)/25)*EW82+(1-EXP(-LN(2)/25))/(LN(2)/25)*Calculateur!ER83*Calculateur!ET83*VLOOKUP('Données projet'!$B$15,Paramètres!$A$1:$I$89,3,0)*0.475*44/12</f>
        <v>2.7966524621389697</v>
      </c>
      <c r="EX83" s="21">
        <f>EXP(-LN(2)/2)*EX82+(1-EXP(-LN(2)/2))/(LN(2)/2)*ER83*EU83*VLOOKUP('Données projet'!$B$15,Paramètres!$A$1:$I$89,3,0)*0.475*44/12</f>
        <v>50.588493828203603</v>
      </c>
      <c r="EY83" s="22">
        <f t="shared" si="75"/>
        <v>155.34956899710375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275</v>
      </c>
      <c r="FC83" s="12">
        <f>VLOOKUP(A83,'Données projet'!$A$217:$I$237,9,0)</f>
        <v>2.8</v>
      </c>
      <c r="FD83" s="12">
        <f t="array" ref="FD83">INDEX(FC:FC,MIN(IF(ISNUMBER(FC83:FC279),ROW(FC83:FC279),"")))</f>
        <v>2.8</v>
      </c>
      <c r="FE83" s="12">
        <f>IF('Données projet'!$A$218&gt;35,FE82+FD83-FM82,IF(A83&lt;'Données projet'!$A$218,$FB$205^A83,IF(A83='Données projet'!$A$218,'Données projet'!$B$218,FE82+FD83-FM82)))</f>
        <v>274.99999999999983</v>
      </c>
      <c r="FF83" s="17">
        <f>FE83*VLOOKUP('Données projet'!$B$16,Paramètres!$A$1:$I$89,3,0)*VLOOKUP('Données projet'!$B$16,Paramètres!$A$1:$I$89,5,0)</f>
        <v>223.07999999999987</v>
      </c>
      <c r="FG83" s="13">
        <f t="shared" si="101"/>
        <v>54.783765878062617</v>
      </c>
      <c r="FH83" s="20">
        <f t="shared" si="76"/>
        <v>483.94605890429216</v>
      </c>
      <c r="FI83" s="59">
        <f t="shared" si="77"/>
        <v>777.27939223762542</v>
      </c>
      <c r="FJ83" s="59">
        <f ca="1">AVERAGE(OFFSET($FI$3,0,0,'Données projet'!$E$16+1,1))-AVERAGE(OFFSET($H$3,0,0,'Données projet'!$E$16+1,1))</f>
        <v>304.26232113495314</v>
      </c>
      <c r="FK83" s="59">
        <f t="shared" si="102"/>
        <v>297.47246687305056</v>
      </c>
      <c r="FL83" s="15" t="str">
        <f>IF(ISNA(VLOOKUP(A83,'Données projet'!$A$217:$I$237,3,0)),0,VLOOKUP(A83,'Données projet'!$A$217:$I$237,3,0))</f>
        <v>CR</v>
      </c>
      <c r="FM83" s="15">
        <f>IF(ISNA(VLOOKUP(A83,'Données projet'!$A$217:$I$237,4,0)),0,VLOOKUP(A83,'Données projet'!$A$217:$I$237,4,0))</f>
        <v>275</v>
      </c>
      <c r="FN83" s="16">
        <f>IF(ISNA(VLOOKUP(A83,'Données projet'!$A$217:$I$237,5,0)),0%,VLOOKUP(A83,'Données projet'!$A$217:$I$237,5,0)*VLOOKUP('Données projet'!$B$16,Paramètres!$A$1:$I$89,7,0))</f>
        <v>0.371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105.40658251306596</v>
      </c>
      <c r="FR83" s="21">
        <f>EXP(-LN(2)/25)*FR82+(1-EXP(-LN(2)/25))/(LN(2)/25)*Calculateur!FM83*Calculateur!FO83*VLOOKUP('Données projet'!$B$16,Paramètres!$A$1:$I$89,3,0)*0.475*44/12</f>
        <v>2.8910630853919743</v>
      </c>
      <c r="FS83" s="21">
        <f>EXP(-LN(2)/2)*FS82+(1-EXP(-LN(2)/2))/(LN(2)/2)*FM83*FP83*VLOOKUP('Données projet'!$B$16,Paramètres!$A$1:$I$89,3,0)*0.475*44/12</f>
        <v>42.42905933978367</v>
      </c>
      <c r="FT83" s="22">
        <f t="shared" si="78"/>
        <v>150.7267049382416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</v>
      </c>
      <c r="N84" s="13">
        <f>IF('Données projet'!$A$36&gt;35,N83+M84-V83,IF(A84&lt;'Données projet'!$A$36,$K$205^A84,IF(A84='Données projet'!$A$36,'Données projet'!$B$36,N83+M84-V83)))</f>
        <v>251.00000000000006</v>
      </c>
      <c r="O84" s="13">
        <f>N84*VLOOKUP('Données projet'!$B$9,Paramètres!$A$1:$I$89,3,0)*VLOOKUP('Données projet'!$B$9,Paramètres!$A$1:$I$89,5,0)</f>
        <v>219.2736000000001</v>
      </c>
      <c r="P84" s="13">
        <f t="shared" si="87"/>
        <v>53.956975893220125</v>
      </c>
      <c r="Q84" s="20">
        <f t="shared" si="54"/>
        <v>475.87658634735857</v>
      </c>
      <c r="R84" s="59">
        <f t="shared" si="55"/>
        <v>769.20991968069188</v>
      </c>
      <c r="S84" s="59">
        <f ca="1">AVERAGE(OFFSET($R$3,0,0,'Données projet'!$E$9+1,1))-AVERAGE(OFFSET($H$3,0,0,'Données projet'!$E$9+1,1))</f>
        <v>381.72225529388083</v>
      </c>
      <c r="T84" s="59">
        <f t="shared" si="88"/>
        <v>360.05900046417361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43.560660752508774</v>
      </c>
      <c r="AA84" s="21">
        <f>EXP(-LN(2)/25)*AA83+(1-EXP(-LN(2)/25))/(LN(2)/25)*Calculateur!V84*Calculateur!X84*VLOOKUP('Données projet'!$B$9,Paramètres!$A$1:$I$89,3,0)*0.475*44/12</f>
        <v>11.009355487985983</v>
      </c>
      <c r="AB84" s="21">
        <f>EXP(-LN(2)/2)*AB83+(1-EXP(-LN(2)/2))/(LN(2)/2)*V84*Y84*VLOOKUP('Données projet'!$B$9,Paramètres!$A$1:$I$89,3,0)*0.475*44/12</f>
        <v>3.3279322282446848E-8</v>
      </c>
      <c r="AC84" s="22">
        <f t="shared" si="57"/>
        <v>54.57001627377408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9.6</v>
      </c>
      <c r="AI84" s="13">
        <f>IF('Données projet'!$A$62&gt;35,AI83+AH84-AQ83,IF(A84&lt;'Données projet'!$A$62,$AF$205^A84,IF(A84='Données projet'!$A$62,'Données projet'!$B$62,AI83+AH84-AQ83)))</f>
        <v>399.59999999999991</v>
      </c>
      <c r="AJ84" s="13">
        <f>AI84*VLOOKUP('Données projet'!$B$10,Paramètres!$A$1:$I$89,3,0)*VLOOKUP('Données projet'!$B$10,Paramètres!$A$1:$I$89,5,0)</f>
        <v>292.98671999999993</v>
      </c>
      <c r="AK84" s="13">
        <f t="shared" si="89"/>
        <v>69.704192592377339</v>
      </c>
      <c r="AL84" s="20">
        <f t="shared" si="58"/>
        <v>631.6866727650571</v>
      </c>
      <c r="AM84" s="59">
        <f t="shared" si="59"/>
        <v>925.02000609839047</v>
      </c>
      <c r="AN84" s="59">
        <f ca="1">AVERAGE(OFFSET($AM$3,0,0,'Données projet'!$E$10+1,1))-AVERAGE(OFFSET($H$3,0,0,'Données projet'!$E$10+1,1))</f>
        <v>464.3681853739115</v>
      </c>
      <c r="AO84" s="59">
        <f t="shared" si="90"/>
        <v>272.97841038165217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2.2449398263445617</v>
      </c>
      <c r="AV84" s="21">
        <f>EXP(-LN(2)/25)*AV83+(1-EXP(-LN(2)/25))/(LN(2)/25)*Calculateur!AQ84*Calculateur!AS84*VLOOKUP('Données projet'!$B$10,Paramètres!$A$1:$I$89,3,0)*0.475*44/12</f>
        <v>28.181784524495594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30.426724350840157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-1.3567387213697657E-13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299.10536994156814</v>
      </c>
      <c r="BJ84" s="59">
        <f t="shared" si="92"/>
        <v>292.57799203101769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101.35232326546615</v>
      </c>
      <c r="BQ84" s="21">
        <f>EXP(-LN(2)/25)*BQ83+(1-EXP(-LN(2)/25))/(LN(2)/25)*Calculateur!BL84*Calculateur!BN84*VLOOKUP('Données projet'!$B$11,Paramètres!$A$1:$I$89,3,0)*0.475*44/12</f>
        <v>2.757929759185846</v>
      </c>
      <c r="BR84" s="21">
        <f>EXP(-LN(2)/2)*BR83+(1-EXP(-LN(2)/2))/(LN(2)/2)*BL84*BO84*VLOOKUP('Données projet'!$B$11,Paramètres!$A$1:$I$89,3,0)*0.475*44/12</f>
        <v>29.424916432786542</v>
      </c>
      <c r="BS84" s="22">
        <f t="shared" si="63"/>
        <v>133.53516945743854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-1.7053025658242404E-13</v>
      </c>
      <c r="BZ84" s="13">
        <f>BY84*VLOOKUP('Données projet'!$B$12,Paramètres!$A$1:$I$89,3,0)*VLOOKUP('Données projet'!$B$12,Paramètres!$A$1:$I$89,5,0)</f>
        <v>-1.3567387213697657E-13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299.10536994156814</v>
      </c>
      <c r="CE84" s="59">
        <f t="shared" si="94"/>
        <v>292.57799203101769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101.35232326546615</v>
      </c>
      <c r="CL84" s="21">
        <f>EXP(-LN(2)/25)*CL83+(1-EXP(-LN(2)/25))/(LN(2)/25)*Calculateur!CG84*Calculateur!CI84*VLOOKUP('Données projet'!$B$12,Paramètres!$A$1:$I$89,3,0)*0.475*44/12</f>
        <v>2.757929759185846</v>
      </c>
      <c r="CM84" s="21">
        <f>EXP(-LN(2)/2)*CM83+(1-EXP(-LN(2)/2))/(LN(2)/2)*CG84*CJ84*VLOOKUP('Données projet'!$B$12,Paramètres!$A$1:$I$89,3,0)*0.475*44/12</f>
        <v>29.424916432786542</v>
      </c>
      <c r="CN84" s="22">
        <f t="shared" si="66"/>
        <v>133.53516945743854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7.7777777777777777</v>
      </c>
      <c r="CT84" s="12">
        <f>IF('Données projet'!$A$140&gt;35,CT83+CS84-DB83,IF(A84&lt;'Données projet'!$A$140,$CQ$205^A84,IF(A84='Données projet'!$A$140,'Données projet'!$B$140,CT83+CS84-DB83)))</f>
        <v>270.3333333333332</v>
      </c>
      <c r="CU84" s="17">
        <f>CT84*VLOOKUP('Données projet'!$B$13,Paramètres!$A$1:$I$89,3,0)*VLOOKUP('Données projet'!$B$13,Paramètres!$A$1:$I$89,5,0)</f>
        <v>244.59759999999986</v>
      </c>
      <c r="CV84" s="13">
        <f t="shared" si="95"/>
        <v>59.427631429904153</v>
      </c>
      <c r="CW84" s="20">
        <f t="shared" si="67"/>
        <v>529.51061140708282</v>
      </c>
      <c r="CX84" s="59">
        <f t="shared" si="68"/>
        <v>822.84394474041619</v>
      </c>
      <c r="CY84" s="59">
        <f ca="1">AVERAGE(OFFSET($CX$3,0,0,'Données projet'!$E$13+1,1))-AVERAGE(OFFSET($H$3,0,0,'Données projet'!$E$13+1,1))</f>
        <v>528.15559695545812</v>
      </c>
      <c r="CZ84" s="59">
        <f t="shared" si="96"/>
        <v>276.26988364830532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1.9859196217918313</v>
      </c>
      <c r="DG84" s="21">
        <f>EXP(-LN(2)/25)*DG83+(1-EXP(-LN(2)/25))/(LN(2)/25)*Calculateur!DB84*Calculateur!DD84*VLOOKUP('Données projet'!$B$13,Paramètres!$A$1:$I$89,3,0)*0.475*44/12</f>
        <v>33.523907575778672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35.509827197570502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7.7777777777777777</v>
      </c>
      <c r="DO84" s="12">
        <f>IF('Données projet'!$A$166&gt;35,DO83+DN84-DW83,IF(A84&lt;'Données projet'!$A$166,$DL$205^A84,IF(A84='Données projet'!$A$166,'Données projet'!$B$166,DO83+DN84-DW83)))</f>
        <v>270.3333333333332</v>
      </c>
      <c r="DP84" s="17">
        <f>DO84*VLOOKUP('Données projet'!$B$14,Paramètres!$A$1:$I$89,3,0)*VLOOKUP('Données projet'!$B$14,Paramètres!$A$1:$I$89,5,0)</f>
        <v>274.11799999999988</v>
      </c>
      <c r="DQ84" s="13">
        <f t="shared" si="97"/>
        <v>65.722441424228805</v>
      </c>
      <c r="DR84" s="20">
        <f t="shared" si="70"/>
        <v>591.88876881386489</v>
      </c>
      <c r="DS84" s="59">
        <f t="shared" si="71"/>
        <v>885.22210214719826</v>
      </c>
      <c r="DT84" s="59">
        <f ca="1">AVERAGE(OFFSET($DS$3,0,0,'Données projet'!$E$14+1,1))-AVERAGE(OFFSET($H$3,0,0,'Données projet'!$E$14+1,1))</f>
        <v>586.50020405958992</v>
      </c>
      <c r="DU84" s="59">
        <f t="shared" si="98"/>
        <v>304.44184537595294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2.2255995761460183</v>
      </c>
      <c r="EB84" s="21">
        <f>EXP(-LN(2)/25)*EB83+(1-EXP(-LN(2)/25))/(LN(2)/25)*Calculateur!DW84*Calculateur!DY84*VLOOKUP('Données projet'!$B$14,Paramètres!$A$1:$I$89,3,0)*0.475*44/12</f>
        <v>37.569896421131283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39.7954959972773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-1.7053025658242404E-13</v>
      </c>
      <c r="EK84" s="17">
        <f>EJ84*VLOOKUP('Données projet'!$B$15,Paramètres!$A$1:$I$89,3,0)*VLOOKUP('Données projet'!$B$15,Paramètres!$A$1:$I$89,5,0)</f>
        <v>-1.6493686416652052E-13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355.72173590705142</v>
      </c>
      <c r="EP84" s="59">
        <f t="shared" si="100"/>
        <v>346.30980704469363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99.964962569638473</v>
      </c>
      <c r="EW84" s="21">
        <f>EXP(-LN(2)/25)*EW83+(1-EXP(-LN(2)/25))/(LN(2)/25)*Calculateur!ER84*Calculateur!ET84*VLOOKUP('Données projet'!$B$15,Paramètres!$A$1:$I$89,3,0)*0.475*44/12</f>
        <v>2.7201778534922183</v>
      </c>
      <c r="EX84" s="21">
        <f>EXP(-LN(2)/2)*EX83+(1-EXP(-LN(2)/2))/(LN(2)/2)*ER84*EU84*VLOOKUP('Données projet'!$B$15,Paramètres!$A$1:$I$89,3,0)*0.475*44/12</f>
        <v>35.771467035936574</v>
      </c>
      <c r="EY84" s="22">
        <f t="shared" si="75"/>
        <v>138.45660745906727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-1.383341441396624E-13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304.26232113495314</v>
      </c>
      <c r="FK84" s="59">
        <f t="shared" si="102"/>
        <v>297.47246687305056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103.33962372165179</v>
      </c>
      <c r="FR84" s="21">
        <f>EXP(-LN(2)/25)*FR83+(1-EXP(-LN(2)/25))/(LN(2)/25)*Calculateur!FM84*Calculateur!FO84*VLOOKUP('Données projet'!$B$16,Paramètres!$A$1:$I$89,3,0)*0.475*44/12</f>
        <v>2.8120068132875309</v>
      </c>
      <c r="FS84" s="21">
        <f>EXP(-LN(2)/2)*FS83+(1-EXP(-LN(2)/2))/(LN(2)/2)*FM84*FP84*VLOOKUP('Données projet'!$B$16,Paramètres!$A$1:$I$89,3,0)*0.475*44/12</f>
        <v>30.001875578527454</v>
      </c>
      <c r="FT84" s="22">
        <f t="shared" si="78"/>
        <v>136.15350611346676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</v>
      </c>
      <c r="N85" s="13">
        <f>IF('Données projet'!$A$36&gt;35,N84+M85-V84,IF(A85&lt;'Données projet'!$A$36,$K$205^A85,IF(A85='Données projet'!$A$36,'Données projet'!$B$36,N84+M85-V84)))</f>
        <v>255.00000000000006</v>
      </c>
      <c r="O85" s="13">
        <f>N85*VLOOKUP('Données projet'!$B$9,Paramètres!$A$1:$I$89,3,0)*VLOOKUP('Données projet'!$B$9,Paramètres!$A$1:$I$89,5,0)</f>
        <v>222.76800000000006</v>
      </c>
      <c r="P85" s="13">
        <f t="shared" si="87"/>
        <v>54.716058356609508</v>
      </c>
      <c r="Q85" s="20">
        <f t="shared" si="54"/>
        <v>483.28473497109502</v>
      </c>
      <c r="R85" s="59">
        <f t="shared" si="55"/>
        <v>776.61806830442833</v>
      </c>
      <c r="S85" s="59">
        <f ca="1">AVERAGE(OFFSET($R$3,0,0,'Données projet'!$E$9+1,1))-AVERAGE(OFFSET($H$3,0,0,'Données projet'!$E$9+1,1))</f>
        <v>381.72225529388083</v>
      </c>
      <c r="T85" s="59">
        <f t="shared" si="88"/>
        <v>360.05900046417361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42.706462764531629</v>
      </c>
      <c r="AA85" s="21">
        <f>EXP(-LN(2)/25)*AA84+(1-EXP(-LN(2)/25))/(LN(2)/25)*Calculateur!V85*Calculateur!X85*VLOOKUP('Données projet'!$B$9,Paramètres!$A$1:$I$89,3,0)*0.475*44/12</f>
        <v>10.708304083210164</v>
      </c>
      <c r="AB85" s="21">
        <f>EXP(-LN(2)/2)*AB84+(1-EXP(-LN(2)/2))/(LN(2)/2)*V85*Y85*VLOOKUP('Données projet'!$B$9,Paramètres!$A$1:$I$89,3,0)*0.475*44/12</f>
        <v>2.3532034459210739E-8</v>
      </c>
      <c r="AC85" s="22">
        <f t="shared" si="57"/>
        <v>53.414766871273827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9.6</v>
      </c>
      <c r="AI85" s="13">
        <f>IF('Données projet'!$A$62&gt;35,AI84+AH85-AQ84,IF(A85&lt;'Données projet'!$A$62,$AF$205^A85,IF(A85='Données projet'!$A$62,'Données projet'!$B$62,AI84+AH85-AQ84)))</f>
        <v>409.19999999999993</v>
      </c>
      <c r="AJ85" s="13">
        <f>AI85*VLOOKUP('Données projet'!$B$10,Paramètres!$A$1:$I$89,3,0)*VLOOKUP('Données projet'!$B$10,Paramètres!$A$1:$I$89,5,0)</f>
        <v>300.02543999999995</v>
      </c>
      <c r="AK85" s="13">
        <f t="shared" si="89"/>
        <v>71.181796650529009</v>
      </c>
      <c r="AL85" s="20">
        <f t="shared" si="58"/>
        <v>646.51927049967128</v>
      </c>
      <c r="AM85" s="59">
        <f t="shared" si="59"/>
        <v>939.85260383300465</v>
      </c>
      <c r="AN85" s="59">
        <f ca="1">AVERAGE(OFFSET($AM$3,0,0,'Données projet'!$E$10+1,1))-AVERAGE(OFFSET($H$3,0,0,'Données projet'!$E$10+1,1))</f>
        <v>464.3681853739115</v>
      </c>
      <c r="AO85" s="59">
        <f t="shared" si="90"/>
        <v>272.97841038165217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2.2009179256280338</v>
      </c>
      <c r="AV85" s="21">
        <f>EXP(-LN(2)/25)*AV84+(1-EXP(-LN(2)/25))/(LN(2)/25)*Calculateur!AQ85*Calculateur!AS85*VLOOKUP('Données projet'!$B$10,Paramètres!$A$1:$I$89,3,0)*0.475*44/12</f>
        <v>27.411152144657624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29.612070070285657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-1.3567387213697657E-13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299.10536994156814</v>
      </c>
      <c r="BJ85" s="59">
        <f t="shared" si="92"/>
        <v>292.57799203101769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99.364866025043455</v>
      </c>
      <c r="BQ85" s="21">
        <f>EXP(-LN(2)/25)*BQ84+(1-EXP(-LN(2)/25))/(LN(2)/25)*Calculateur!BL85*Calculateur!BN85*VLOOKUP('Données projet'!$B$11,Paramètres!$A$1:$I$89,3,0)*0.475*44/12</f>
        <v>2.6825140248876864</v>
      </c>
      <c r="BR85" s="21">
        <f>EXP(-LN(2)/2)*BR84+(1-EXP(-LN(2)/2))/(LN(2)/2)*BL85*BO85*VLOOKUP('Données projet'!$B$11,Paramètres!$A$1:$I$89,3,0)*0.475*44/12</f>
        <v>20.806557945470843</v>
      </c>
      <c r="BS85" s="22">
        <f t="shared" si="63"/>
        <v>122.85393799540198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-1.7053025658242404E-13</v>
      </c>
      <c r="BZ85" s="13">
        <f>BY85*VLOOKUP('Données projet'!$B$12,Paramètres!$A$1:$I$89,3,0)*VLOOKUP('Données projet'!$B$12,Paramètres!$A$1:$I$89,5,0)</f>
        <v>-1.3567387213697657E-13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299.10536994156814</v>
      </c>
      <c r="CE85" s="59">
        <f t="shared" si="94"/>
        <v>292.57799203101769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99.364866025043455</v>
      </c>
      <c r="CL85" s="21">
        <f>EXP(-LN(2)/25)*CL84+(1-EXP(-LN(2)/25))/(LN(2)/25)*Calculateur!CG85*Calculateur!CI85*VLOOKUP('Données projet'!$B$12,Paramètres!$A$1:$I$89,3,0)*0.475*44/12</f>
        <v>2.6825140248876864</v>
      </c>
      <c r="CM85" s="21">
        <f>EXP(-LN(2)/2)*CM84+(1-EXP(-LN(2)/2))/(LN(2)/2)*CG85*CJ85*VLOOKUP('Données projet'!$B$12,Paramètres!$A$1:$I$89,3,0)*0.475*44/12</f>
        <v>20.806557945470843</v>
      </c>
      <c r="CN85" s="22">
        <f t="shared" si="66"/>
        <v>122.85393799540198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7.7777777777777777</v>
      </c>
      <c r="CT85" s="12">
        <f>IF('Données projet'!$A$140&gt;35,CT84+CS85-DB84,IF(A85&lt;'Données projet'!$A$140,$CQ$205^A85,IF(A85='Données projet'!$A$140,'Données projet'!$B$140,CT84+CS85-DB84)))</f>
        <v>278.11111111111097</v>
      </c>
      <c r="CU85" s="17">
        <f>CT85*VLOOKUP('Données projet'!$B$13,Paramètres!$A$1:$I$89,3,0)*VLOOKUP('Données projet'!$B$13,Paramètres!$A$1:$I$89,5,0)</f>
        <v>251.63493333333321</v>
      </c>
      <c r="CV85" s="13">
        <f t="shared" si="95"/>
        <v>60.935904290989214</v>
      </c>
      <c r="CW85" s="20">
        <f t="shared" si="67"/>
        <v>544.39420886236155</v>
      </c>
      <c r="CX85" s="59">
        <f t="shared" si="68"/>
        <v>837.72754219569492</v>
      </c>
      <c r="CY85" s="59">
        <f ca="1">AVERAGE(OFFSET($CX$3,0,0,'Données projet'!$E$13+1,1))-AVERAGE(OFFSET($H$3,0,0,'Données projet'!$E$13+1,1))</f>
        <v>528.15559695545812</v>
      </c>
      <c r="CZ85" s="59">
        <f t="shared" si="96"/>
        <v>276.26988364830532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1.9469769492998577</v>
      </c>
      <c r="DG85" s="21">
        <f>EXP(-LN(2)/25)*DG84+(1-EXP(-LN(2)/25))/(LN(2)/25)*Calculateur!DB85*Calculateur!DD85*VLOOKUP('Données projet'!$B$13,Paramètres!$A$1:$I$89,3,0)*0.475*44/12</f>
        <v>32.607194560173326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34.554171509473186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7.7777777777777777</v>
      </c>
      <c r="DO85" s="12">
        <f>IF('Données projet'!$A$166&gt;35,DO84+DN85-DW84,IF(A85&lt;'Données projet'!$A$166,$DL$205^A85,IF(A85='Données projet'!$A$166,'Données projet'!$B$166,DO84+DN85-DW84)))</f>
        <v>278.11111111111097</v>
      </c>
      <c r="DP85" s="17">
        <f>DO85*VLOOKUP('Données projet'!$B$14,Paramètres!$A$1:$I$89,3,0)*VLOOKUP('Données projet'!$B$14,Paramètres!$A$1:$I$89,5,0)</f>
        <v>282.00466666666654</v>
      </c>
      <c r="DQ85" s="13">
        <f t="shared" si="97"/>
        <v>67.390476517993889</v>
      </c>
      <c r="DR85" s="20">
        <f t="shared" si="70"/>
        <v>608.52987437995023</v>
      </c>
      <c r="DS85" s="59">
        <f t="shared" si="71"/>
        <v>901.8632077132836</v>
      </c>
      <c r="DT85" s="59">
        <f ca="1">AVERAGE(OFFSET($DS$3,0,0,'Données projet'!$E$14+1,1))-AVERAGE(OFFSET($H$3,0,0,'Données projet'!$E$14+1,1))</f>
        <v>586.50020405958992</v>
      </c>
      <c r="DU85" s="59">
        <f t="shared" si="98"/>
        <v>304.44184537595294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2.1819569259394962</v>
      </c>
      <c r="EB85" s="21">
        <f>EXP(-LN(2)/25)*EB84+(1-EXP(-LN(2)/25))/(LN(2)/25)*Calculateur!DW85*Calculateur!DY85*VLOOKUP('Données projet'!$B$14,Paramètres!$A$1:$I$89,3,0)*0.475*44/12</f>
        <v>36.542545627780463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38.724502553719958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-1.7053025658242404E-13</v>
      </c>
      <c r="EK85" s="17">
        <f>EJ85*VLOOKUP('Données projet'!$B$15,Paramètres!$A$1:$I$89,3,0)*VLOOKUP('Données projet'!$B$15,Paramètres!$A$1:$I$89,5,0)</f>
        <v>-1.6493686416652052E-13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355.72173590705142</v>
      </c>
      <c r="EP85" s="59">
        <f t="shared" si="100"/>
        <v>346.30980704469363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98.004710626254479</v>
      </c>
      <c r="EW85" s="21">
        <f>EXP(-LN(2)/25)*EW84+(1-EXP(-LN(2)/25))/(LN(2)/25)*Calculateur!ER85*Calculateur!ET85*VLOOKUP('Données projet'!$B$15,Paramètres!$A$1:$I$89,3,0)*0.475*44/12</f>
        <v>2.6457944470405375</v>
      </c>
      <c r="EX85" s="21">
        <f>EXP(-LN(2)/2)*EX84+(1-EXP(-LN(2)/2))/(LN(2)/2)*ER85*EU85*VLOOKUP('Données projet'!$B$15,Paramètres!$A$1:$I$89,3,0)*0.475*44/12</f>
        <v>25.294246914101802</v>
      </c>
      <c r="EY85" s="22">
        <f t="shared" si="75"/>
        <v>125.94475198739683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-1.383341441396624E-13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304.26232113495314</v>
      </c>
      <c r="FK85" s="59">
        <f t="shared" si="102"/>
        <v>297.47246687305056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101.31319673141688</v>
      </c>
      <c r="FR85" s="21">
        <f>EXP(-LN(2)/25)*FR84+(1-EXP(-LN(2)/25))/(LN(2)/25)*Calculateur!FM85*Calculateur!FO85*VLOOKUP('Données projet'!$B$16,Paramètres!$A$1:$I$89,3,0)*0.475*44/12</f>
        <v>2.735112339101172</v>
      </c>
      <c r="FS85" s="21">
        <f>EXP(-LN(2)/2)*FS84+(1-EXP(-LN(2)/2))/(LN(2)/2)*FM85*FP85*VLOOKUP('Données projet'!$B$16,Paramètres!$A$1:$I$89,3,0)*0.475*44/12</f>
        <v>21.214529669891839</v>
      </c>
      <c r="FT85" s="22">
        <f t="shared" si="78"/>
        <v>125.2628387404099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</v>
      </c>
      <c r="N86" s="13">
        <f>IF('Données projet'!$A$36&gt;35,N85+M86-V85,IF(A86&lt;'Données projet'!$A$36,$K$205^A86,IF(A86='Données projet'!$A$36,'Données projet'!$B$36,N85+M86-V85)))</f>
        <v>259.00000000000006</v>
      </c>
      <c r="O86" s="13">
        <f>N86*VLOOKUP('Données projet'!$B$9,Paramètres!$A$1:$I$89,3,0)*VLOOKUP('Données projet'!$B$9,Paramètres!$A$1:$I$89,5,0)</f>
        <v>226.26240000000007</v>
      </c>
      <c r="P86" s="13">
        <f t="shared" si="87"/>
        <v>55.473756029242935</v>
      </c>
      <c r="Q86" s="20">
        <f t="shared" si="54"/>
        <v>490.69047175093164</v>
      </c>
      <c r="R86" s="59">
        <f t="shared" si="55"/>
        <v>784.02380508426495</v>
      </c>
      <c r="S86" s="59">
        <f ca="1">AVERAGE(OFFSET($R$3,0,0,'Données projet'!$E$9+1,1))-AVERAGE(OFFSET($H$3,0,0,'Données projet'!$E$9+1,1))</f>
        <v>381.72225529388083</v>
      </c>
      <c r="T86" s="59">
        <f t="shared" si="88"/>
        <v>360.05900046417361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41.86901507808939</v>
      </c>
      <c r="AA86" s="21">
        <f>EXP(-LN(2)/25)*AA85+(1-EXP(-LN(2)/25))/(LN(2)/25)*Calculateur!V86*Calculateur!X86*VLOOKUP('Données projet'!$B$9,Paramètres!$A$1:$I$89,3,0)*0.475*44/12</f>
        <v>10.415484944929545</v>
      </c>
      <c r="AB86" s="21">
        <f>EXP(-LN(2)/2)*AB85+(1-EXP(-LN(2)/2))/(LN(2)/2)*V86*Y86*VLOOKUP('Données projet'!$B$9,Paramètres!$A$1:$I$89,3,0)*0.475*44/12</f>
        <v>1.6639661141223424E-8</v>
      </c>
      <c r="AC86" s="22">
        <f t="shared" si="57"/>
        <v>52.284500039658596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9.6</v>
      </c>
      <c r="AI86" s="13">
        <f>IF('Données projet'!$A$62&gt;35,AI85+AH86-AQ85,IF(A86&lt;'Données projet'!$A$62,$AF$205^A86,IF(A86='Données projet'!$A$62,'Données projet'!$B$62,AI85+AH86-AQ85)))</f>
        <v>418.79999999999995</v>
      </c>
      <c r="AJ86" s="13">
        <f>AI86*VLOOKUP('Données projet'!$B$10,Paramètres!$A$1:$I$89,3,0)*VLOOKUP('Données projet'!$B$10,Paramètres!$A$1:$I$89,5,0)</f>
        <v>307.06415999999996</v>
      </c>
      <c r="AK86" s="13">
        <f t="shared" si="89"/>
        <v>72.655370793347416</v>
      </c>
      <c r="AL86" s="20">
        <f t="shared" si="58"/>
        <v>661.34484946507996</v>
      </c>
      <c r="AM86" s="59">
        <f t="shared" si="59"/>
        <v>954.67818279841322</v>
      </c>
      <c r="AN86" s="59">
        <f ca="1">AVERAGE(OFFSET($AM$3,0,0,'Données projet'!$E$10+1,1))-AVERAGE(OFFSET($H$3,0,0,'Données projet'!$E$10+1,1))</f>
        <v>464.3681853739115</v>
      </c>
      <c r="AO86" s="59">
        <f t="shared" si="90"/>
        <v>272.97841038165217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2.1577592675338488</v>
      </c>
      <c r="AV86" s="21">
        <f>EXP(-LN(2)/25)*AV85+(1-EXP(-LN(2)/25))/(LN(2)/25)*Calculateur!AQ86*Calculateur!AS86*VLOOKUP('Données projet'!$B$10,Paramètres!$A$1:$I$89,3,0)*0.475*44/12</f>
        <v>26.661592747772119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28.819352015305967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-1.3567387213697657E-13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299.10536994156814</v>
      </c>
      <c r="BJ86" s="59">
        <f t="shared" si="92"/>
        <v>292.57799203101769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97.416381608876222</v>
      </c>
      <c r="BQ86" s="21">
        <f>EXP(-LN(2)/25)*BQ85+(1-EXP(-LN(2)/25))/(LN(2)/25)*Calculateur!BL86*Calculateur!BN86*VLOOKUP('Données projet'!$B$11,Paramètres!$A$1:$I$89,3,0)*0.475*44/12</f>
        <v>2.609160537809851</v>
      </c>
      <c r="BR86" s="21">
        <f>EXP(-LN(2)/2)*BR85+(1-EXP(-LN(2)/2))/(LN(2)/2)*BL86*BO86*VLOOKUP('Données projet'!$B$11,Paramètres!$A$1:$I$89,3,0)*0.475*44/12</f>
        <v>14.712458216393275</v>
      </c>
      <c r="BS86" s="22">
        <f t="shared" si="63"/>
        <v>114.73800036307935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-1.7053025658242404E-13</v>
      </c>
      <c r="BZ86" s="13">
        <f>BY86*VLOOKUP('Données projet'!$B$12,Paramètres!$A$1:$I$89,3,0)*VLOOKUP('Données projet'!$B$12,Paramètres!$A$1:$I$89,5,0)</f>
        <v>-1.3567387213697657E-13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299.10536994156814</v>
      </c>
      <c r="CE86" s="59">
        <f t="shared" si="94"/>
        <v>292.57799203101769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97.416381608876222</v>
      </c>
      <c r="CL86" s="21">
        <f>EXP(-LN(2)/25)*CL85+(1-EXP(-LN(2)/25))/(LN(2)/25)*Calculateur!CG86*Calculateur!CI86*VLOOKUP('Données projet'!$B$12,Paramètres!$A$1:$I$89,3,0)*0.475*44/12</f>
        <v>2.609160537809851</v>
      </c>
      <c r="CM86" s="21">
        <f>EXP(-LN(2)/2)*CM85+(1-EXP(-LN(2)/2))/(LN(2)/2)*CG86*CJ86*VLOOKUP('Données projet'!$B$12,Paramètres!$A$1:$I$89,3,0)*0.475*44/12</f>
        <v>14.712458216393275</v>
      </c>
      <c r="CN86" s="22">
        <f t="shared" si="66"/>
        <v>114.73800036307935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7.7777777777777777</v>
      </c>
      <c r="CT86" s="12">
        <f>IF('Données projet'!$A$140&gt;35,CT85+CS86-DB85,IF(A86&lt;'Données projet'!$A$140,$CQ$205^A86,IF(A86='Données projet'!$A$140,'Données projet'!$B$140,CT85+CS86-DB85)))</f>
        <v>285.88888888888874</v>
      </c>
      <c r="CU86" s="17">
        <f>CT86*VLOOKUP('Données projet'!$B$13,Paramètres!$A$1:$I$89,3,0)*VLOOKUP('Données projet'!$B$13,Paramètres!$A$1:$I$89,5,0)</f>
        <v>258.67226666666653</v>
      </c>
      <c r="CV86" s="13">
        <f t="shared" si="95"/>
        <v>62.439274588593669</v>
      </c>
      <c r="CW86" s="20">
        <f t="shared" si="67"/>
        <v>559.2692676862448</v>
      </c>
      <c r="CX86" s="59">
        <f t="shared" si="68"/>
        <v>852.60260101957806</v>
      </c>
      <c r="CY86" s="59">
        <f ca="1">AVERAGE(OFFSET($CX$3,0,0,'Données projet'!$E$13+1,1))-AVERAGE(OFFSET($H$3,0,0,'Données projet'!$E$13+1,1))</f>
        <v>528.15559695545812</v>
      </c>
      <c r="CZ86" s="59">
        <f t="shared" si="96"/>
        <v>276.26988364830532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1.9087979188627668</v>
      </c>
      <c r="DG86" s="21">
        <f>EXP(-LN(2)/25)*DG85+(1-EXP(-LN(2)/25))/(LN(2)/25)*Calculateur!DB86*Calculateur!DD86*VLOOKUP('Données projet'!$B$13,Paramètres!$A$1:$I$89,3,0)*0.475*44/12</f>
        <v>31.715549110187549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33.624347029050313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7.7777777777777777</v>
      </c>
      <c r="DO86" s="12">
        <f>IF('Données projet'!$A$166&gt;35,DO85+DN86-DW85,IF(A86&lt;'Données projet'!$A$166,$DL$205^A86,IF(A86='Données projet'!$A$166,'Données projet'!$B$166,DO85+DN86-DW85)))</f>
        <v>285.88888888888874</v>
      </c>
      <c r="DP86" s="17">
        <f>DO86*VLOOKUP('Données projet'!$B$14,Paramètres!$A$1:$I$89,3,0)*VLOOKUP('Données projet'!$B$14,Paramètres!$A$1:$I$89,5,0)</f>
        <v>289.89133333333319</v>
      </c>
      <c r="DQ86" s="13">
        <f t="shared" si="97"/>
        <v>69.053089749345304</v>
      </c>
      <c r="DR86" s="20">
        <f t="shared" si="70"/>
        <v>625.16153686899827</v>
      </c>
      <c r="DS86" s="59">
        <f t="shared" si="71"/>
        <v>918.49487020233164</v>
      </c>
      <c r="DT86" s="59">
        <f ca="1">AVERAGE(OFFSET($DS$3,0,0,'Données projet'!$E$14+1,1))-AVERAGE(OFFSET($H$3,0,0,'Données projet'!$E$14+1,1))</f>
        <v>586.50020405958992</v>
      </c>
      <c r="DU86" s="59">
        <f t="shared" si="98"/>
        <v>304.44184537595294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2.1391700814841359</v>
      </c>
      <c r="EB86" s="21">
        <f>EXP(-LN(2)/25)*EB85+(1-EXP(-LN(2)/25))/(LN(2)/25)*Calculateur!DW86*Calculateur!DY86*VLOOKUP('Données projet'!$B$14,Paramètres!$A$1:$I$89,3,0)*0.475*44/12</f>
        <v>35.54328779589985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37.682457877383989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-1.7053025658242404E-13</v>
      </c>
      <c r="EK86" s="17">
        <f>EJ86*VLOOKUP('Données projet'!$B$15,Paramètres!$A$1:$I$89,3,0)*VLOOKUP('Données projet'!$B$15,Paramètres!$A$1:$I$89,5,0)</f>
        <v>-1.6493686416652052E-13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355.72173590705142</v>
      </c>
      <c r="EP86" s="59">
        <f t="shared" si="100"/>
        <v>346.30980704469363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96.082898027844621</v>
      </c>
      <c r="EW86" s="21">
        <f>EXP(-LN(2)/25)*EW85+(1-EXP(-LN(2)/25))/(LN(2)/25)*Calculateur!ER86*Calculateur!ET86*VLOOKUP('Données projet'!$B$15,Paramètres!$A$1:$I$89,3,0)*0.475*44/12</f>
        <v>2.5734450587499311</v>
      </c>
      <c r="EX86" s="21">
        <f>EXP(-LN(2)/2)*EX85+(1-EXP(-LN(2)/2))/(LN(2)/2)*ER86*EU86*VLOOKUP('Données projet'!$B$15,Paramètres!$A$1:$I$89,3,0)*0.475*44/12</f>
        <v>17.885733517968287</v>
      </c>
      <c r="EY86" s="22">
        <f t="shared" si="75"/>
        <v>116.54207660456284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-1.383341441396624E-13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304.26232113495314</v>
      </c>
      <c r="FK86" s="59">
        <f t="shared" si="102"/>
        <v>297.47246687305056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99.326506738462058</v>
      </c>
      <c r="FR86" s="21">
        <f>EXP(-LN(2)/25)*FR85+(1-EXP(-LN(2)/25))/(LN(2)/25)*Calculateur!FM86*Calculateur!FO86*VLOOKUP('Données projet'!$B$16,Paramètres!$A$1:$I$89,3,0)*0.475*44/12</f>
        <v>2.6603205483551435</v>
      </c>
      <c r="FS86" s="21">
        <f>EXP(-LN(2)/2)*FS85+(1-EXP(-LN(2)/2))/(LN(2)/2)*FM86*FP86*VLOOKUP('Données projet'!$B$16,Paramètres!$A$1:$I$89,3,0)*0.475*44/12</f>
        <v>15.00093778926373</v>
      </c>
      <c r="FT86" s="22">
        <f t="shared" si="78"/>
        <v>116.98776507608093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</v>
      </c>
      <c r="N87" s="13">
        <f>IF('Données projet'!$A$36&gt;35,N86+M87-V86,IF(A87&lt;'Données projet'!$A$36,$K$205^A87,IF(A87='Données projet'!$A$36,'Données projet'!$B$36,N86+M87-V86)))</f>
        <v>263.00000000000006</v>
      </c>
      <c r="O87" s="13">
        <f>N87*VLOOKUP('Données projet'!$B$9,Paramètres!$A$1:$I$89,3,0)*VLOOKUP('Données projet'!$B$9,Paramètres!$A$1:$I$89,5,0)</f>
        <v>229.75680000000011</v>
      </c>
      <c r="P87" s="13">
        <f t="shared" si="87"/>
        <v>56.230092767727569</v>
      </c>
      <c r="Q87" s="20">
        <f t="shared" si="54"/>
        <v>498.09383823712568</v>
      </c>
      <c r="R87" s="59">
        <f t="shared" si="55"/>
        <v>791.427171570459</v>
      </c>
      <c r="S87" s="59">
        <f ca="1">AVERAGE(OFFSET($R$3,0,0,'Données projet'!$E$9+1,1))-AVERAGE(OFFSET($H$3,0,0,'Données projet'!$E$9+1,1))</f>
        <v>381.72225529388083</v>
      </c>
      <c r="T87" s="59">
        <f t="shared" si="88"/>
        <v>360.05900046417361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41.047989229985632</v>
      </c>
      <c r="AA87" s="21">
        <f>EXP(-LN(2)/25)*AA86+(1-EXP(-LN(2)/25))/(LN(2)/25)*Calculateur!V87*Calculateur!X87*VLOOKUP('Données projet'!$B$9,Paramètres!$A$1:$I$89,3,0)*0.475*44/12</f>
        <v>10.130672961383899</v>
      </c>
      <c r="AB87" s="21">
        <f>EXP(-LN(2)/2)*AB86+(1-EXP(-LN(2)/2))/(LN(2)/2)*V87*Y87*VLOOKUP('Données projet'!$B$9,Paramètres!$A$1:$I$89,3,0)*0.475*44/12</f>
        <v>1.176601722960537E-8</v>
      </c>
      <c r="AC87" s="22">
        <f t="shared" si="57"/>
        <v>51.178662203135552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9.6</v>
      </c>
      <c r="AI87" s="13">
        <f>IF('Données projet'!$A$62&gt;35,AI86+AH87-AQ86,IF(A87&lt;'Données projet'!$A$62,$AF$205^A87,IF(A87='Données projet'!$A$62,'Données projet'!$B$62,AI86+AH87-AQ86)))</f>
        <v>428.4</v>
      </c>
      <c r="AJ87" s="13">
        <f>AI87*VLOOKUP('Données projet'!$B$10,Paramètres!$A$1:$I$89,3,0)*VLOOKUP('Données projet'!$B$10,Paramètres!$A$1:$I$89,5,0)</f>
        <v>314.10287999999997</v>
      </c>
      <c r="AK87" s="13">
        <f t="shared" si="89"/>
        <v>74.125018030484568</v>
      </c>
      <c r="AL87" s="20">
        <f t="shared" si="58"/>
        <v>676.16358906976052</v>
      </c>
      <c r="AM87" s="59">
        <f t="shared" si="59"/>
        <v>969.49692240309378</v>
      </c>
      <c r="AN87" s="59">
        <f ca="1">AVERAGE(OFFSET($AM$3,0,0,'Données projet'!$E$10+1,1))-AVERAGE(OFFSET($H$3,0,0,'Données projet'!$E$10+1,1))</f>
        <v>464.3681853739115</v>
      </c>
      <c r="AO87" s="59">
        <f t="shared" si="90"/>
        <v>272.97841038165217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2.1154469244007088</v>
      </c>
      <c r="AV87" s="21">
        <f>EXP(-LN(2)/25)*AV86+(1-EXP(-LN(2)/25))/(LN(2)/25)*Calculateur!AQ87*Calculateur!AS87*VLOOKUP('Données projet'!$B$10,Paramètres!$A$1:$I$89,3,0)*0.475*44/12</f>
        <v>25.932530092012062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28.047977016412769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-1.3567387213697657E-13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299.10536994156814</v>
      </c>
      <c r="BJ87" s="59">
        <f t="shared" si="92"/>
        <v>292.57799203101769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95.50610578365189</v>
      </c>
      <c r="BQ87" s="21">
        <f>EXP(-LN(2)/25)*BQ86+(1-EXP(-LN(2)/25))/(LN(2)/25)*Calculateur!BL87*Calculateur!BN87*VLOOKUP('Données projet'!$B$11,Paramètres!$A$1:$I$89,3,0)*0.475*44/12</f>
        <v>2.5378129056936514</v>
      </c>
      <c r="BR87" s="21">
        <f>EXP(-LN(2)/2)*BR86+(1-EXP(-LN(2)/2))/(LN(2)/2)*BL87*BO87*VLOOKUP('Données projet'!$B$11,Paramètres!$A$1:$I$89,3,0)*0.475*44/12</f>
        <v>10.403278972735423</v>
      </c>
      <c r="BS87" s="22">
        <f t="shared" si="63"/>
        <v>108.44719766208097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-1.7053025658242404E-13</v>
      </c>
      <c r="BZ87" s="13">
        <f>BY87*VLOOKUP('Données projet'!$B$12,Paramètres!$A$1:$I$89,3,0)*VLOOKUP('Données projet'!$B$12,Paramètres!$A$1:$I$89,5,0)</f>
        <v>-1.3567387213697657E-13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299.10536994156814</v>
      </c>
      <c r="CE87" s="59">
        <f t="shared" si="94"/>
        <v>292.57799203101769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95.50610578365189</v>
      </c>
      <c r="CL87" s="21">
        <f>EXP(-LN(2)/25)*CL86+(1-EXP(-LN(2)/25))/(LN(2)/25)*Calculateur!CG87*Calculateur!CI87*VLOOKUP('Données projet'!$B$12,Paramètres!$A$1:$I$89,3,0)*0.475*44/12</f>
        <v>2.5378129056936514</v>
      </c>
      <c r="CM87" s="21">
        <f>EXP(-LN(2)/2)*CM86+(1-EXP(-LN(2)/2))/(LN(2)/2)*CG87*CJ87*VLOOKUP('Données projet'!$B$12,Paramètres!$A$1:$I$89,3,0)*0.475*44/12</f>
        <v>10.403278972735423</v>
      </c>
      <c r="CN87" s="22">
        <f t="shared" si="66"/>
        <v>108.44719766208097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7.7777777777777777</v>
      </c>
      <c r="CT87" s="12">
        <f>IF('Données projet'!$A$140&gt;35,CT86+CS87-DB86,IF(A87&lt;'Données projet'!$A$140,$CQ$205^A87,IF(A87='Données projet'!$A$140,'Données projet'!$B$140,CT86+CS87-DB86)))</f>
        <v>293.66666666666652</v>
      </c>
      <c r="CU87" s="17">
        <f>CT87*VLOOKUP('Données projet'!$B$13,Paramètres!$A$1:$I$89,3,0)*VLOOKUP('Données projet'!$B$13,Paramètres!$A$1:$I$89,5,0)</f>
        <v>265.70959999999985</v>
      </c>
      <c r="CV87" s="13">
        <f t="shared" si="95"/>
        <v>63.937891026614295</v>
      </c>
      <c r="CW87" s="20">
        <f t="shared" si="67"/>
        <v>574.13604687135296</v>
      </c>
      <c r="CX87" s="59">
        <f t="shared" si="68"/>
        <v>867.46938020468633</v>
      </c>
      <c r="CY87" s="59">
        <f ca="1">AVERAGE(OFFSET($CX$3,0,0,'Données projet'!$E$13+1,1))-AVERAGE(OFFSET($H$3,0,0,'Données projet'!$E$13+1,1))</f>
        <v>528.15559695545812</v>
      </c>
      <c r="CZ87" s="59">
        <f t="shared" si="96"/>
        <v>276.26988364830532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1.8713675559256382</v>
      </c>
      <c r="DG87" s="21">
        <f>EXP(-LN(2)/25)*DG86+(1-EXP(-LN(2)/25))/(LN(2)/25)*Calculateur!DB87*Calculateur!DD87*VLOOKUP('Données projet'!$B$13,Paramètres!$A$1:$I$89,3,0)*0.475*44/12</f>
        <v>30.848285751921228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32.719653307846869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7.7777777777777777</v>
      </c>
      <c r="DO87" s="12">
        <f>IF('Données projet'!$A$166&gt;35,DO86+DN87-DW86,IF(A87&lt;'Données projet'!$A$166,$DL$205^A87,IF(A87='Données projet'!$A$166,'Données projet'!$B$166,DO86+DN87-DW86)))</f>
        <v>293.66666666666652</v>
      </c>
      <c r="DP87" s="17">
        <f>DO87*VLOOKUP('Données projet'!$B$14,Paramètres!$A$1:$I$89,3,0)*VLOOKUP('Données projet'!$B$14,Paramètres!$A$1:$I$89,5,0)</f>
        <v>297.77799999999985</v>
      </c>
      <c r="DQ87" s="13">
        <f t="shared" si="97"/>
        <v>70.710445573485373</v>
      </c>
      <c r="DR87" s="20">
        <f t="shared" si="70"/>
        <v>641.78404270715339</v>
      </c>
      <c r="DS87" s="59">
        <f t="shared" si="71"/>
        <v>935.11737604048676</v>
      </c>
      <c r="DT87" s="59">
        <f ca="1">AVERAGE(OFFSET($DS$3,0,0,'Données projet'!$E$14+1,1))-AVERAGE(OFFSET($H$3,0,0,'Données projet'!$E$14+1,1))</f>
        <v>586.50020405958992</v>
      </c>
      <c r="DU87" s="59">
        <f t="shared" si="98"/>
        <v>304.44184537595294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2.0972222609511468</v>
      </c>
      <c r="EB87" s="21">
        <f>EXP(-LN(2)/25)*EB86+(1-EXP(-LN(2)/25))/(LN(2)/25)*Calculateur!DW87*Calculateur!DY87*VLOOKUP('Données projet'!$B$14,Paramètres!$A$1:$I$89,3,0)*0.475*44/12</f>
        <v>34.571354721980697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36.668576982931846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-1.7053025658242404E-13</v>
      </c>
      <c r="EK87" s="17">
        <f>EJ87*VLOOKUP('Données projet'!$B$15,Paramètres!$A$1:$I$89,3,0)*VLOOKUP('Données projet'!$B$15,Paramètres!$A$1:$I$89,5,0)</f>
        <v>-1.6493686416652052E-13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355.72173590705142</v>
      </c>
      <c r="EP87" s="59">
        <f t="shared" si="100"/>
        <v>346.30980704469363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94.198771002299637</v>
      </c>
      <c r="EW87" s="21">
        <f>EXP(-LN(2)/25)*EW86+(1-EXP(-LN(2)/25))/(LN(2)/25)*Calculateur!ER87*Calculateur!ET87*VLOOKUP('Données projet'!$B$15,Paramètres!$A$1:$I$89,3,0)*0.475*44/12</f>
        <v>2.5030740682868204</v>
      </c>
      <c r="EX87" s="21">
        <f>EXP(-LN(2)/2)*EX86+(1-EXP(-LN(2)/2))/(LN(2)/2)*ER87*EU87*VLOOKUP('Données projet'!$B$15,Paramètres!$A$1:$I$89,3,0)*0.475*44/12</f>
        <v>12.647123457050901</v>
      </c>
      <c r="EY87" s="22">
        <f t="shared" si="75"/>
        <v>109.34896852763735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-1.383341441396624E-13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304.26232113495314</v>
      </c>
      <c r="FK87" s="59">
        <f t="shared" si="102"/>
        <v>297.47246687305056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97.378774524507833</v>
      </c>
      <c r="FR87" s="21">
        <f>EXP(-LN(2)/25)*FR86+(1-EXP(-LN(2)/25))/(LN(2)/25)*Calculateur!FM87*Calculateur!FO87*VLOOKUP('Données projet'!$B$16,Paramètres!$A$1:$I$89,3,0)*0.475*44/12</f>
        <v>2.5875739430601947</v>
      </c>
      <c r="FS87" s="21">
        <f>EXP(-LN(2)/2)*FS86+(1-EXP(-LN(2)/2))/(LN(2)/2)*FM87*FP87*VLOOKUP('Données projet'!$B$16,Paramètres!$A$1:$I$89,3,0)*0.475*44/12</f>
        <v>10.607264834945921</v>
      </c>
      <c r="FT87" s="22">
        <f t="shared" si="78"/>
        <v>110.57361330251395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267</v>
      </c>
      <c r="L88" s="12">
        <f>VLOOKUP(A88,'Données projet'!$A$35:$I$55,9,0)</f>
        <v>4</v>
      </c>
      <c r="M88" s="12">
        <f t="array" ref="M88">INDEX(L:L,MIN(IF(ISNUMBER(L88:L284),ROW(L88:L284),"")))</f>
        <v>4</v>
      </c>
      <c r="N88" s="13">
        <f>IF('Données projet'!$A$36&gt;35,N87+M88-V87,IF(A88&lt;'Données projet'!$A$36,$K$205^A88,IF(A88='Données projet'!$A$36,'Données projet'!$B$36,N87+M88-V87)))</f>
        <v>267.00000000000006</v>
      </c>
      <c r="O88" s="13">
        <f>N88*VLOOKUP('Données projet'!$B$9,Paramètres!$A$1:$I$89,3,0)*VLOOKUP('Données projet'!$B$9,Paramètres!$A$1:$I$89,5,0)</f>
        <v>233.25120000000007</v>
      </c>
      <c r="P88" s="13">
        <f t="shared" si="87"/>
        <v>56.985091661350914</v>
      </c>
      <c r="Q88" s="20">
        <f t="shared" si="54"/>
        <v>505.49487464351961</v>
      </c>
      <c r="R88" s="59">
        <f t="shared" si="55"/>
        <v>798.82820797685292</v>
      </c>
      <c r="S88" s="59">
        <f ca="1">AVERAGE(OFFSET($R$3,0,0,'Données projet'!$E$9+1,1))-AVERAGE(OFFSET($H$3,0,0,'Données projet'!$E$9+1,1))</f>
        <v>381.72225529388083</v>
      </c>
      <c r="T88" s="59">
        <f t="shared" si="88"/>
        <v>360.05900046417361</v>
      </c>
      <c r="U88" s="15">
        <f>IF(ISNA(VLOOKUP(A88,'Données projet'!$A$35:$I$55,3,0)),0,VLOOKUP(A88,'Données projet'!$A$35:$I$55,3,0))</f>
        <v>15</v>
      </c>
      <c r="V88" s="15">
        <f>IF(ISNA(VLOOKUP(A88,'Données projet'!$A$35:$I$55,4,0)),0,VLOOKUP(A88,'Données projet'!$A$35:$I$55,4,0))</f>
        <v>16</v>
      </c>
      <c r="W88" s="16">
        <f>IF(ISNA(VLOOKUP(A88,'Données projet'!$A$35:$I$55,5,0)),0%,VLOOKUP(A88,'Données projet'!$A$35:$I$55,5,0)*VLOOKUP('Données projet'!$B$9,Paramètres!$A$1:$I$89,7,0))</f>
        <v>0.30099999999999999</v>
      </c>
      <c r="X88" s="16">
        <f>IF(ISNA(VLOOKUP(A88,'Données projet'!$A$35:$I$55,6,0)),0%,VLOOKUP(A88,'Données projet'!$A$35:$I$55,6,0)*VLOOKUP('Données projet'!$B$9,Paramètres!$A$1:$I$89,7,0))</f>
        <v>4.3000000000000003E-2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44.894061853851753</v>
      </c>
      <c r="AA88" s="21">
        <f>EXP(-LN(2)/25)*AA87+(1-EXP(-LN(2)/25))/(LN(2)/25)*Calculateur!V88*Calculateur!X88*VLOOKUP('Données projet'!$B$9,Paramètres!$A$1:$I$89,3,0)*0.475*44/12</f>
        <v>10.515461448218396</v>
      </c>
      <c r="AB88" s="21">
        <f>EXP(-LN(2)/2)*AB87+(1-EXP(-LN(2)/2))/(LN(2)/2)*V88*Y88*VLOOKUP('Données projet'!$B$9,Paramètres!$A$1:$I$89,3,0)*0.475*44/12</f>
        <v>8.3198305706117121E-9</v>
      </c>
      <c r="AC88" s="22">
        <f t="shared" si="57"/>
        <v>55.409523310389979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438</v>
      </c>
      <c r="AG88" s="12">
        <f>VLOOKUP(A88,'Données projet'!$A$61:$I$81,9,0)</f>
        <v>9.6</v>
      </c>
      <c r="AH88" s="12">
        <f t="array" ref="AH88">INDEX(AG:AG,MIN(IF(ISNUMBER(AG88:AG284),ROW(AG88:AG284),"")))</f>
        <v>9.6</v>
      </c>
      <c r="AI88" s="13">
        <f>IF('Données projet'!$A$62&gt;35,AI87+AH88-AQ87,IF(A88&lt;'Données projet'!$A$62,$AF$205^A88,IF(A88='Données projet'!$A$62,'Données projet'!$B$62,AI87+AH88-AQ87)))</f>
        <v>438</v>
      </c>
      <c r="AJ88" s="13">
        <f>AI88*VLOOKUP('Données projet'!$B$10,Paramètres!$A$1:$I$89,3,0)*VLOOKUP('Données projet'!$B$10,Paramètres!$A$1:$I$89,5,0)</f>
        <v>321.14159999999998</v>
      </c>
      <c r="AK88" s="13">
        <f t="shared" si="89"/>
        <v>75.590836491360662</v>
      </c>
      <c r="AL88" s="20">
        <f t="shared" si="58"/>
        <v>690.97566022245303</v>
      </c>
      <c r="AM88" s="59">
        <f t="shared" si="59"/>
        <v>984.3089935557864</v>
      </c>
      <c r="AN88" s="59">
        <f ca="1">AVERAGE(OFFSET($AM$3,0,0,'Données projet'!$E$10+1,1))-AVERAGE(OFFSET($H$3,0,0,'Données projet'!$E$10+1,1))</f>
        <v>464.3681853739115</v>
      </c>
      <c r="AO88" s="59">
        <f t="shared" si="90"/>
        <v>272.97841038165217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33</v>
      </c>
      <c r="AR88" s="16">
        <f>IF(ISNA(VLOOKUP(A88,'Données projet'!$A$61:$I$81,5,0)),0%,VLOOKUP(A88,'Données projet'!$A$61:$I$81,5,0)*VLOOKUP('Données projet'!$B$10,Paramètres!$A$1:$I$89,7,0))</f>
        <v>4.3000000000000003E-2</v>
      </c>
      <c r="AS88" s="16">
        <f>IF(ISNA(VLOOKUP(A88,'Données projet'!$A$61:$I$81,6,0)),0%,VLOOKUP(A88,'Données projet'!$A$61:$I$81,6,0)*VLOOKUP('Données projet'!$B$10,Paramètres!$A$1:$I$89,7,0))</f>
        <v>0.215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3.2241076224546088</v>
      </c>
      <c r="AV88" s="21">
        <f>EXP(-LN(2)/25)*AV87+(1-EXP(-LN(2)/25))/(LN(2)/25)*Calculateur!AQ88*Calculateur!AS88*VLOOKUP('Données projet'!$B$10,Paramètres!$A$1:$I$89,3,0)*0.475*44/12</f>
        <v>30.951477540157079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34.175585162611689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-1.3567387213697657E-13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299.10536994156814</v>
      </c>
      <c r="BJ88" s="59">
        <f t="shared" si="92"/>
        <v>292.57799203101769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93.633289302207004</v>
      </c>
      <c r="BQ88" s="21">
        <f>EXP(-LN(2)/25)*BQ87+(1-EXP(-LN(2)/25))/(LN(2)/25)*Calculateur!BL88*Calculateur!BN88*VLOOKUP('Données projet'!$B$11,Paramètres!$A$1:$I$89,3,0)*0.475*44/12</f>
        <v>2.4684162783296779</v>
      </c>
      <c r="BR88" s="21">
        <f>EXP(-LN(2)/2)*BR87+(1-EXP(-LN(2)/2))/(LN(2)/2)*BL88*BO88*VLOOKUP('Données projet'!$B$11,Paramètres!$A$1:$I$89,3,0)*0.475*44/12</f>
        <v>7.3562291081966382</v>
      </c>
      <c r="BS88" s="22">
        <f t="shared" si="63"/>
        <v>103.45793468873333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-1.7053025658242404E-13</v>
      </c>
      <c r="BZ88" s="13">
        <f>BY88*VLOOKUP('Données projet'!$B$12,Paramètres!$A$1:$I$89,3,0)*VLOOKUP('Données projet'!$B$12,Paramètres!$A$1:$I$89,5,0)</f>
        <v>-1.3567387213697657E-13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299.10536994156814</v>
      </c>
      <c r="CE88" s="59">
        <f t="shared" si="94"/>
        <v>292.57799203101769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93.633289302207004</v>
      </c>
      <c r="CL88" s="21">
        <f>EXP(-LN(2)/25)*CL87+(1-EXP(-LN(2)/25))/(LN(2)/25)*Calculateur!CG88*Calculateur!CI88*VLOOKUP('Données projet'!$B$12,Paramètres!$A$1:$I$89,3,0)*0.475*44/12</f>
        <v>2.4684162783296779</v>
      </c>
      <c r="CM88" s="21">
        <f>EXP(-LN(2)/2)*CM87+(1-EXP(-LN(2)/2))/(LN(2)/2)*CG88*CJ88*VLOOKUP('Données projet'!$B$12,Paramètres!$A$1:$I$89,3,0)*0.475*44/12</f>
        <v>7.3562291081966382</v>
      </c>
      <c r="CN88" s="22">
        <f t="shared" si="66"/>
        <v>103.45793468873333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7.7777777777777777</v>
      </c>
      <c r="CT88" s="12">
        <f>IF('Données projet'!$A$140&gt;35,CT87+CS88-DB87,IF(A88&lt;'Données projet'!$A$140,$CQ$205^A88,IF(A88='Données projet'!$A$140,'Données projet'!$B$140,CT87+CS88-DB87)))</f>
        <v>301.44444444444429</v>
      </c>
      <c r="CU88" s="17">
        <f>CT88*VLOOKUP('Données projet'!$B$13,Paramètres!$A$1:$I$89,3,0)*VLOOKUP('Données projet'!$B$13,Paramètres!$A$1:$I$89,5,0)</f>
        <v>272.74693333333317</v>
      </c>
      <c r="CV88" s="13">
        <f t="shared" si="95"/>
        <v>65.431893983549415</v>
      </c>
      <c r="CW88" s="20">
        <f t="shared" si="67"/>
        <v>588.99479091023716</v>
      </c>
      <c r="CX88" s="59">
        <f t="shared" si="68"/>
        <v>882.32812424357053</v>
      </c>
      <c r="CY88" s="59">
        <f ca="1">AVERAGE(OFFSET($CX$3,0,0,'Données projet'!$E$13+1,1))-AVERAGE(OFFSET($H$3,0,0,'Données projet'!$E$13+1,1))</f>
        <v>528.15559695545812</v>
      </c>
      <c r="CZ88" s="59">
        <f t="shared" si="96"/>
        <v>276.26988364830532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1.8346711795754396</v>
      </c>
      <c r="DG88" s="21">
        <f>EXP(-LN(2)/25)*DG87+(1-EXP(-LN(2)/25))/(LN(2)/25)*Calculateur!DB88*Calculateur!DD88*VLOOKUP('Données projet'!$B$13,Paramètres!$A$1:$I$89,3,0)*0.475*44/12</f>
        <v>30.0047377557941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31.839408935369541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7.7777777777777777</v>
      </c>
      <c r="DO88" s="12">
        <f>IF('Données projet'!$A$166&gt;35,DO87+DN88-DW87,IF(A88&lt;'Données projet'!$A$166,$DL$205^A88,IF(A88='Données projet'!$A$166,'Données projet'!$B$166,DO87+DN88-DW87)))</f>
        <v>301.44444444444429</v>
      </c>
      <c r="DP88" s="17">
        <f>DO88*VLOOKUP('Données projet'!$B$14,Paramètres!$A$1:$I$89,3,0)*VLOOKUP('Données projet'!$B$14,Paramètres!$A$1:$I$89,5,0)</f>
        <v>305.66466666666651</v>
      </c>
      <c r="DQ88" s="13">
        <f t="shared" si="97"/>
        <v>72.362699238358573</v>
      </c>
      <c r="DR88" s="20">
        <f t="shared" si="70"/>
        <v>658.39766228458541</v>
      </c>
      <c r="DS88" s="59">
        <f t="shared" si="71"/>
        <v>951.73099561791878</v>
      </c>
      <c r="DT88" s="59">
        <f ca="1">AVERAGE(OFFSET($DS$3,0,0,'Données projet'!$E$14+1,1))-AVERAGE(OFFSET($H$3,0,0,'Données projet'!$E$14+1,1))</f>
        <v>586.50020405958992</v>
      </c>
      <c r="DU88" s="59">
        <f t="shared" si="98"/>
        <v>304.44184537595294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2.0560970115931654</v>
      </c>
      <c r="EB88" s="21">
        <f>EXP(-LN(2)/25)*EB87+(1-EXP(-LN(2)/25))/(LN(2)/25)*Calculateur!DW88*Calculateur!DY88*VLOOKUP('Données projet'!$B$14,Paramètres!$A$1:$I$89,3,0)*0.475*44/12</f>
        <v>33.625999209079602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35.682096220672769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-1.7053025658242404E-13</v>
      </c>
      <c r="EK88" s="17">
        <f>EJ88*VLOOKUP('Données projet'!$B$15,Paramètres!$A$1:$I$89,3,0)*VLOOKUP('Données projet'!$B$15,Paramètres!$A$1:$I$89,5,0)</f>
        <v>-1.6493686416652052E-13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355.72173590705142</v>
      </c>
      <c r="EP88" s="59">
        <f t="shared" si="100"/>
        <v>346.30980704469363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92.351590558521579</v>
      </c>
      <c r="EW88" s="21">
        <f>EXP(-LN(2)/25)*EW87+(1-EXP(-LN(2)/25))/(LN(2)/25)*Calculateur!ER88*Calculateur!ET88*VLOOKUP('Données projet'!$B$15,Paramètres!$A$1:$I$89,3,0)*0.475*44/12</f>
        <v>2.4346273762585731</v>
      </c>
      <c r="EX88" s="21">
        <f>EXP(-LN(2)/2)*EX87+(1-EXP(-LN(2)/2))/(LN(2)/2)*ER88*EU88*VLOOKUP('Données projet'!$B$15,Paramètres!$A$1:$I$89,3,0)*0.475*44/12</f>
        <v>8.9428667589841435</v>
      </c>
      <c r="EY88" s="22">
        <f t="shared" si="75"/>
        <v>103.72908469376429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-1.383341441396624E-13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304.26232113495314</v>
      </c>
      <c r="FK88" s="59">
        <f t="shared" si="102"/>
        <v>297.47246687305056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95.469236151269911</v>
      </c>
      <c r="FR88" s="21">
        <f>EXP(-LN(2)/25)*FR87+(1-EXP(-LN(2)/25))/(LN(2)/25)*Calculateur!FM88*Calculateur!FO88*VLOOKUP('Données projet'!$B$16,Paramètres!$A$1:$I$89,3,0)*0.475*44/12</f>
        <v>2.516816597512614</v>
      </c>
      <c r="FS88" s="21">
        <f>EXP(-LN(2)/2)*FS87+(1-EXP(-LN(2)/2))/(LN(2)/2)*FM88*FP88*VLOOKUP('Données projet'!$B$16,Paramètres!$A$1:$I$89,3,0)*0.475*44/12</f>
        <v>7.5004688946318661</v>
      </c>
      <c r="FT88" s="22">
        <f t="shared" si="78"/>
        <v>105.48652164341439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3.4</v>
      </c>
      <c r="N89" s="13">
        <f>IF('Données projet'!$A$36&gt;35,N88+M89-V88,IF(A89&lt;'Données projet'!$A$36,$K$205^A89,IF(A89='Données projet'!$A$36,'Données projet'!$B$36,N88+M89-V88)))</f>
        <v>254.40000000000003</v>
      </c>
      <c r="O89" s="13">
        <f>N89*VLOOKUP('Données projet'!$B$9,Paramètres!$A$1:$I$89,3,0)*VLOOKUP('Données projet'!$B$9,Paramètres!$A$1:$I$89,5,0)</f>
        <v>222.24384000000006</v>
      </c>
      <c r="P89" s="13">
        <f t="shared" si="87"/>
        <v>54.602284860895942</v>
      </c>
      <c r="Q89" s="20">
        <f t="shared" si="54"/>
        <v>482.17366746606058</v>
      </c>
      <c r="R89" s="59">
        <f t="shared" si="55"/>
        <v>775.50700079939384</v>
      </c>
      <c r="S89" s="59">
        <f ca="1">AVERAGE(OFFSET($R$3,0,0,'Données projet'!$E$9+1,1))-AVERAGE(OFFSET($H$3,0,0,'Données projet'!$E$9+1,1))</f>
        <v>381.72225529388083</v>
      </c>
      <c r="T89" s="59">
        <f t="shared" si="88"/>
        <v>360.05900046417361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44.013716683571637</v>
      </c>
      <c r="AA89" s="21">
        <f>EXP(-LN(2)/25)*AA88+(1-EXP(-LN(2)/25))/(LN(2)/25)*Calculateur!V89*Calculateur!X89*VLOOKUP('Données projet'!$B$9,Paramètres!$A$1:$I$89,3,0)*0.475*44/12</f>
        <v>10.22791560193278</v>
      </c>
      <c r="AB89" s="21">
        <f>EXP(-LN(2)/2)*AB88+(1-EXP(-LN(2)/2))/(LN(2)/2)*V89*Y89*VLOOKUP('Données projet'!$B$9,Paramètres!$A$1:$I$89,3,0)*0.475*44/12</f>
        <v>5.8830086148026848E-9</v>
      </c>
      <c r="AC89" s="22">
        <f t="shared" si="57"/>
        <v>54.241632291387425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9.1999999999999993</v>
      </c>
      <c r="AI89" s="13">
        <f>IF('Données projet'!$A$62&gt;35,AI88+AH89-AQ88,IF(A89&lt;'Données projet'!$A$62,$AF$205^A89,IF(A89='Données projet'!$A$62,'Données projet'!$B$62,AI88+AH89-AQ88)))</f>
        <v>414.2</v>
      </c>
      <c r="AJ89" s="13">
        <f>AI89*VLOOKUP('Données projet'!$B$10,Paramètres!$A$1:$I$89,3,0)*VLOOKUP('Données projet'!$B$10,Paramètres!$A$1:$I$89,5,0)</f>
        <v>303.69144</v>
      </c>
      <c r="AK89" s="13">
        <f t="shared" si="89"/>
        <v>71.949779413692241</v>
      </c>
      <c r="AL89" s="20">
        <f t="shared" si="58"/>
        <v>654.24179047884718</v>
      </c>
      <c r="AM89" s="59">
        <f t="shared" si="59"/>
        <v>947.57512381218044</v>
      </c>
      <c r="AN89" s="59">
        <f ca="1">AVERAGE(OFFSET($AM$3,0,0,'Données projet'!$E$10+1,1))-AVERAGE(OFFSET($H$3,0,0,'Données projet'!$E$10+1,1))</f>
        <v>464.3681853739115</v>
      </c>
      <c r="AO89" s="59">
        <f t="shared" si="90"/>
        <v>272.97841038165217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3.1608848384897468</v>
      </c>
      <c r="AV89" s="21">
        <f>EXP(-LN(2)/25)*AV88+(1-EXP(-LN(2)/25))/(LN(2)/25)*Calculateur!AQ89*Calculateur!AS89*VLOOKUP('Données projet'!$B$10,Paramètres!$A$1:$I$89,3,0)*0.475*44/12</f>
        <v>30.10510775915402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33.265992597643766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-1.3567387213697657E-13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299.10536994156814</v>
      </c>
      <c r="BJ89" s="59">
        <f t="shared" si="92"/>
        <v>292.57799203101769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91.797197609657985</v>
      </c>
      <c r="BQ89" s="21">
        <f>EXP(-LN(2)/25)*BQ88+(1-EXP(-LN(2)/25))/(LN(2)/25)*Calculateur!BL89*Calculateur!BN89*VLOOKUP('Données projet'!$B$11,Paramètres!$A$1:$I$89,3,0)*0.475*44/12</f>
        <v>2.4009173053903825</v>
      </c>
      <c r="BR89" s="21">
        <f>EXP(-LN(2)/2)*BR88+(1-EXP(-LN(2)/2))/(LN(2)/2)*BL89*BO89*VLOOKUP('Données projet'!$B$11,Paramètres!$A$1:$I$89,3,0)*0.475*44/12</f>
        <v>5.2016394863677125</v>
      </c>
      <c r="BS89" s="22">
        <f t="shared" si="63"/>
        <v>99.399754401416075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-1.7053025658242404E-13</v>
      </c>
      <c r="BZ89" s="13">
        <f>BY89*VLOOKUP('Données projet'!$B$12,Paramètres!$A$1:$I$89,3,0)*VLOOKUP('Données projet'!$B$12,Paramètres!$A$1:$I$89,5,0)</f>
        <v>-1.3567387213697657E-13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299.10536994156814</v>
      </c>
      <c r="CE89" s="59">
        <f t="shared" si="94"/>
        <v>292.57799203101769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91.797197609657985</v>
      </c>
      <c r="CL89" s="21">
        <f>EXP(-LN(2)/25)*CL88+(1-EXP(-LN(2)/25))/(LN(2)/25)*Calculateur!CG89*Calculateur!CI89*VLOOKUP('Données projet'!$B$12,Paramètres!$A$1:$I$89,3,0)*0.475*44/12</f>
        <v>2.4009173053903825</v>
      </c>
      <c r="CM89" s="21">
        <f>EXP(-LN(2)/2)*CM88+(1-EXP(-LN(2)/2))/(LN(2)/2)*CG89*CJ89*VLOOKUP('Données projet'!$B$12,Paramètres!$A$1:$I$89,3,0)*0.475*44/12</f>
        <v>5.2016394863677125</v>
      </c>
      <c r="CN89" s="22">
        <f t="shared" si="66"/>
        <v>99.399754401416075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7.7777777777777777</v>
      </c>
      <c r="CT89" s="12">
        <f>IF('Données projet'!$A$140&gt;35,CT88+CS89-DB88,IF(A89&lt;'Données projet'!$A$140,$CQ$205^A89,IF(A89='Données projet'!$A$140,'Données projet'!$B$140,CT88+CS89-DB88)))</f>
        <v>309.22222222222206</v>
      </c>
      <c r="CU89" s="17">
        <f>CT89*VLOOKUP('Données projet'!$B$13,Paramètres!$A$1:$I$89,3,0)*VLOOKUP('Données projet'!$B$13,Paramètres!$A$1:$I$89,5,0)</f>
        <v>279.7842666666665</v>
      </c>
      <c r="CV89" s="13">
        <f t="shared" si="95"/>
        <v>66.921416181225794</v>
      </c>
      <c r="CW89" s="20">
        <f t="shared" si="67"/>
        <v>603.84573096007898</v>
      </c>
      <c r="CX89" s="59">
        <f t="shared" si="68"/>
        <v>897.17906429341224</v>
      </c>
      <c r="CY89" s="59">
        <f ca="1">AVERAGE(OFFSET($CX$3,0,0,'Données projet'!$E$13+1,1))-AVERAGE(OFFSET($H$3,0,0,'Données projet'!$E$13+1,1))</f>
        <v>528.15559695545812</v>
      </c>
      <c r="CZ89" s="59">
        <f t="shared" si="96"/>
        <v>276.26988364830532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1.7986943967828888</v>
      </c>
      <c r="DG89" s="21">
        <f>EXP(-LN(2)/25)*DG88+(1-EXP(-LN(2)/25))/(LN(2)/25)*Calculateur!DB89*Calculateur!DD89*VLOOKUP('Données projet'!$B$13,Paramètres!$A$1:$I$89,3,0)*0.475*44/12</f>
        <v>29.184256623981327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30.982951020764215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7.7777777777777777</v>
      </c>
      <c r="DO89" s="12">
        <f>IF('Données projet'!$A$166&gt;35,DO88+DN89-DW88,IF(A89&lt;'Données projet'!$A$166,$DL$205^A89,IF(A89='Données projet'!$A$166,'Données projet'!$B$166,DO88+DN89-DW88)))</f>
        <v>309.22222222222206</v>
      </c>
      <c r="DP89" s="17">
        <f>DO89*VLOOKUP('Données projet'!$B$14,Paramètres!$A$1:$I$89,3,0)*VLOOKUP('Données projet'!$B$14,Paramètres!$A$1:$I$89,5,0)</f>
        <v>313.55133333333322</v>
      </c>
      <c r="DQ89" s="13">
        <f t="shared" si="97"/>
        <v>74.00999752421302</v>
      </c>
      <c r="DR89" s="20">
        <f t="shared" si="70"/>
        <v>675.00265124355963</v>
      </c>
      <c r="DS89" s="59">
        <f t="shared" si="71"/>
        <v>968.335984576893</v>
      </c>
      <c r="DT89" s="59">
        <f ca="1">AVERAGE(OFFSET($DS$3,0,0,'Données projet'!$E$14+1,1))-AVERAGE(OFFSET($H$3,0,0,'Données projet'!$E$14+1,1))</f>
        <v>586.50020405958992</v>
      </c>
      <c r="DU89" s="59">
        <f t="shared" si="98"/>
        <v>304.44184537595294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2.0157782032911689</v>
      </c>
      <c r="EB89" s="21">
        <f>EXP(-LN(2)/25)*EB88+(1-EXP(-LN(2)/25))/(LN(2)/25)*Calculateur!DW89*Calculateur!DY89*VLOOKUP('Données projet'!$B$14,Paramètres!$A$1:$I$89,3,0)*0.475*44/12</f>
        <v>32.706494492392878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34.722272695684048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-1.7053025658242404E-13</v>
      </c>
      <c r="EK89" s="17">
        <f>EJ89*VLOOKUP('Données projet'!$B$15,Paramètres!$A$1:$I$89,3,0)*VLOOKUP('Données projet'!$B$15,Paramètres!$A$1:$I$89,5,0)</f>
        <v>-1.6493686416652052E-13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355.72173590705142</v>
      </c>
      <c r="EP89" s="59">
        <f t="shared" si="100"/>
        <v>346.30980704469363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90.540632196577192</v>
      </c>
      <c r="EW89" s="21">
        <f>EXP(-LN(2)/25)*EW88+(1-EXP(-LN(2)/25))/(LN(2)/25)*Calculateur!ER89*Calculateur!ET89*VLOOKUP('Données projet'!$B$15,Paramètres!$A$1:$I$89,3,0)*0.475*44/12</f>
        <v>2.3680523626232932</v>
      </c>
      <c r="EX89" s="21">
        <f>EXP(-LN(2)/2)*EX88+(1-EXP(-LN(2)/2))/(LN(2)/2)*ER89*EU89*VLOOKUP('Données projet'!$B$15,Paramètres!$A$1:$I$89,3,0)*0.475*44/12</f>
        <v>6.3235617285254504</v>
      </c>
      <c r="EY89" s="22">
        <f t="shared" si="75"/>
        <v>99.232246287725928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-1.383341441396624E-13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304.26232113495314</v>
      </c>
      <c r="FK89" s="59">
        <f t="shared" si="102"/>
        <v>297.47246687305056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93.597142660827771</v>
      </c>
      <c r="FR89" s="21">
        <f>EXP(-LN(2)/25)*FR88+(1-EXP(-LN(2)/25))/(LN(2)/25)*Calculateur!FM89*Calculateur!FO89*VLOOKUP('Données projet'!$B$16,Paramètres!$A$1:$I$89,3,0)*0.475*44/12</f>
        <v>2.4479941152999989</v>
      </c>
      <c r="FS89" s="21">
        <f>EXP(-LN(2)/2)*FS88+(1-EXP(-LN(2)/2))/(LN(2)/2)*FM89*FP89*VLOOKUP('Données projet'!$B$16,Paramètres!$A$1:$I$89,3,0)*0.475*44/12</f>
        <v>5.3036324174729614</v>
      </c>
      <c r="FT89" s="22">
        <f t="shared" si="78"/>
        <v>101.34876919360073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3.4</v>
      </c>
      <c r="N90" s="13">
        <f>IF('Données projet'!$A$36&gt;35,N89+M90-V89,IF(A90&lt;'Données projet'!$A$36,$K$205^A90,IF(A90='Données projet'!$A$36,'Données projet'!$B$36,N89+M90-V89)))</f>
        <v>257.8</v>
      </c>
      <c r="O90" s="13">
        <f>N90*VLOOKUP('Données projet'!$B$9,Paramètres!$A$1:$I$89,3,0)*VLOOKUP('Données projet'!$B$9,Paramètres!$A$1:$I$89,5,0)</f>
        <v>225.21408000000005</v>
      </c>
      <c r="P90" s="13">
        <f t="shared" si="87"/>
        <v>55.246590695846493</v>
      </c>
      <c r="Q90" s="20">
        <f t="shared" si="54"/>
        <v>488.46900146193275</v>
      </c>
      <c r="R90" s="59">
        <f t="shared" si="55"/>
        <v>781.80233479526601</v>
      </c>
      <c r="S90" s="59">
        <f ca="1">AVERAGE(OFFSET($R$3,0,0,'Données projet'!$E$9+1,1))-AVERAGE(OFFSET($H$3,0,0,'Données projet'!$E$9+1,1))</f>
        <v>381.72225529388083</v>
      </c>
      <c r="T90" s="59">
        <f t="shared" si="88"/>
        <v>360.05900046417361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43.150634545123182</v>
      </c>
      <c r="AA90" s="21">
        <f>EXP(-LN(2)/25)*AA89+(1-EXP(-LN(2)/25))/(LN(2)/25)*Calculateur!V90*Calculateur!X90*VLOOKUP('Données projet'!$B$9,Paramètres!$A$1:$I$89,3,0)*0.475*44/12</f>
        <v>9.9482327119352227</v>
      </c>
      <c r="AB90" s="21">
        <f>EXP(-LN(2)/2)*AB89+(1-EXP(-LN(2)/2))/(LN(2)/2)*V90*Y90*VLOOKUP('Données projet'!$B$9,Paramètres!$A$1:$I$89,3,0)*0.475*44/12</f>
        <v>4.1599152853058561E-9</v>
      </c>
      <c r="AC90" s="22">
        <f t="shared" si="57"/>
        <v>53.098867261218317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9.1999999999999993</v>
      </c>
      <c r="AI90" s="13">
        <f>IF('Données projet'!$A$62&gt;35,AI89+AH90-AQ89,IF(A90&lt;'Données projet'!$A$62,$AF$205^A90,IF(A90='Données projet'!$A$62,'Données projet'!$B$62,AI89+AH90-AQ89)))</f>
        <v>423.4</v>
      </c>
      <c r="AJ90" s="13">
        <f>AI90*VLOOKUP('Données projet'!$B$10,Paramètres!$A$1:$I$89,3,0)*VLOOKUP('Données projet'!$B$10,Paramètres!$A$1:$I$89,5,0)</f>
        <v>310.43687999999997</v>
      </c>
      <c r="AK90" s="13">
        <f t="shared" si="89"/>
        <v>73.360060624606533</v>
      </c>
      <c r="AL90" s="20">
        <f t="shared" si="58"/>
        <v>668.44633825452308</v>
      </c>
      <c r="AM90" s="59">
        <f t="shared" si="59"/>
        <v>961.77967158785646</v>
      </c>
      <c r="AN90" s="59">
        <f ca="1">AVERAGE(OFFSET($AM$3,0,0,'Données projet'!$E$10+1,1))-AVERAGE(OFFSET($H$3,0,0,'Données projet'!$E$10+1,1))</f>
        <v>464.3681853739115</v>
      </c>
      <c r="AO90" s="59">
        <f t="shared" si="90"/>
        <v>272.97841038165217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3.0989018147563452</v>
      </c>
      <c r="AV90" s="21">
        <f>EXP(-LN(2)/25)*AV89+(1-EXP(-LN(2)/25))/(LN(2)/25)*Calculateur!AQ90*Calculateur!AS90*VLOOKUP('Données projet'!$B$10,Paramètres!$A$1:$I$89,3,0)*0.475*44/12</f>
        <v>29.281882004321144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32.380783819077486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-1.3567387213697657E-13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299.10536994156814</v>
      </c>
      <c r="BJ90" s="59">
        <f t="shared" si="92"/>
        <v>292.57799203101769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89.997110555294512</v>
      </c>
      <c r="BQ90" s="21">
        <f>EXP(-LN(2)/25)*BQ89+(1-EXP(-LN(2)/25))/(LN(2)/25)*Calculateur!BL90*Calculateur!BN90*VLOOKUP('Données projet'!$B$11,Paramètres!$A$1:$I$89,3,0)*0.475*44/12</f>
        <v>2.3352640954157287</v>
      </c>
      <c r="BR90" s="21">
        <f>EXP(-LN(2)/2)*BR89+(1-EXP(-LN(2)/2))/(LN(2)/2)*BL90*BO90*VLOOKUP('Données projet'!$B$11,Paramètres!$A$1:$I$89,3,0)*0.475*44/12</f>
        <v>3.6781145540983196</v>
      </c>
      <c r="BS90" s="22">
        <f t="shared" si="63"/>
        <v>96.01048920480855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-1.7053025658242404E-13</v>
      </c>
      <c r="BZ90" s="13">
        <f>BY90*VLOOKUP('Données projet'!$B$12,Paramètres!$A$1:$I$89,3,0)*VLOOKUP('Données projet'!$B$12,Paramètres!$A$1:$I$89,5,0)</f>
        <v>-1.3567387213697657E-13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299.10536994156814</v>
      </c>
      <c r="CE90" s="59">
        <f t="shared" si="94"/>
        <v>292.57799203101769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89.997110555294512</v>
      </c>
      <c r="CL90" s="21">
        <f>EXP(-LN(2)/25)*CL89+(1-EXP(-LN(2)/25))/(LN(2)/25)*Calculateur!CG90*Calculateur!CI90*VLOOKUP('Données projet'!$B$12,Paramètres!$A$1:$I$89,3,0)*0.475*44/12</f>
        <v>2.3352640954157287</v>
      </c>
      <c r="CM90" s="21">
        <f>EXP(-LN(2)/2)*CM89+(1-EXP(-LN(2)/2))/(LN(2)/2)*CG90*CJ90*VLOOKUP('Données projet'!$B$12,Paramètres!$A$1:$I$89,3,0)*0.475*44/12</f>
        <v>3.6781145540983196</v>
      </c>
      <c r="CN90" s="22">
        <f t="shared" si="66"/>
        <v>96.01048920480855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>
        <f>VLOOKUP(A90,'Données projet'!$A$139:$I$159,2,0)</f>
        <v>317</v>
      </c>
      <c r="CR90" s="12">
        <f>VLOOKUP(A90,'Données projet'!$A$139:$I$159,9,0)</f>
        <v>7.7777777777777777</v>
      </c>
      <c r="CS90" s="12">
        <f t="array" ref="CS90">INDEX(CR:CR,MIN(IF(ISNUMBER(CR90:CR286),ROW(CR90:CR286),"")))</f>
        <v>7.7777777777777777</v>
      </c>
      <c r="CT90" s="12">
        <f>IF('Données projet'!$A$140&gt;35,CT89+CS90-DB89,IF(A90&lt;'Données projet'!$A$140,$CQ$205^A90,IF(A90='Données projet'!$A$140,'Données projet'!$B$140,CT89+CS90-DB89)))</f>
        <v>316.99999999999983</v>
      </c>
      <c r="CU90" s="17">
        <f>CT90*VLOOKUP('Données projet'!$B$13,Paramètres!$A$1:$I$89,3,0)*VLOOKUP('Données projet'!$B$13,Paramètres!$A$1:$I$89,5,0)</f>
        <v>286.82159999999988</v>
      </c>
      <c r="CV90" s="13">
        <f t="shared" si="95"/>
        <v>68.406583284351413</v>
      </c>
      <c r="CW90" s="20">
        <f t="shared" si="67"/>
        <v>618.68908588691181</v>
      </c>
      <c r="CX90" s="59">
        <f t="shared" si="68"/>
        <v>912.02241922024518</v>
      </c>
      <c r="CY90" s="59">
        <f ca="1">AVERAGE(OFFSET($CX$3,0,0,'Données projet'!$E$13+1,1))-AVERAGE(OFFSET($H$3,0,0,'Données projet'!$E$13+1,1))</f>
        <v>528.15559695545812</v>
      </c>
      <c r="CZ90" s="59">
        <f t="shared" si="96"/>
        <v>276.26988364830532</v>
      </c>
      <c r="DA90" s="15">
        <f>IF(ISNA(VLOOKUP(A90,'Données projet'!$A$139:$I$159,3,0)),0,VLOOKUP(A90,'Données projet'!$A$139:$I$159,3,0))</f>
        <v>7</v>
      </c>
      <c r="DB90" s="15">
        <f>IF(ISNA(VLOOKUP(A90,'Données projet'!$A$139:$I$159,4,0)),0,VLOOKUP(A90,'Données projet'!$A$139:$I$159,4,0))</f>
        <v>45</v>
      </c>
      <c r="DC90" s="16">
        <f>IF(ISNA(VLOOKUP(A90,'Données projet'!$A$139:$I$159,5,0)),0%,VLOOKUP(A90,'Données projet'!$A$139:$I$159,5,0)*VLOOKUP('Données projet'!$B$13,Paramètres!$A$1:$I$89,7,0))</f>
        <v>0.129</v>
      </c>
      <c r="DD90" s="16">
        <f>IF(ISNA(VLOOKUP(A90,'Données projet'!$A$139:$I$159,6,0)),0%,VLOOKUP(A90,'Données projet'!$A$139:$I$159,6,0)*VLOOKUP('Données projet'!$B$13,Paramètres!$A$1:$I$89,7,0))</f>
        <v>0.15049999999999999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7.5697559212824324</v>
      </c>
      <c r="DG90" s="21">
        <f>EXP(-LN(2)/25)*DG89+(1-EXP(-LN(2)/25))/(LN(2)/25)*Calculateur!DB90*Calculateur!DD90*VLOOKUP('Données projet'!$B$13,Paramètres!$A$1:$I$89,3,0)*0.475*44/12</f>
        <v>35.133594518308797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42.703350439591233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317</v>
      </c>
      <c r="DM90" s="12">
        <f>VLOOKUP(A90,'Données projet'!$A$165:$I$185,9,0)</f>
        <v>7.7777777777777777</v>
      </c>
      <c r="DN90" s="12">
        <f t="array" ref="DN90">INDEX(DM:DM,MIN(IF(ISNUMBER(DM90:DM286),ROW(DM90:DM286),"")))</f>
        <v>7.7777777777777777</v>
      </c>
      <c r="DO90" s="12">
        <f>IF('Données projet'!$A$166&gt;35,DO89+DN90-DW89,IF(A90&lt;'Données projet'!$A$166,$DL$205^A90,IF(A90='Données projet'!$A$166,'Données projet'!$B$166,DO89+DN90-DW89)))</f>
        <v>316.99999999999983</v>
      </c>
      <c r="DP90" s="17">
        <f>DO90*VLOOKUP('Données projet'!$B$14,Paramètres!$A$1:$I$89,3,0)*VLOOKUP('Données projet'!$B$14,Paramètres!$A$1:$I$89,5,0)</f>
        <v>321.43799999999987</v>
      </c>
      <c r="DQ90" s="13">
        <f t="shared" si="97"/>
        <v>75.652479406660177</v>
      </c>
      <c r="DR90" s="20">
        <f t="shared" si="70"/>
        <v>691.59925163326625</v>
      </c>
      <c r="DS90" s="59">
        <f t="shared" si="71"/>
        <v>984.93258496659951</v>
      </c>
      <c r="DT90" s="59">
        <f ca="1">AVERAGE(OFFSET($DS$3,0,0,'Données projet'!$E$14+1,1))-AVERAGE(OFFSET($H$3,0,0,'Données projet'!$E$14+1,1))</f>
        <v>586.50020405958992</v>
      </c>
      <c r="DU90" s="59">
        <f t="shared" si="98"/>
        <v>304.44184537595294</v>
      </c>
      <c r="DV90" s="15">
        <f>IF(ISNA(VLOOKUP(A90,'Données projet'!$A$165:$I$185,3,0)),0,VLOOKUP(A90,'Données projet'!$A$165:$I$185,3,0))</f>
        <v>7</v>
      </c>
      <c r="DW90" s="15">
        <f>IF(ISNA(VLOOKUP(A90,'Données projet'!$A$165:$I$185,4,0)),0,VLOOKUP(A90,'Données projet'!$A$165:$I$185,4,0))</f>
        <v>45</v>
      </c>
      <c r="DX90" s="16">
        <f>IF(ISNA(VLOOKUP(A90,'Données projet'!$A$165:$I$185,5,0)),0%,VLOOKUP(A90,'Données projet'!$A$165:$I$185,5,0)*VLOOKUP('Données projet'!$B$14,Paramètres!$A$1:$I$89,7,0))</f>
        <v>0.129</v>
      </c>
      <c r="DY90" s="16">
        <f>IF(ISNA(VLOOKUP(A90,'Données projet'!$A$165:$I$185,6,0)),0%,VLOOKUP(A90,'Données projet'!$A$165:$I$185,6,0)*VLOOKUP('Données projet'!$B$14,Paramètres!$A$1:$I$89,7,0))</f>
        <v>0.15049999999999999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8.4833471531613469</v>
      </c>
      <c r="EB90" s="21">
        <f>EXP(-LN(2)/25)*EB89+(1-EXP(-LN(2)/25))/(LN(2)/25)*Calculateur!DW90*Calculateur!DY90*VLOOKUP('Données projet'!$B$14,Paramètres!$A$1:$I$89,3,0)*0.475*44/12</f>
        <v>39.373855925690904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47.857203078852251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-1.7053025658242404E-13</v>
      </c>
      <c r="EK90" s="17">
        <f>EJ90*VLOOKUP('Données projet'!$B$15,Paramètres!$A$1:$I$89,3,0)*VLOOKUP('Données projet'!$B$15,Paramètres!$A$1:$I$89,5,0)</f>
        <v>-1.6493686416652052E-13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355.72173590705142</v>
      </c>
      <c r="EP90" s="59">
        <f t="shared" si="100"/>
        <v>346.30980704469363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88.765185623535004</v>
      </c>
      <c r="EW90" s="21">
        <f>EXP(-LN(2)/25)*EW89+(1-EXP(-LN(2)/25))/(LN(2)/25)*Calculateur!ER90*Calculateur!ET90*VLOOKUP('Données projet'!$B$15,Paramètres!$A$1:$I$89,3,0)*0.475*44/12</f>
        <v>2.3032978462368976</v>
      </c>
      <c r="EX90" s="21">
        <f>EXP(-LN(2)/2)*EX89+(1-EXP(-LN(2)/2))/(LN(2)/2)*ER90*EU90*VLOOKUP('Données projet'!$B$15,Paramètres!$A$1:$I$89,3,0)*0.475*44/12</f>
        <v>4.4714333794920718</v>
      </c>
      <c r="EY90" s="22">
        <f t="shared" si="75"/>
        <v>95.539916849263975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-1.383341441396624E-13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304.26232113495314</v>
      </c>
      <c r="FK90" s="59">
        <f t="shared" si="102"/>
        <v>297.47246687305056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91.761759781868932</v>
      </c>
      <c r="FR90" s="21">
        <f>EXP(-LN(2)/25)*FR89+(1-EXP(-LN(2)/25))/(LN(2)/25)*Calculateur!FM90*Calculateur!FO90*VLOOKUP('Données projet'!$B$16,Paramètres!$A$1:$I$89,3,0)*0.475*44/12</f>
        <v>2.3810535874827048</v>
      </c>
      <c r="FS90" s="21">
        <f>EXP(-LN(2)/2)*FS89+(1-EXP(-LN(2)/2))/(LN(2)/2)*FM90*FP90*VLOOKUP('Données projet'!$B$16,Paramètres!$A$1:$I$89,3,0)*0.475*44/12</f>
        <v>3.7502344473159335</v>
      </c>
      <c r="FT90" s="22">
        <f t="shared" si="78"/>
        <v>97.893047816667575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3.4</v>
      </c>
      <c r="N91" s="13">
        <f>IF('Données projet'!$A$36&gt;35,N90+M91-V90,IF(A91&lt;'Données projet'!$A$36,$K$205^A91,IF(A91='Données projet'!$A$36,'Données projet'!$B$36,N90+M91-V90)))</f>
        <v>261.2</v>
      </c>
      <c r="O91" s="13">
        <f>N91*VLOOKUP('Données projet'!$B$9,Paramètres!$A$1:$I$89,3,0)*VLOOKUP('Données projet'!$B$9,Paramètres!$A$1:$I$89,5,0)</f>
        <v>228.18432000000004</v>
      </c>
      <c r="P91" s="13">
        <f t="shared" si="87"/>
        <v>55.889908157388689</v>
      </c>
      <c r="Q91" s="20">
        <f t="shared" si="54"/>
        <v>494.76261404078542</v>
      </c>
      <c r="R91" s="59">
        <f t="shared" si="55"/>
        <v>788.09594737411874</v>
      </c>
      <c r="S91" s="59">
        <f ca="1">AVERAGE(OFFSET($R$3,0,0,'Données projet'!$E$9+1,1))-AVERAGE(OFFSET($H$3,0,0,'Données projet'!$E$9+1,1))</f>
        <v>381.72225529388083</v>
      </c>
      <c r="T91" s="59">
        <f t="shared" si="88"/>
        <v>360.05900046417361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42.304476920981578</v>
      </c>
      <c r="AA91" s="21">
        <f>EXP(-LN(2)/25)*AA90+(1-EXP(-LN(2)/25))/(LN(2)/25)*Calculateur!V91*Calculateur!X91*VLOOKUP('Données projet'!$B$9,Paramètres!$A$1:$I$89,3,0)*0.475*44/12</f>
        <v>9.6761977652725335</v>
      </c>
      <c r="AB91" s="21">
        <f>EXP(-LN(2)/2)*AB90+(1-EXP(-LN(2)/2))/(LN(2)/2)*V91*Y91*VLOOKUP('Données projet'!$B$9,Paramètres!$A$1:$I$89,3,0)*0.475*44/12</f>
        <v>2.9415043074013424E-9</v>
      </c>
      <c r="AC91" s="22">
        <f t="shared" si="57"/>
        <v>51.980674689195617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9.1999999999999993</v>
      </c>
      <c r="AI91" s="13">
        <f>IF('Données projet'!$A$62&gt;35,AI90+AH91-AQ90,IF(A91&lt;'Données projet'!$A$62,$AF$205^A91,IF(A91='Données projet'!$A$62,'Données projet'!$B$62,AI90+AH91-AQ90)))</f>
        <v>432.59999999999997</v>
      </c>
      <c r="AJ91" s="13">
        <f>AI91*VLOOKUP('Données projet'!$B$10,Paramètres!$A$1:$I$89,3,0)*VLOOKUP('Données projet'!$B$10,Paramètres!$A$1:$I$89,5,0)</f>
        <v>317.18231999999995</v>
      </c>
      <c r="AK91" s="13">
        <f t="shared" si="89"/>
        <v>74.766779107282645</v>
      </c>
      <c r="AL91" s="20">
        <f t="shared" si="58"/>
        <v>682.64468094518372</v>
      </c>
      <c r="AM91" s="59">
        <f t="shared" si="59"/>
        <v>975.97801427851709</v>
      </c>
      <c r="AN91" s="59">
        <f ca="1">AVERAGE(OFFSET($AM$3,0,0,'Données projet'!$E$10+1,1))-AVERAGE(OFFSET($H$3,0,0,'Données projet'!$E$10+1,1))</f>
        <v>464.3681853739115</v>
      </c>
      <c r="AO91" s="59">
        <f t="shared" si="90"/>
        <v>272.97841038165217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3.0381342403124441</v>
      </c>
      <c r="AV91" s="21">
        <f>EXP(-LN(2)/25)*AV90+(1-EXP(-LN(2)/25))/(LN(2)/25)*Calculateur!AQ91*Calculateur!AS91*VLOOKUP('Données projet'!$B$10,Paramètres!$A$1:$I$89,3,0)*0.475*44/12</f>
        <v>28.481167401045731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31.519301641358176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-1.3567387213697657E-13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299.10536994156814</v>
      </c>
      <c r="BJ91" s="59">
        <f t="shared" si="92"/>
        <v>292.57799203101769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88.232322110122411</v>
      </c>
      <c r="BQ91" s="21">
        <f>EXP(-LN(2)/25)*BQ90+(1-EXP(-LN(2)/25))/(LN(2)/25)*Calculateur!BL91*Calculateur!BN91*VLOOKUP('Données projet'!$B$11,Paramètres!$A$1:$I$89,3,0)*0.475*44/12</f>
        <v>2.2714061759203843</v>
      </c>
      <c r="BR91" s="21">
        <f>EXP(-LN(2)/2)*BR90+(1-EXP(-LN(2)/2))/(LN(2)/2)*BL91*BO91*VLOOKUP('Données projet'!$B$11,Paramètres!$A$1:$I$89,3,0)*0.475*44/12</f>
        <v>2.6008197431838562</v>
      </c>
      <c r="BS91" s="22">
        <f t="shared" si="63"/>
        <v>93.104548029226663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-1.7053025658242404E-13</v>
      </c>
      <c r="BZ91" s="13">
        <f>BY91*VLOOKUP('Données projet'!$B$12,Paramètres!$A$1:$I$89,3,0)*VLOOKUP('Données projet'!$B$12,Paramètres!$A$1:$I$89,5,0)</f>
        <v>-1.3567387213697657E-13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299.10536994156814</v>
      </c>
      <c r="CE91" s="59">
        <f t="shared" si="94"/>
        <v>292.57799203101769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88.232322110122411</v>
      </c>
      <c r="CL91" s="21">
        <f>EXP(-LN(2)/25)*CL90+(1-EXP(-LN(2)/25))/(LN(2)/25)*Calculateur!CG91*Calculateur!CI91*VLOOKUP('Données projet'!$B$12,Paramètres!$A$1:$I$89,3,0)*0.475*44/12</f>
        <v>2.2714061759203843</v>
      </c>
      <c r="CM91" s="21">
        <f>EXP(-LN(2)/2)*CM90+(1-EXP(-LN(2)/2))/(LN(2)/2)*CG91*CJ91*VLOOKUP('Données projet'!$B$12,Paramètres!$A$1:$I$89,3,0)*0.475*44/12</f>
        <v>2.6008197431838562</v>
      </c>
      <c r="CN91" s="22">
        <f t="shared" si="66"/>
        <v>93.104548029226663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7.333333333333333</v>
      </c>
      <c r="CT91" s="12">
        <f>IF('Données projet'!$A$140&gt;35,CT90+CS91-DB90,IF(A91&lt;'Données projet'!$A$140,$CQ$205^A91,IF(A91='Données projet'!$A$140,'Données projet'!$B$140,CT90+CS91-DB90)))</f>
        <v>279.33333333333314</v>
      </c>
      <c r="CU91" s="17">
        <f>CT91*VLOOKUP('Données projet'!$B$13,Paramètres!$A$1:$I$89,3,0)*VLOOKUP('Données projet'!$B$13,Paramètres!$A$1:$I$89,5,0)</f>
        <v>252.74079999999981</v>
      </c>
      <c r="CV91" s="13">
        <f t="shared" si="95"/>
        <v>61.172468963435016</v>
      </c>
      <c r="CW91" s="20">
        <f t="shared" si="67"/>
        <v>546.73227677798229</v>
      </c>
      <c r="CX91" s="59">
        <f t="shared" si="68"/>
        <v>840.06561011131566</v>
      </c>
      <c r="CY91" s="59">
        <f ca="1">AVERAGE(OFFSET($CX$3,0,0,'Données projet'!$E$13+1,1))-AVERAGE(OFFSET($H$3,0,0,'Données projet'!$E$13+1,1))</f>
        <v>528.15559695545812</v>
      </c>
      <c r="CZ91" s="59">
        <f t="shared" si="96"/>
        <v>276.26988364830532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7.4213176247612953</v>
      </c>
      <c r="DG91" s="21">
        <f>EXP(-LN(2)/25)*DG90+(1-EXP(-LN(2)/25))/(LN(2)/25)*Calculateur!DB91*Calculateur!DD91*VLOOKUP('Données projet'!$B$13,Paramètres!$A$1:$I$89,3,0)*0.475*44/12</f>
        <v>34.172864528610205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41.594182153371499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7.333333333333333</v>
      </c>
      <c r="DO91" s="12">
        <f>IF('Données projet'!$A$166&gt;35,DO90+DN91-DW90,IF(A91&lt;'Données projet'!$A$166,$DL$205^A91,IF(A91='Données projet'!$A$166,'Données projet'!$B$166,DO90+DN91-DW90)))</f>
        <v>279.33333333333314</v>
      </c>
      <c r="DP91" s="17">
        <f>DO91*VLOOKUP('Données projet'!$B$14,Paramètres!$A$1:$I$89,3,0)*VLOOKUP('Données projet'!$B$14,Paramètres!$A$1:$I$89,5,0)</f>
        <v>283.2439999999998</v>
      </c>
      <c r="DQ91" s="13">
        <f t="shared" si="97"/>
        <v>67.652099057101807</v>
      </c>
      <c r="DR91" s="20">
        <f t="shared" si="70"/>
        <v>611.14403919111862</v>
      </c>
      <c r="DS91" s="59">
        <f t="shared" si="71"/>
        <v>904.47737252445199</v>
      </c>
      <c r="DT91" s="59">
        <f ca="1">AVERAGE(OFFSET($DS$3,0,0,'Données projet'!$E$14+1,1))-AVERAGE(OFFSET($H$3,0,0,'Données projet'!$E$14+1,1))</f>
        <v>586.50020405958992</v>
      </c>
      <c r="DU91" s="59">
        <f t="shared" si="98"/>
        <v>304.44184537595294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8.3169938898186935</v>
      </c>
      <c r="EB91" s="21">
        <f>EXP(-LN(2)/25)*EB90+(1-EXP(-LN(2)/25))/(LN(2)/25)*Calculateur!DW91*Calculateur!DY91*VLOOKUP('Données projet'!$B$14,Paramètres!$A$1:$I$89,3,0)*0.475*44/12</f>
        <v>38.297175764821795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46.614169654640492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-1.7053025658242404E-13</v>
      </c>
      <c r="EK91" s="17">
        <f>EJ91*VLOOKUP('Données projet'!$B$15,Paramètres!$A$1:$I$89,3,0)*VLOOKUP('Données projet'!$B$15,Paramètres!$A$1:$I$89,5,0)</f>
        <v>-1.6493686416652052E-13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355.72173590705142</v>
      </c>
      <c r="EP91" s="59">
        <f t="shared" si="100"/>
        <v>346.30980704469363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87.024554474874691</v>
      </c>
      <c r="EW91" s="21">
        <f>EXP(-LN(2)/25)*EW90+(1-EXP(-LN(2)/25))/(LN(2)/25)*Calculateur!ER91*Calculateur!ET91*VLOOKUP('Données projet'!$B$15,Paramètres!$A$1:$I$89,3,0)*0.475*44/12</f>
        <v>2.2403140455063801</v>
      </c>
      <c r="EX91" s="21">
        <f>EXP(-LN(2)/2)*EX90+(1-EXP(-LN(2)/2))/(LN(2)/2)*ER91*EU91*VLOOKUP('Données projet'!$B$15,Paramètres!$A$1:$I$89,3,0)*0.475*44/12</f>
        <v>3.1617808642627252</v>
      </c>
      <c r="EY91" s="22">
        <f t="shared" si="75"/>
        <v>92.426649384643795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-1.383341441396624E-13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304.26232113495314</v>
      </c>
      <c r="FK91" s="59">
        <f t="shared" si="102"/>
        <v>297.47246687305056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89.962367641693461</v>
      </c>
      <c r="FR91" s="21">
        <f>EXP(-LN(2)/25)*FR90+(1-EXP(-LN(2)/25))/(LN(2)/25)*Calculateur!FM91*Calculateur!FO91*VLOOKUP('Données projet'!$B$16,Paramètres!$A$1:$I$89,3,0)*0.475*44/12</f>
        <v>2.3159435519188238</v>
      </c>
      <c r="FS91" s="21">
        <f>EXP(-LN(2)/2)*FS90+(1-EXP(-LN(2)/2))/(LN(2)/2)*FM91*FP91*VLOOKUP('Données projet'!$B$16,Paramètres!$A$1:$I$89,3,0)*0.475*44/12</f>
        <v>2.6518162087364812</v>
      </c>
      <c r="FT91" s="22">
        <f t="shared" si="78"/>
        <v>94.930127402348759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3.4</v>
      </c>
      <c r="N92" s="13">
        <f>IF('Données projet'!$A$36&gt;35,N91+M92-V91,IF(A92&lt;'Données projet'!$A$36,$K$205^A92,IF(A92='Données projet'!$A$36,'Données projet'!$B$36,N91+M92-V91)))</f>
        <v>264.59999999999997</v>
      </c>
      <c r="O92" s="13">
        <f>N92*VLOOKUP('Données projet'!$B$9,Paramètres!$A$1:$I$89,3,0)*VLOOKUP('Données projet'!$B$9,Paramètres!$A$1:$I$89,5,0)</f>
        <v>231.15455999999998</v>
      </c>
      <c r="P92" s="13">
        <f t="shared" si="87"/>
        <v>56.532251598510484</v>
      </c>
      <c r="Q92" s="20">
        <f t="shared" si="54"/>
        <v>501.05453020073901</v>
      </c>
      <c r="R92" s="59">
        <f t="shared" si="55"/>
        <v>794.38786353407227</v>
      </c>
      <c r="S92" s="59">
        <f ca="1">AVERAGE(OFFSET($R$3,0,0,'Données projet'!$E$9+1,1))-AVERAGE(OFFSET($H$3,0,0,'Données projet'!$E$9+1,1))</f>
        <v>381.72225529388083</v>
      </c>
      <c r="T92" s="59">
        <f t="shared" si="88"/>
        <v>360.05900046417361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41.474911931744195</v>
      </c>
      <c r="AA92" s="21">
        <f>EXP(-LN(2)/25)*AA91+(1-EXP(-LN(2)/25))/(LN(2)/25)*Calculateur!V92*Calculateur!X92*VLOOKUP('Données projet'!$B$9,Paramètres!$A$1:$I$89,3,0)*0.475*44/12</f>
        <v>9.411601628532031</v>
      </c>
      <c r="AB92" s="21">
        <f>EXP(-LN(2)/2)*AB91+(1-EXP(-LN(2)/2))/(LN(2)/2)*V92*Y92*VLOOKUP('Données projet'!$B$9,Paramètres!$A$1:$I$89,3,0)*0.475*44/12</f>
        <v>2.079957642652928E-9</v>
      </c>
      <c r="AC92" s="22">
        <f t="shared" si="57"/>
        <v>50.886513562356186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9.1999999999999993</v>
      </c>
      <c r="AI92" s="13">
        <f>IF('Données projet'!$A$62&gt;35,AI91+AH92-AQ91,IF(A92&lt;'Données projet'!$A$62,$AF$205^A92,IF(A92='Données projet'!$A$62,'Données projet'!$B$62,AI91+AH92-AQ91)))</f>
        <v>441.79999999999995</v>
      </c>
      <c r="AJ92" s="13">
        <f>AI92*VLOOKUP('Données projet'!$B$10,Paramètres!$A$1:$I$89,3,0)*VLOOKUP('Données projet'!$B$10,Paramètres!$A$1:$I$89,5,0)</f>
        <v>323.92775999999992</v>
      </c>
      <c r="AK92" s="13">
        <f t="shared" si="89"/>
        <v>76.170019357015306</v>
      </c>
      <c r="AL92" s="20">
        <f t="shared" si="58"/>
        <v>696.83696571346809</v>
      </c>
      <c r="AM92" s="59">
        <f t="shared" si="59"/>
        <v>990.17029904680135</v>
      </c>
      <c r="AN92" s="59">
        <f ca="1">AVERAGE(OFFSET($AM$3,0,0,'Données projet'!$E$10+1,1))-AVERAGE(OFFSET($H$3,0,0,'Données projet'!$E$10+1,1))</f>
        <v>464.3681853739115</v>
      </c>
      <c r="AO92" s="59">
        <f t="shared" si="90"/>
        <v>272.97841038165217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2.9785582809388274</v>
      </c>
      <c r="AV92" s="21">
        <f>EXP(-LN(2)/25)*AV91+(1-EXP(-LN(2)/25))/(LN(2)/25)*Calculateur!AQ92*Calculateur!AS92*VLOOKUP('Données projet'!$B$10,Paramètres!$A$1:$I$89,3,0)*0.475*44/12</f>
        <v>27.702348380704635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30.680906661643462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-1.3567387213697657E-13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299.10536994156814</v>
      </c>
      <c r="BJ92" s="59">
        <f t="shared" si="92"/>
        <v>292.57799203101769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86.50214008994547</v>
      </c>
      <c r="BQ92" s="21">
        <f>EXP(-LN(2)/25)*BQ91+(1-EXP(-LN(2)/25))/(LN(2)/25)*Calculateur!BL92*Calculateur!BN92*VLOOKUP('Données projet'!$B$11,Paramètres!$A$1:$I$89,3,0)*0.475*44/12</f>
        <v>2.2092944545917819</v>
      </c>
      <c r="BR92" s="21">
        <f>EXP(-LN(2)/2)*BR91+(1-EXP(-LN(2)/2))/(LN(2)/2)*BL92*BO92*VLOOKUP('Données projet'!$B$11,Paramètres!$A$1:$I$89,3,0)*0.475*44/12</f>
        <v>1.8390572770491598</v>
      </c>
      <c r="BS92" s="22">
        <f t="shared" si="63"/>
        <v>90.550491821586419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-1.7053025658242404E-13</v>
      </c>
      <c r="BZ92" s="13">
        <f>BY92*VLOOKUP('Données projet'!$B$12,Paramètres!$A$1:$I$89,3,0)*VLOOKUP('Données projet'!$B$12,Paramètres!$A$1:$I$89,5,0)</f>
        <v>-1.3567387213697657E-13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299.10536994156814</v>
      </c>
      <c r="CE92" s="59">
        <f t="shared" si="94"/>
        <v>292.57799203101769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86.50214008994547</v>
      </c>
      <c r="CL92" s="21">
        <f>EXP(-LN(2)/25)*CL91+(1-EXP(-LN(2)/25))/(LN(2)/25)*Calculateur!CG92*Calculateur!CI92*VLOOKUP('Données projet'!$B$12,Paramètres!$A$1:$I$89,3,0)*0.475*44/12</f>
        <v>2.2092944545917819</v>
      </c>
      <c r="CM92" s="21">
        <f>EXP(-LN(2)/2)*CM91+(1-EXP(-LN(2)/2))/(LN(2)/2)*CG92*CJ92*VLOOKUP('Données projet'!$B$12,Paramètres!$A$1:$I$89,3,0)*0.475*44/12</f>
        <v>1.8390572770491598</v>
      </c>
      <c r="CN92" s="22">
        <f t="shared" si="66"/>
        <v>90.550491821586419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7.333333333333333</v>
      </c>
      <c r="CT92" s="12">
        <f>IF('Données projet'!$A$140&gt;35,CT91+CS92-DB91,IF(A92&lt;'Données projet'!$A$140,$CQ$205^A92,IF(A92='Données projet'!$A$140,'Données projet'!$B$140,CT91+CS92-DB91)))</f>
        <v>286.66666666666646</v>
      </c>
      <c r="CU92" s="17">
        <f>CT92*VLOOKUP('Données projet'!$B$13,Paramètres!$A$1:$I$89,3,0)*VLOOKUP('Données projet'!$B$13,Paramètres!$A$1:$I$89,5,0)</f>
        <v>259.37599999999981</v>
      </c>
      <c r="CV92" s="13">
        <f t="shared" si="95"/>
        <v>62.58934777690127</v>
      </c>
      <c r="CW92" s="20">
        <f t="shared" si="67"/>
        <v>560.7563140447694</v>
      </c>
      <c r="CX92" s="59">
        <f t="shared" si="68"/>
        <v>854.08964737810265</v>
      </c>
      <c r="CY92" s="59">
        <f ca="1">AVERAGE(OFFSET($CX$3,0,0,'Données projet'!$E$13+1,1))-AVERAGE(OFFSET($H$3,0,0,'Données projet'!$E$13+1,1))</f>
        <v>528.15559695545812</v>
      </c>
      <c r="CZ92" s="59">
        <f t="shared" si="96"/>
        <v>276.26988364830532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7.2757901126965168</v>
      </c>
      <c r="DG92" s="21">
        <f>EXP(-LN(2)/25)*DG91+(1-EXP(-LN(2)/25))/(LN(2)/25)*Calculateur!DB92*Calculateur!DD92*VLOOKUP('Données projet'!$B$13,Paramètres!$A$1:$I$89,3,0)*0.475*44/12</f>
        <v>33.238405751002517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40.514195863699037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7.333333333333333</v>
      </c>
      <c r="DO92" s="12">
        <f>IF('Données projet'!$A$166&gt;35,DO91+DN92-DW91,IF(A92&lt;'Données projet'!$A$166,$DL$205^A92,IF(A92='Données projet'!$A$166,'Données projet'!$B$166,DO91+DN92-DW91)))</f>
        <v>286.66666666666646</v>
      </c>
      <c r="DP92" s="17">
        <f>DO92*VLOOKUP('Données projet'!$B$14,Paramètres!$A$1:$I$89,3,0)*VLOOKUP('Données projet'!$B$14,Paramètres!$A$1:$I$89,5,0)</f>
        <v>290.67999999999978</v>
      </c>
      <c r="DQ92" s="13">
        <f t="shared" si="97"/>
        <v>69.219059283896371</v>
      </c>
      <c r="DR92" s="20">
        <f t="shared" si="70"/>
        <v>626.82419491945245</v>
      </c>
      <c r="DS92" s="59">
        <f t="shared" si="71"/>
        <v>920.15752825278582</v>
      </c>
      <c r="DT92" s="59">
        <f ca="1">AVERAGE(OFFSET($DS$3,0,0,'Données projet'!$E$14+1,1))-AVERAGE(OFFSET($H$3,0,0,'Données projet'!$E$14+1,1))</f>
        <v>586.50020405958992</v>
      </c>
      <c r="DU92" s="59">
        <f t="shared" si="98"/>
        <v>304.44184537595294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8.153902712504717</v>
      </c>
      <c r="EB92" s="21">
        <f>EXP(-LN(2)/25)*EB91+(1-EXP(-LN(2)/25))/(LN(2)/25)*Calculateur!DW92*Calculateur!DY92*VLOOKUP('Données projet'!$B$14,Paramètres!$A$1:$I$89,3,0)*0.475*44/12</f>
        <v>37.249937479571798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45.403840192076515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-1.7053025658242404E-13</v>
      </c>
      <c r="EK92" s="17">
        <f>EJ92*VLOOKUP('Données projet'!$B$15,Paramètres!$A$1:$I$89,3,0)*VLOOKUP('Données projet'!$B$15,Paramètres!$A$1:$I$89,5,0)</f>
        <v>-1.6493686416652052E-13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355.72173590705142</v>
      </c>
      <c r="EP92" s="59">
        <f t="shared" si="100"/>
        <v>346.30980704469363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85.318056041359441</v>
      </c>
      <c r="EW92" s="21">
        <f>EXP(-LN(2)/25)*EW91+(1-EXP(-LN(2)/25))/(LN(2)/25)*Calculateur!ER92*Calculateur!ET92*VLOOKUP('Données projet'!$B$15,Paramètres!$A$1:$I$89,3,0)*0.475*44/12</f>
        <v>2.1790525401190126</v>
      </c>
      <c r="EX92" s="21">
        <f>EXP(-LN(2)/2)*EX91+(1-EXP(-LN(2)/2))/(LN(2)/2)*ER92*EU92*VLOOKUP('Données projet'!$B$15,Paramètres!$A$1:$I$89,3,0)*0.475*44/12</f>
        <v>2.2357166897460359</v>
      </c>
      <c r="EY92" s="22">
        <f t="shared" si="75"/>
        <v>89.732825271224499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-1.383341441396624E-13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304.26232113495314</v>
      </c>
      <c r="FK92" s="59">
        <f t="shared" si="102"/>
        <v>297.47246687305056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88.198260483865994</v>
      </c>
      <c r="FR92" s="21">
        <f>EXP(-LN(2)/25)*FR91+(1-EXP(-LN(2)/25))/(LN(2)/25)*Calculateur!FM92*Calculateur!FO92*VLOOKUP('Données projet'!$B$16,Paramètres!$A$1:$I$89,3,0)*0.475*44/12</f>
        <v>2.2526139537014256</v>
      </c>
      <c r="FS92" s="21">
        <f>EXP(-LN(2)/2)*FS91+(1-EXP(-LN(2)/2))/(LN(2)/2)*FM92*FP92*VLOOKUP('Données projet'!$B$16,Paramètres!$A$1:$I$89,3,0)*0.475*44/12</f>
        <v>1.8751172236579672</v>
      </c>
      <c r="FT92" s="22">
        <f t="shared" si="78"/>
        <v>92.325991661225387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268</v>
      </c>
      <c r="L93" s="12">
        <f>VLOOKUP(A93,'Données projet'!$A$35:$I$55,9,0)</f>
        <v>3.4</v>
      </c>
      <c r="M93" s="12">
        <f t="array" ref="M93">INDEX(L:L,MIN(IF(ISNUMBER(L93:L289),ROW(L93:L289),"")))</f>
        <v>3.4</v>
      </c>
      <c r="N93" s="13">
        <f>IF('Données projet'!$A$36&gt;35,N92+M93-V92,IF(A93&lt;'Données projet'!$A$36,$K$205^A93,IF(A93='Données projet'!$A$36,'Données projet'!$B$36,N92+M93-V92)))</f>
        <v>267.99999999999994</v>
      </c>
      <c r="O93" s="13">
        <f>N93*VLOOKUP('Données projet'!$B$9,Paramètres!$A$1:$I$89,3,0)*VLOOKUP('Données projet'!$B$9,Paramètres!$A$1:$I$89,5,0)</f>
        <v>234.12479999999999</v>
      </c>
      <c r="P93" s="13">
        <f t="shared" si="87"/>
        <v>57.173634982132555</v>
      </c>
      <c r="Q93" s="20">
        <f t="shared" si="54"/>
        <v>507.34477426054747</v>
      </c>
      <c r="R93" s="59">
        <f t="shared" si="55"/>
        <v>800.67810759388078</v>
      </c>
      <c r="S93" s="59">
        <f ca="1">AVERAGE(OFFSET($R$3,0,0,'Données projet'!$E$9+1,1))-AVERAGE(OFFSET($H$3,0,0,'Données projet'!$E$9+1,1))</f>
        <v>381.72225529388083</v>
      </c>
      <c r="T93" s="59">
        <f t="shared" si="88"/>
        <v>360.05900046417361</v>
      </c>
      <c r="U93" s="15">
        <f>IF(ISNA(VLOOKUP(A93,'Données projet'!$A$35:$I$55,3,0)),0,VLOOKUP(A93,'Données projet'!$A$35:$I$55,3,0))</f>
        <v>16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0.30099999999999999</v>
      </c>
      <c r="X93" s="16">
        <f>IF(ISNA(VLOOKUP(A93,'Données projet'!$A$35:$I$55,6,0)),0%,VLOOKUP(A93,'Données projet'!$A$35:$I$55,6,0)*VLOOKUP('Données projet'!$B$9,Paramètres!$A$1:$I$89,7,0))</f>
        <v>4.3000000000000003E-2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44.731238029842856</v>
      </c>
      <c r="AA93" s="21">
        <f>EXP(-LN(2)/25)*AA92+(1-EXP(-LN(2)/25))/(LN(2)/25)*Calculateur!V93*Calculateur!X93*VLOOKUP('Données projet'!$B$9,Paramètres!$A$1:$I$89,3,0)*0.475*44/12</f>
        <v>9.7333266248136194</v>
      </c>
      <c r="AB93" s="21">
        <f>EXP(-LN(2)/2)*AB92+(1-EXP(-LN(2)/2))/(LN(2)/2)*V93*Y93*VLOOKUP('Données projet'!$B$9,Paramètres!$A$1:$I$89,3,0)*0.475*44/12</f>
        <v>1.4707521537006712E-9</v>
      </c>
      <c r="AC93" s="22">
        <f t="shared" si="57"/>
        <v>54.46456465612723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451</v>
      </c>
      <c r="AG93" s="12">
        <f>VLOOKUP(A93,'Données projet'!$A$61:$I$81,9,0)</f>
        <v>9.1999999999999993</v>
      </c>
      <c r="AH93" s="12">
        <f t="array" ref="AH93">INDEX(AG:AG,MIN(IF(ISNUMBER(AG93:AG289),ROW(AG93:AG289),"")))</f>
        <v>9.1999999999999993</v>
      </c>
      <c r="AI93" s="13">
        <f>IF('Données projet'!$A$62&gt;35,AI92+AH93-AQ92,IF(A93&lt;'Données projet'!$A$62,$AF$205^A93,IF(A93='Données projet'!$A$62,'Données projet'!$B$62,AI92+AH93-AQ92)))</f>
        <v>450.99999999999994</v>
      </c>
      <c r="AJ93" s="13">
        <f>AI93*VLOOKUP('Données projet'!$B$10,Paramètres!$A$1:$I$89,3,0)*VLOOKUP('Données projet'!$B$10,Paramètres!$A$1:$I$89,5,0)</f>
        <v>330.67319999999995</v>
      </c>
      <c r="AK93" s="13">
        <f t="shared" si="89"/>
        <v>77.56986214894971</v>
      </c>
      <c r="AL93" s="20">
        <f t="shared" si="58"/>
        <v>711.02333324275389</v>
      </c>
      <c r="AM93" s="59">
        <f t="shared" si="59"/>
        <v>1004.3566665760873</v>
      </c>
      <c r="AN93" s="59">
        <f ca="1">AVERAGE(OFFSET($AM$3,0,0,'Données projet'!$E$10+1,1))-AVERAGE(OFFSET($H$3,0,0,'Données projet'!$E$10+1,1))</f>
        <v>464.3681853739115</v>
      </c>
      <c r="AO93" s="59">
        <f t="shared" si="90"/>
        <v>272.97841038165217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31</v>
      </c>
      <c r="AR93" s="16">
        <f>IF(ISNA(VLOOKUP(A93,'Données projet'!$A$61:$I$81,5,0)),0%,VLOOKUP(A93,'Données projet'!$A$61:$I$81,5,0)*VLOOKUP('Données projet'!$B$10,Paramètres!$A$1:$I$89,7,0))</f>
        <v>0.129</v>
      </c>
      <c r="AS93" s="16">
        <f>IF(ISNA(VLOOKUP(A93,'Données projet'!$A$61:$I$81,6,0)),0%,VLOOKUP(A93,'Données projet'!$A$61:$I$81,6,0)*VLOOKUP('Données projet'!$B$10,Paramètres!$A$1:$I$89,7,0))</f>
        <v>0.15049999999999999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6.1614635680027421</v>
      </c>
      <c r="AV93" s="21">
        <f>EXP(-LN(2)/25)*AV92+(1-EXP(-LN(2)/25))/(LN(2)/25)*Calculateur!AQ93*Calculateur!AS93*VLOOKUP('Données projet'!$B$10,Paramètres!$A$1:$I$89,3,0)*0.475*44/12</f>
        <v>30.71146870698216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36.872932274984905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-1.3567387213697657E-13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299.10536994156814</v>
      </c>
      <c r="BJ93" s="59">
        <f t="shared" si="92"/>
        <v>292.57799203101769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84.805885883877366</v>
      </c>
      <c r="BQ93" s="21">
        <f>EXP(-LN(2)/25)*BQ92+(1-EXP(-LN(2)/25))/(LN(2)/25)*Calculateur!BL93*Calculateur!BN93*VLOOKUP('Données projet'!$B$11,Paramètres!$A$1:$I$89,3,0)*0.475*44/12</f>
        <v>2.1488811815492235</v>
      </c>
      <c r="BR93" s="21">
        <f>EXP(-LN(2)/2)*BR92+(1-EXP(-LN(2)/2))/(LN(2)/2)*BL93*BO93*VLOOKUP('Données projet'!$B$11,Paramètres!$A$1:$I$89,3,0)*0.475*44/12</f>
        <v>1.3004098715919281</v>
      </c>
      <c r="BS93" s="22">
        <f t="shared" si="63"/>
        <v>88.255176937018518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-1.7053025658242404E-13</v>
      </c>
      <c r="BZ93" s="13">
        <f>BY93*VLOOKUP('Données projet'!$B$12,Paramètres!$A$1:$I$89,3,0)*VLOOKUP('Données projet'!$B$12,Paramètres!$A$1:$I$89,5,0)</f>
        <v>-1.3567387213697657E-13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299.10536994156814</v>
      </c>
      <c r="CE93" s="59">
        <f t="shared" si="94"/>
        <v>292.57799203101769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84.805885883877366</v>
      </c>
      <c r="CL93" s="21">
        <f>EXP(-LN(2)/25)*CL92+(1-EXP(-LN(2)/25))/(LN(2)/25)*Calculateur!CG93*Calculateur!CI93*VLOOKUP('Données projet'!$B$12,Paramètres!$A$1:$I$89,3,0)*0.475*44/12</f>
        <v>2.1488811815492235</v>
      </c>
      <c r="CM93" s="21">
        <f>EXP(-LN(2)/2)*CM92+(1-EXP(-LN(2)/2))/(LN(2)/2)*CG93*CJ93*VLOOKUP('Données projet'!$B$12,Paramètres!$A$1:$I$89,3,0)*0.475*44/12</f>
        <v>1.3004098715919281</v>
      </c>
      <c r="CN93" s="22">
        <f t="shared" si="66"/>
        <v>88.255176937018518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7.333333333333333</v>
      </c>
      <c r="CT93" s="12">
        <f>IF('Données projet'!$A$140&gt;35,CT92+CS93-DB92,IF(A93&lt;'Données projet'!$A$140,$CQ$205^A93,IF(A93='Données projet'!$A$140,'Données projet'!$B$140,CT92+CS93-DB92)))</f>
        <v>293.99999999999977</v>
      </c>
      <c r="CU93" s="17">
        <f>CT93*VLOOKUP('Données projet'!$B$13,Paramètres!$A$1:$I$89,3,0)*VLOOKUP('Données projet'!$B$13,Paramètres!$A$1:$I$89,5,0)</f>
        <v>266.0111999999998</v>
      </c>
      <c r="CV93" s="13">
        <f t="shared" si="95"/>
        <v>64.00201337612566</v>
      </c>
      <c r="CW93" s="20">
        <f t="shared" si="67"/>
        <v>574.77301329675186</v>
      </c>
      <c r="CX93" s="59">
        <f t="shared" si="68"/>
        <v>868.10634663008523</v>
      </c>
      <c r="CY93" s="59">
        <f ca="1">AVERAGE(OFFSET($CX$3,0,0,'Données projet'!$E$13+1,1))-AVERAGE(OFFSET($H$3,0,0,'Données projet'!$E$13+1,1))</f>
        <v>528.15559695545812</v>
      </c>
      <c r="CZ93" s="59">
        <f t="shared" si="96"/>
        <v>276.26988364830532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7.1331163063803107</v>
      </c>
      <c r="DG93" s="21">
        <f>EXP(-LN(2)/25)*DG92+(1-EXP(-LN(2)/25))/(LN(2)/25)*Calculateur!DB93*Calculateur!DD93*VLOOKUP('Données projet'!$B$13,Paramètres!$A$1:$I$89,3,0)*0.475*44/12</f>
        <v>32.329499797809561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39.46261610418987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7.333333333333333</v>
      </c>
      <c r="DO93" s="12">
        <f>IF('Données projet'!$A$166&gt;35,DO92+DN93-DW92,IF(A93&lt;'Données projet'!$A$166,$DL$205^A93,IF(A93='Données projet'!$A$166,'Données projet'!$B$166,DO92+DN93-DW92)))</f>
        <v>293.99999999999977</v>
      </c>
      <c r="DP93" s="17">
        <f>DO93*VLOOKUP('Données projet'!$B$14,Paramètres!$A$1:$I$89,3,0)*VLOOKUP('Données projet'!$B$14,Paramètres!$A$1:$I$89,5,0)</f>
        <v>298.11599999999976</v>
      </c>
      <c r="DQ93" s="13">
        <f t="shared" si="97"/>
        <v>70.781360016116508</v>
      </c>
      <c r="DR93" s="20">
        <f t="shared" si="70"/>
        <v>642.49623536140246</v>
      </c>
      <c r="DS93" s="59">
        <f t="shared" si="71"/>
        <v>935.82956869473583</v>
      </c>
      <c r="DT93" s="59">
        <f ca="1">AVERAGE(OFFSET($DS$3,0,0,'Données projet'!$E$14+1,1))-AVERAGE(OFFSET($H$3,0,0,'Données projet'!$E$14+1,1))</f>
        <v>586.50020405958992</v>
      </c>
      <c r="DU93" s="59">
        <f t="shared" si="98"/>
        <v>304.44184537595294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7.9940096537020731</v>
      </c>
      <c r="EB93" s="21">
        <f>EXP(-LN(2)/25)*EB92+(1-EXP(-LN(2)/25))/(LN(2)/25)*Calculateur!DW93*Calculateur!DY93*VLOOKUP('Données projet'!$B$14,Paramètres!$A$1:$I$89,3,0)*0.475*44/12</f>
        <v>36.231335980303832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44.225345634005905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-1.7053025658242404E-13</v>
      </c>
      <c r="EK93" s="17">
        <f>EJ93*VLOOKUP('Données projet'!$B$15,Paramètres!$A$1:$I$89,3,0)*VLOOKUP('Données projet'!$B$15,Paramètres!$A$1:$I$89,5,0)</f>
        <v>-1.6493686416652052E-13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355.72173590705142</v>
      </c>
      <c r="EP93" s="59">
        <f t="shared" si="100"/>
        <v>346.30980704469363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83.645021001264155</v>
      </c>
      <c r="EW93" s="21">
        <f>EXP(-LN(2)/25)*EW92+(1-EXP(-LN(2)/25))/(LN(2)/25)*Calculateur!ER93*Calculateur!ET93*VLOOKUP('Données projet'!$B$15,Paramètres!$A$1:$I$89,3,0)*0.475*44/12</f>
        <v>2.1194662338180654</v>
      </c>
      <c r="EX93" s="21">
        <f>EXP(-LN(2)/2)*EX92+(1-EXP(-LN(2)/2))/(LN(2)/2)*ER93*EU93*VLOOKUP('Données projet'!$B$15,Paramètres!$A$1:$I$89,3,0)*0.475*44/12</f>
        <v>1.5808904321313626</v>
      </c>
      <c r="EY93" s="22">
        <f t="shared" si="75"/>
        <v>87.345377667213583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-1.383341441396624E-13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304.26232113495314</v>
      </c>
      <c r="FK93" s="59">
        <f t="shared" si="102"/>
        <v>297.47246687305056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86.468746391404395</v>
      </c>
      <c r="FR93" s="21">
        <f>EXP(-LN(2)/25)*FR92+(1-EXP(-LN(2)/25))/(LN(2)/25)*Calculateur!FM93*Calculateur!FO93*VLOOKUP('Données projet'!$B$16,Paramètres!$A$1:$I$89,3,0)*0.475*44/12</f>
        <v>2.1910161066776408</v>
      </c>
      <c r="FS93" s="21">
        <f>EXP(-LN(2)/2)*FS92+(1-EXP(-LN(2)/2))/(LN(2)/2)*FM93*FP93*VLOOKUP('Données projet'!$B$16,Paramètres!$A$1:$I$89,3,0)*0.475*44/12</f>
        <v>1.3259081043682408</v>
      </c>
      <c r="FT93" s="22">
        <f t="shared" si="78"/>
        <v>89.98567060245027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3.2</v>
      </c>
      <c r="N94" s="13">
        <f>IF('Données projet'!$A$36&gt;35,N93+M94-V93,IF(A94&lt;'Données projet'!$A$36,$K$205^A94,IF(A94='Données projet'!$A$36,'Données projet'!$B$36,N93+M94-V93)))</f>
        <v>257.19999999999993</v>
      </c>
      <c r="O94" s="13">
        <f>N94*VLOOKUP('Données projet'!$B$9,Paramètres!$A$1:$I$89,3,0)*VLOOKUP('Données projet'!$B$9,Paramètres!$A$1:$I$89,5,0)</f>
        <v>224.68991999999997</v>
      </c>
      <c r="P94" s="13">
        <f t="shared" si="87"/>
        <v>55.132961900876232</v>
      </c>
      <c r="Q94" s="20">
        <f t="shared" si="54"/>
        <v>487.35818597735943</v>
      </c>
      <c r="R94" s="59">
        <f t="shared" si="55"/>
        <v>780.69151931069268</v>
      </c>
      <c r="S94" s="59">
        <f ca="1">AVERAGE(OFFSET($R$3,0,0,'Données projet'!$E$9+1,1))-AVERAGE(OFFSET($H$3,0,0,'Données projet'!$E$9+1,1))</f>
        <v>381.72225529388083</v>
      </c>
      <c r="T94" s="59">
        <f t="shared" si="88"/>
        <v>360.05900046417361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43.854085735438829</v>
      </c>
      <c r="AA94" s="21">
        <f>EXP(-LN(2)/25)*AA93+(1-EXP(-LN(2)/25))/(LN(2)/25)*Calculateur!V94*Calculateur!X94*VLOOKUP('Données projet'!$B$9,Paramètres!$A$1:$I$89,3,0)*0.475*44/12</f>
        <v>9.4671682964046902</v>
      </c>
      <c r="AB94" s="21">
        <f>EXP(-LN(2)/2)*AB93+(1-EXP(-LN(2)/2))/(LN(2)/2)*V94*Y94*VLOOKUP('Données projet'!$B$9,Paramètres!$A$1:$I$89,3,0)*0.475*44/12</f>
        <v>1.039978821326464E-9</v>
      </c>
      <c r="AC94" s="22">
        <f t="shared" si="57"/>
        <v>53.321254032883502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</v>
      </c>
      <c r="AI94" s="13">
        <f>IF('Données projet'!$A$62&gt;35,AI93+AH94-AQ93,IF(A94&lt;'Données projet'!$A$62,$AF$205^A94,IF(A94='Données projet'!$A$62,'Données projet'!$B$62,AI93+AH94-AQ93)))</f>
        <v>428.59999999999997</v>
      </c>
      <c r="AJ94" s="13">
        <f>AI94*VLOOKUP('Données projet'!$B$10,Paramètres!$A$1:$I$89,3,0)*VLOOKUP('Données projet'!$B$10,Paramètres!$A$1:$I$89,5,0)</f>
        <v>314.24951999999996</v>
      </c>
      <c r="AK94" s="13">
        <f t="shared" si="89"/>
        <v>74.155594634888885</v>
      </c>
      <c r="AL94" s="20">
        <f t="shared" si="58"/>
        <v>676.47224132243139</v>
      </c>
      <c r="AM94" s="59">
        <f t="shared" si="59"/>
        <v>969.80557465576476</v>
      </c>
      <c r="AN94" s="59">
        <f ca="1">AVERAGE(OFFSET($AM$3,0,0,'Données projet'!$E$10+1,1))-AVERAGE(OFFSET($H$3,0,0,'Données projet'!$E$10+1,1))</f>
        <v>464.3681853739115</v>
      </c>
      <c r="AO94" s="59">
        <f t="shared" si="90"/>
        <v>272.97841038165217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6.0406410255559013</v>
      </c>
      <c r="AV94" s="21">
        <f>EXP(-LN(2)/25)*AV93+(1-EXP(-LN(2)/25))/(LN(2)/25)*Calculateur!AQ94*Calculateur!AS94*VLOOKUP('Données projet'!$B$10,Paramètres!$A$1:$I$89,3,0)*0.475*44/12</f>
        <v>29.871661980143784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35.912303005699684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-1.3567387213697657E-13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299.10536994156814</v>
      </c>
      <c r="BJ94" s="59">
        <f t="shared" si="92"/>
        <v>292.57799203101769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83.142894188177351</v>
      </c>
      <c r="BQ94" s="21">
        <f>EXP(-LN(2)/25)*BQ93+(1-EXP(-LN(2)/25))/(LN(2)/25)*Calculateur!BL94*Calculateur!BN94*VLOOKUP('Données projet'!$B$11,Paramètres!$A$1:$I$89,3,0)*0.475*44/12</f>
        <v>2.0901199126350098</v>
      </c>
      <c r="BR94" s="21">
        <f>EXP(-LN(2)/2)*BR93+(1-EXP(-LN(2)/2))/(LN(2)/2)*BL94*BO94*VLOOKUP('Données projet'!$B$11,Paramètres!$A$1:$I$89,3,0)*0.475*44/12</f>
        <v>0.91952863852457989</v>
      </c>
      <c r="BS94" s="22">
        <f t="shared" si="63"/>
        <v>86.152542739336937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-1.7053025658242404E-13</v>
      </c>
      <c r="BZ94" s="13">
        <f>BY94*VLOOKUP('Données projet'!$B$12,Paramètres!$A$1:$I$89,3,0)*VLOOKUP('Données projet'!$B$12,Paramètres!$A$1:$I$89,5,0)</f>
        <v>-1.3567387213697657E-13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299.10536994156814</v>
      </c>
      <c r="CE94" s="59">
        <f t="shared" si="94"/>
        <v>292.57799203101769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83.142894188177351</v>
      </c>
      <c r="CL94" s="21">
        <f>EXP(-LN(2)/25)*CL93+(1-EXP(-LN(2)/25))/(LN(2)/25)*Calculateur!CG94*Calculateur!CI94*VLOOKUP('Données projet'!$B$12,Paramètres!$A$1:$I$89,3,0)*0.475*44/12</f>
        <v>2.0901199126350098</v>
      </c>
      <c r="CM94" s="21">
        <f>EXP(-LN(2)/2)*CM93+(1-EXP(-LN(2)/2))/(LN(2)/2)*CG94*CJ94*VLOOKUP('Données projet'!$B$12,Paramètres!$A$1:$I$89,3,0)*0.475*44/12</f>
        <v>0.91952863852457989</v>
      </c>
      <c r="CN94" s="22">
        <f t="shared" si="66"/>
        <v>86.152542739336937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7.333333333333333</v>
      </c>
      <c r="CT94" s="12">
        <f>IF('Données projet'!$A$140&gt;35,CT93+CS94-DB93,IF(A94&lt;'Données projet'!$A$140,$CQ$205^A94,IF(A94='Données projet'!$A$140,'Données projet'!$B$140,CT93+CS94-DB93)))</f>
        <v>301.33333333333309</v>
      </c>
      <c r="CU94" s="17">
        <f>CT94*VLOOKUP('Données projet'!$B$13,Paramètres!$A$1:$I$89,3,0)*VLOOKUP('Données projet'!$B$13,Paramètres!$A$1:$I$89,5,0)</f>
        <v>272.64639999999974</v>
      </c>
      <c r="CV94" s="13">
        <f t="shared" si="95"/>
        <v>65.41058293969752</v>
      </c>
      <c r="CW94" s="20">
        <f t="shared" si="67"/>
        <v>588.7825786199727</v>
      </c>
      <c r="CX94" s="59">
        <f t="shared" si="68"/>
        <v>882.11591195330607</v>
      </c>
      <c r="CY94" s="59">
        <f ca="1">AVERAGE(OFFSET($CX$3,0,0,'Données projet'!$E$13+1,1))-AVERAGE(OFFSET($H$3,0,0,'Données projet'!$E$13+1,1))</f>
        <v>528.15559695545812</v>
      </c>
      <c r="CZ94" s="59">
        <f t="shared" si="96"/>
        <v>276.26988364830532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6.9932402463835368</v>
      </c>
      <c r="DG94" s="21">
        <f>EXP(-LN(2)/25)*DG93+(1-EXP(-LN(2)/25))/(LN(2)/25)*Calculateur!DB94*Calculateur!DD94*VLOOKUP('Données projet'!$B$13,Paramètres!$A$1:$I$89,3,0)*0.475*44/12</f>
        <v>31.445447925703956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38.438688172087495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7.333333333333333</v>
      </c>
      <c r="DO94" s="12">
        <f>IF('Données projet'!$A$166&gt;35,DO93+DN94-DW93,IF(A94&lt;'Données projet'!$A$166,$DL$205^A94,IF(A94='Données projet'!$A$166,'Données projet'!$B$166,DO93+DN94-DW93)))</f>
        <v>301.33333333333309</v>
      </c>
      <c r="DP94" s="17">
        <f>DO94*VLOOKUP('Données projet'!$B$14,Paramètres!$A$1:$I$89,3,0)*VLOOKUP('Données projet'!$B$14,Paramètres!$A$1:$I$89,5,0)</f>
        <v>305.55199999999974</v>
      </c>
      <c r="DQ94" s="13">
        <f t="shared" si="97"/>
        <v>72.339130844371653</v>
      </c>
      <c r="DR94" s="20">
        <f t="shared" si="70"/>
        <v>658.16038622061342</v>
      </c>
      <c r="DS94" s="59">
        <f t="shared" si="71"/>
        <v>951.49371955394668</v>
      </c>
      <c r="DT94" s="59">
        <f ca="1">AVERAGE(OFFSET($DS$3,0,0,'Données projet'!$E$14+1,1))-AVERAGE(OFFSET($H$3,0,0,'Données projet'!$E$14+1,1))</f>
        <v>586.50020405958992</v>
      </c>
      <c r="DU94" s="59">
        <f t="shared" si="98"/>
        <v>304.44184537595294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7.8372520002574122</v>
      </c>
      <c r="EB94" s="21">
        <f>EXP(-LN(2)/25)*EB93+(1-EXP(-LN(2)/25))/(LN(2)/25)*Calculateur!DW94*Calculateur!DY94*VLOOKUP('Données projet'!$B$14,Paramètres!$A$1:$I$89,3,0)*0.475*44/12</f>
        <v>35.240588192599276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43.077840192856691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-1.7053025658242404E-13</v>
      </c>
      <c r="EK94" s="17">
        <f>EJ94*VLOOKUP('Données projet'!$B$15,Paramètres!$A$1:$I$89,3,0)*VLOOKUP('Données projet'!$B$15,Paramètres!$A$1:$I$89,5,0)</f>
        <v>-1.6493686416652052E-13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355.72173590705142</v>
      </c>
      <c r="EP94" s="59">
        <f t="shared" si="100"/>
        <v>346.30980704469363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82.004793157854522</v>
      </c>
      <c r="EW94" s="21">
        <f>EXP(-LN(2)/25)*EW93+(1-EXP(-LN(2)/25))/(LN(2)/25)*Calculateur!ER94*Calculateur!ET94*VLOOKUP('Données projet'!$B$15,Paramètres!$A$1:$I$89,3,0)*0.475*44/12</f>
        <v>2.0615093181964252</v>
      </c>
      <c r="EX94" s="21">
        <f>EXP(-LN(2)/2)*EX93+(1-EXP(-LN(2)/2))/(LN(2)/2)*ER94*EU94*VLOOKUP('Données projet'!$B$15,Paramètres!$A$1:$I$89,3,0)*0.475*44/12</f>
        <v>1.1178583448730179</v>
      </c>
      <c r="EY94" s="22">
        <f t="shared" si="75"/>
        <v>85.184160820923964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-1.383341441396624E-13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304.26232113495314</v>
      </c>
      <c r="FK94" s="59">
        <f t="shared" si="102"/>
        <v>297.47246687305056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84.773147015396532</v>
      </c>
      <c r="FR94" s="21">
        <f>EXP(-LN(2)/25)*FR93+(1-EXP(-LN(2)/25))/(LN(2)/25)*Calculateur!FM94*Calculateur!FO94*VLOOKUP('Données projet'!$B$16,Paramètres!$A$1:$I$89,3,0)*0.475*44/12</f>
        <v>2.1311026560200115</v>
      </c>
      <c r="FS94" s="21">
        <f>EXP(-LN(2)/2)*FS93+(1-EXP(-LN(2)/2))/(LN(2)/2)*FM94*FP94*VLOOKUP('Données projet'!$B$16,Paramètres!$A$1:$I$89,3,0)*0.475*44/12</f>
        <v>0.9375586118289837</v>
      </c>
      <c r="FT94" s="22">
        <f t="shared" si="78"/>
        <v>87.841808283245527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3.2</v>
      </c>
      <c r="N95" s="13">
        <f>IF('Données projet'!$A$36&gt;35,N94+M95-V94,IF(A95&lt;'Données projet'!$A$36,$K$205^A95,IF(A95='Données projet'!$A$36,'Données projet'!$B$36,N94+M95-V94)))</f>
        <v>260.39999999999992</v>
      </c>
      <c r="O95" s="13">
        <f>N95*VLOOKUP('Données projet'!$B$9,Paramètres!$A$1:$I$89,3,0)*VLOOKUP('Données projet'!$B$9,Paramètres!$A$1:$I$89,5,0)</f>
        <v>227.48543999999993</v>
      </c>
      <c r="P95" s="13">
        <f t="shared" si="87"/>
        <v>55.738627496252377</v>
      </c>
      <c r="Q95" s="20">
        <f t="shared" si="54"/>
        <v>493.28191755597277</v>
      </c>
      <c r="R95" s="59">
        <f t="shared" si="55"/>
        <v>786.61525088930603</v>
      </c>
      <c r="S95" s="59">
        <f ca="1">AVERAGE(OFFSET($R$3,0,0,'Données projet'!$E$9+1,1))-AVERAGE(OFFSET($H$3,0,0,'Données projet'!$E$9+1,1))</f>
        <v>381.72225529388083</v>
      </c>
      <c r="T95" s="59">
        <f t="shared" si="88"/>
        <v>360.05900046417361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42.994133862517991</v>
      </c>
      <c r="AA95" s="21">
        <f>EXP(-LN(2)/25)*AA94+(1-EXP(-LN(2)/25))/(LN(2)/25)*Calculateur!V95*Calculateur!X95*VLOOKUP('Données projet'!$B$9,Paramètres!$A$1:$I$89,3,0)*0.475*44/12</f>
        <v>9.2082880814827615</v>
      </c>
      <c r="AB95" s="21">
        <f>EXP(-LN(2)/2)*AB94+(1-EXP(-LN(2)/2))/(LN(2)/2)*V95*Y95*VLOOKUP('Données projet'!$B$9,Paramètres!$A$1:$I$89,3,0)*0.475*44/12</f>
        <v>7.353760768503356E-10</v>
      </c>
      <c r="AC95" s="22">
        <f t="shared" si="57"/>
        <v>52.20242194473613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</v>
      </c>
      <c r="AI95" s="13">
        <f>IF('Données projet'!$A$62&gt;35,AI94+AH95-AQ94,IF(A95&lt;'Données projet'!$A$62,$AF$205^A95,IF(A95='Données projet'!$A$62,'Données projet'!$B$62,AI94+AH95-AQ94)))</f>
        <v>437.2</v>
      </c>
      <c r="AJ95" s="13">
        <f>AI95*VLOOKUP('Données projet'!$B$10,Paramètres!$A$1:$I$89,3,0)*VLOOKUP('Données projet'!$B$10,Paramètres!$A$1:$I$89,5,0)</f>
        <v>320.55503999999996</v>
      </c>
      <c r="AK95" s="13">
        <f t="shared" si="89"/>
        <v>75.468828878498272</v>
      </c>
      <c r="AL95" s="20">
        <f t="shared" si="58"/>
        <v>689.741571630051</v>
      </c>
      <c r="AM95" s="59">
        <f t="shared" si="59"/>
        <v>983.07490496338437</v>
      </c>
      <c r="AN95" s="59">
        <f ca="1">AVERAGE(OFFSET($AM$3,0,0,'Données projet'!$E$10+1,1))-AVERAGE(OFFSET($H$3,0,0,'Données projet'!$E$10+1,1))</f>
        <v>464.3681853739115</v>
      </c>
      <c r="AO95" s="59">
        <f t="shared" si="90"/>
        <v>272.97841038165217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5.9221877394719691</v>
      </c>
      <c r="AV95" s="21">
        <f>EXP(-LN(2)/25)*AV94+(1-EXP(-LN(2)/25))/(LN(2)/25)*Calculateur!AQ95*Calculateur!AS95*VLOOKUP('Données projet'!$B$10,Paramètres!$A$1:$I$89,3,0)*0.475*44/12</f>
        <v>29.054819812414323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34.977007551886288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-1.3567387213697657E-13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299.10536994156814</v>
      </c>
      <c r="BJ95" s="59">
        <f t="shared" si="92"/>
        <v>292.57799203101769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81.512512745305244</v>
      </c>
      <c r="BQ95" s="21">
        <f>EXP(-LN(2)/25)*BQ94+(1-EXP(-LN(2)/25))/(LN(2)/25)*Calculateur!BL95*Calculateur!BN95*VLOOKUP('Données projet'!$B$11,Paramètres!$A$1:$I$89,3,0)*0.475*44/12</f>
        <v>2.0329654737093765</v>
      </c>
      <c r="BR95" s="21">
        <f>EXP(-LN(2)/2)*BR94+(1-EXP(-LN(2)/2))/(LN(2)/2)*BL95*BO95*VLOOKUP('Données projet'!$B$11,Paramètres!$A$1:$I$89,3,0)*0.475*44/12</f>
        <v>0.65020493579596406</v>
      </c>
      <c r="BS95" s="22">
        <f t="shared" si="63"/>
        <v>84.195683154810595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-1.7053025658242404E-13</v>
      </c>
      <c r="BZ95" s="13">
        <f>BY95*VLOOKUP('Données projet'!$B$12,Paramètres!$A$1:$I$89,3,0)*VLOOKUP('Données projet'!$B$12,Paramètres!$A$1:$I$89,5,0)</f>
        <v>-1.3567387213697657E-13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299.10536994156814</v>
      </c>
      <c r="CE95" s="59">
        <f t="shared" si="94"/>
        <v>292.57799203101769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81.512512745305244</v>
      </c>
      <c r="CL95" s="21">
        <f>EXP(-LN(2)/25)*CL94+(1-EXP(-LN(2)/25))/(LN(2)/25)*Calculateur!CG95*Calculateur!CI95*VLOOKUP('Données projet'!$B$12,Paramètres!$A$1:$I$89,3,0)*0.475*44/12</f>
        <v>2.0329654737093765</v>
      </c>
      <c r="CM95" s="21">
        <f>EXP(-LN(2)/2)*CM94+(1-EXP(-LN(2)/2))/(LN(2)/2)*CG95*CJ95*VLOOKUP('Données projet'!$B$12,Paramètres!$A$1:$I$89,3,0)*0.475*44/12</f>
        <v>0.65020493579596406</v>
      </c>
      <c r="CN95" s="22">
        <f t="shared" si="66"/>
        <v>84.195683154810595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7.333333333333333</v>
      </c>
      <c r="CT95" s="12">
        <f>IF('Données projet'!$A$140&gt;35,CT94+CS95-DB94,IF(A95&lt;'Données projet'!$A$140,$CQ$205^A95,IF(A95='Données projet'!$A$140,'Données projet'!$B$140,CT94+CS95-DB94)))</f>
        <v>308.6666666666664</v>
      </c>
      <c r="CU95" s="17">
        <f>CT95*VLOOKUP('Données projet'!$B$13,Paramètres!$A$1:$I$89,3,0)*VLOOKUP('Données projet'!$B$13,Paramètres!$A$1:$I$89,5,0)</f>
        <v>279.28159999999974</v>
      </c>
      <c r="CV95" s="13">
        <f t="shared" si="95"/>
        <v>66.815167617634344</v>
      </c>
      <c r="CW95" s="20">
        <f t="shared" si="67"/>
        <v>602.78520360071263</v>
      </c>
      <c r="CX95" s="59">
        <f t="shared" si="68"/>
        <v>896.11853693404601</v>
      </c>
      <c r="CY95" s="59">
        <f ca="1">AVERAGE(OFFSET($CX$3,0,0,'Données projet'!$E$13+1,1))-AVERAGE(OFFSET($H$3,0,0,'Données projet'!$E$13+1,1))</f>
        <v>528.15559695545812</v>
      </c>
      <c r="CZ95" s="59">
        <f t="shared" si="96"/>
        <v>276.26988364830532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6.8561070706073268</v>
      </c>
      <c r="DG95" s="21">
        <f>EXP(-LN(2)/25)*DG94+(1-EXP(-LN(2)/25))/(LN(2)/25)*Calculateur!DB95*Calculateur!DD95*VLOOKUP('Données projet'!$B$13,Paramètres!$A$1:$I$89,3,0)*0.475*44/12</f>
        <v>30.585570498531343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37.441677569138669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7.333333333333333</v>
      </c>
      <c r="DO95" s="12">
        <f>IF('Données projet'!$A$166&gt;35,DO94+DN95-DW94,IF(A95&lt;'Données projet'!$A$166,$DL$205^A95,IF(A95='Données projet'!$A$166,'Données projet'!$B$166,DO94+DN95-DW94)))</f>
        <v>308.6666666666664</v>
      </c>
      <c r="DP95" s="17">
        <f>DO95*VLOOKUP('Données projet'!$B$14,Paramètres!$A$1:$I$89,3,0)*VLOOKUP('Données projet'!$B$14,Paramètres!$A$1:$I$89,5,0)</f>
        <v>312.98799999999972</v>
      </c>
      <c r="DQ95" s="13">
        <f t="shared" si="97"/>
        <v>73.892494692129191</v>
      </c>
      <c r="DR95" s="20">
        <f t="shared" si="70"/>
        <v>673.81686158879108</v>
      </c>
      <c r="DS95" s="59">
        <f t="shared" si="71"/>
        <v>967.15019492212446</v>
      </c>
      <c r="DT95" s="59">
        <f ca="1">AVERAGE(OFFSET($DS$3,0,0,'Données projet'!$E$14+1,1))-AVERAGE(OFFSET($H$3,0,0,'Données projet'!$E$14+1,1))</f>
        <v>586.50020405958992</v>
      </c>
      <c r="DU95" s="59">
        <f t="shared" si="98"/>
        <v>304.44184537595294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7.6835682687840743</v>
      </c>
      <c r="EB95" s="21">
        <f>EXP(-LN(2)/25)*EB94+(1-EXP(-LN(2)/25))/(LN(2)/25)*Calculateur!DW95*Calculateur!DY95*VLOOKUP('Données projet'!$B$14,Paramètres!$A$1:$I$89,3,0)*0.475*44/12</f>
        <v>34.276932455250659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41.960500724034731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-1.7053025658242404E-13</v>
      </c>
      <c r="EK95" s="17">
        <f>EJ95*VLOOKUP('Données projet'!$B$15,Paramètres!$A$1:$I$89,3,0)*VLOOKUP('Données projet'!$B$15,Paramètres!$A$1:$I$89,5,0)</f>
        <v>-1.6493686416652052E-13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355.72173590705142</v>
      </c>
      <c r="EP95" s="59">
        <f t="shared" si="100"/>
        <v>346.30980704469363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80.396729182013956</v>
      </c>
      <c r="EW95" s="21">
        <f>EXP(-LN(2)/25)*EW94+(1-EXP(-LN(2)/25))/(LN(2)/25)*Calculateur!ER95*Calculateur!ET95*VLOOKUP('Données projet'!$B$15,Paramètres!$A$1:$I$89,3,0)*0.475*44/12</f>
        <v>2.0051372374802807</v>
      </c>
      <c r="EX95" s="21">
        <f>EXP(-LN(2)/2)*EX94+(1-EXP(-LN(2)/2))/(LN(2)/2)*ER95*EU95*VLOOKUP('Données projet'!$B$15,Paramètres!$A$1:$I$89,3,0)*0.475*44/12</f>
        <v>0.7904452160656813</v>
      </c>
      <c r="EY95" s="22">
        <f t="shared" si="75"/>
        <v>83.192311635559918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-1.383341441396624E-13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304.26232113495314</v>
      </c>
      <c r="FK95" s="59">
        <f t="shared" si="102"/>
        <v>297.47246687305056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83.110797308938686</v>
      </c>
      <c r="FR95" s="21">
        <f>EXP(-LN(2)/25)*FR94+(1-EXP(-LN(2)/25))/(LN(2)/25)*Calculateur!FM95*Calculateur!FO95*VLOOKUP('Données projet'!$B$16,Paramètres!$A$1:$I$89,3,0)*0.475*44/12</f>
        <v>2.0728275418213262</v>
      </c>
      <c r="FS95" s="21">
        <f>EXP(-LN(2)/2)*FS94+(1-EXP(-LN(2)/2))/(LN(2)/2)*FM95*FP95*VLOOKUP('Données projet'!$B$16,Paramètres!$A$1:$I$89,3,0)*0.475*44/12</f>
        <v>0.66295405218412051</v>
      </c>
      <c r="FT95" s="22">
        <f t="shared" si="78"/>
        <v>85.846578902944131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3.2</v>
      </c>
      <c r="N96" s="13">
        <f>IF('Données projet'!$A$36&gt;35,N95+M96-V95,IF(A96&lt;'Données projet'!$A$36,$K$205^A96,IF(A96='Données projet'!$A$36,'Données projet'!$B$36,N95+M96-V95)))</f>
        <v>263.59999999999991</v>
      </c>
      <c r="O96" s="13">
        <f>N96*VLOOKUP('Données projet'!$B$9,Paramètres!$A$1:$I$89,3,0)*VLOOKUP('Données projet'!$B$9,Paramètres!$A$1:$I$89,5,0)</f>
        <v>230.28095999999994</v>
      </c>
      <c r="P96" s="13">
        <f t="shared" si="87"/>
        <v>56.343427334913351</v>
      </c>
      <c r="Q96" s="20">
        <f t="shared" si="54"/>
        <v>499.20414127497389</v>
      </c>
      <c r="R96" s="59">
        <f t="shared" si="55"/>
        <v>792.53747460830721</v>
      </c>
      <c r="S96" s="59">
        <f ca="1">AVERAGE(OFFSET($R$3,0,0,'Données projet'!$E$9+1,1))-AVERAGE(OFFSET($H$3,0,0,'Données projet'!$E$9+1,1))</f>
        <v>381.72225529388083</v>
      </c>
      <c r="T96" s="59">
        <f t="shared" si="88"/>
        <v>360.05900046417361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42.151045121306282</v>
      </c>
      <c r="AA96" s="21">
        <f>EXP(-LN(2)/25)*AA95+(1-EXP(-LN(2)/25))/(LN(2)/25)*Calculateur!V96*Calculateur!X96*VLOOKUP('Données projet'!$B$9,Paramètres!$A$1:$I$89,3,0)*0.475*44/12</f>
        <v>8.9564869596517909</v>
      </c>
      <c r="AB96" s="21">
        <f>EXP(-LN(2)/2)*AB95+(1-EXP(-LN(2)/2))/(LN(2)/2)*V96*Y96*VLOOKUP('Données projet'!$B$9,Paramètres!$A$1:$I$89,3,0)*0.475*44/12</f>
        <v>5.1998941066323201E-10</v>
      </c>
      <c r="AC96" s="22">
        <f t="shared" si="57"/>
        <v>51.107532081478062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</v>
      </c>
      <c r="AI96" s="13">
        <f>IF('Données projet'!$A$62&gt;35,AI95+AH96-AQ95,IF(A96&lt;'Données projet'!$A$62,$AF$205^A96,IF(A96='Données projet'!$A$62,'Données projet'!$B$62,AI95+AH96-AQ95)))</f>
        <v>445.8</v>
      </c>
      <c r="AJ96" s="13">
        <f>AI96*VLOOKUP('Données projet'!$B$10,Paramètres!$A$1:$I$89,3,0)*VLOOKUP('Données projet'!$B$10,Paramètres!$A$1:$I$89,5,0)</f>
        <v>326.86055999999996</v>
      </c>
      <c r="AK96" s="13">
        <f t="shared" si="89"/>
        <v>76.779059495206354</v>
      </c>
      <c r="AL96" s="20">
        <f t="shared" si="58"/>
        <v>703.00567062081757</v>
      </c>
      <c r="AM96" s="59">
        <f t="shared" si="59"/>
        <v>996.33900395415094</v>
      </c>
      <c r="AN96" s="59">
        <f ca="1">AVERAGE(OFFSET($AM$3,0,0,'Données projet'!$E$10+1,1))-AVERAGE(OFFSET($H$3,0,0,'Données projet'!$E$10+1,1))</f>
        <v>464.3681853739115</v>
      </c>
      <c r="AO96" s="59">
        <f t="shared" si="90"/>
        <v>272.97841038165217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5.8060572500787719</v>
      </c>
      <c r="AV96" s="21">
        <f>EXP(-LN(2)/25)*AV95+(1-EXP(-LN(2)/25))/(LN(2)/25)*Calculateur!AQ96*Calculateur!AS96*VLOOKUP('Données projet'!$B$10,Paramètres!$A$1:$I$89,3,0)*0.475*44/12</f>
        <v>28.260314236717285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34.066371486796058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-1.3567387213697657E-13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299.10536994156814</v>
      </c>
      <c r="BJ96" s="59">
        <f t="shared" si="92"/>
        <v>292.57799203101769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79.914102088093372</v>
      </c>
      <c r="BQ96" s="21">
        <f>EXP(-LN(2)/25)*BQ95+(1-EXP(-LN(2)/25))/(LN(2)/25)*Calculateur!BL96*Calculateur!BN96*VLOOKUP('Données projet'!$B$11,Paramètres!$A$1:$I$89,3,0)*0.475*44/12</f>
        <v>1.9773739259217857</v>
      </c>
      <c r="BR96" s="21">
        <f>EXP(-LN(2)/2)*BR95+(1-EXP(-LN(2)/2))/(LN(2)/2)*BL96*BO96*VLOOKUP('Données projet'!$B$11,Paramètres!$A$1:$I$89,3,0)*0.475*44/12</f>
        <v>0.45976431926228994</v>
      </c>
      <c r="BS96" s="22">
        <f t="shared" si="63"/>
        <v>82.351240333277445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-1.7053025658242404E-13</v>
      </c>
      <c r="BZ96" s="13">
        <f>BY96*VLOOKUP('Données projet'!$B$12,Paramètres!$A$1:$I$89,3,0)*VLOOKUP('Données projet'!$B$12,Paramètres!$A$1:$I$89,5,0)</f>
        <v>-1.3567387213697657E-13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299.10536994156814</v>
      </c>
      <c r="CE96" s="59">
        <f t="shared" si="94"/>
        <v>292.57799203101769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79.914102088093372</v>
      </c>
      <c r="CL96" s="21">
        <f>EXP(-LN(2)/25)*CL95+(1-EXP(-LN(2)/25))/(LN(2)/25)*Calculateur!CG96*Calculateur!CI96*VLOOKUP('Données projet'!$B$12,Paramètres!$A$1:$I$89,3,0)*0.475*44/12</f>
        <v>1.9773739259217857</v>
      </c>
      <c r="CM96" s="21">
        <f>EXP(-LN(2)/2)*CM95+(1-EXP(-LN(2)/2))/(LN(2)/2)*CG96*CJ96*VLOOKUP('Données projet'!$B$12,Paramètres!$A$1:$I$89,3,0)*0.475*44/12</f>
        <v>0.45976431926228994</v>
      </c>
      <c r="CN96" s="22">
        <f t="shared" si="66"/>
        <v>82.351240333277445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7.333333333333333</v>
      </c>
      <c r="CT96" s="12">
        <f>IF('Données projet'!$A$140&gt;35,CT95+CS96-DB95,IF(A96&lt;'Données projet'!$A$140,$CQ$205^A96,IF(A96='Données projet'!$A$140,'Données projet'!$B$140,CT95+CS96-DB95)))</f>
        <v>315.99999999999972</v>
      </c>
      <c r="CU96" s="17">
        <f>CT96*VLOOKUP('Données projet'!$B$13,Paramètres!$A$1:$I$89,3,0)*VLOOKUP('Données projet'!$B$13,Paramètres!$A$1:$I$89,5,0)</f>
        <v>285.91679999999974</v>
      </c>
      <c r="CV96" s="13">
        <f t="shared" si="95"/>
        <v>68.215872977287475</v>
      </c>
      <c r="CW96" s="20">
        <f t="shared" si="67"/>
        <v>616.7810721021084</v>
      </c>
      <c r="CX96" s="59">
        <f t="shared" si="68"/>
        <v>910.11440543544177</v>
      </c>
      <c r="CY96" s="59">
        <f ca="1">AVERAGE(OFFSET($CX$3,0,0,'Données projet'!$E$13+1,1))-AVERAGE(OFFSET($H$3,0,0,'Données projet'!$E$13+1,1))</f>
        <v>528.15559695545812</v>
      </c>
      <c r="CZ96" s="59">
        <f t="shared" si="96"/>
        <v>276.26988364830532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6.7216629927651104</v>
      </c>
      <c r="DG96" s="21">
        <f>EXP(-LN(2)/25)*DG95+(1-EXP(-LN(2)/25))/(LN(2)/25)*Calculateur!DB96*Calculateur!DD96*VLOOKUP('Données projet'!$B$13,Paramètres!$A$1:$I$89,3,0)*0.475*44/12</f>
        <v>29.749206464823754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36.470869457588861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7.333333333333333</v>
      </c>
      <c r="DO96" s="12">
        <f>IF('Données projet'!$A$166&gt;35,DO95+DN96-DW95,IF(A96&lt;'Données projet'!$A$166,$DL$205^A96,IF(A96='Données projet'!$A$166,'Données projet'!$B$166,DO95+DN96-DW95)))</f>
        <v>315.99999999999972</v>
      </c>
      <c r="DP96" s="17">
        <f>DO96*VLOOKUP('Données projet'!$B$14,Paramètres!$A$1:$I$89,3,0)*VLOOKUP('Données projet'!$B$14,Paramètres!$A$1:$I$89,5,0)</f>
        <v>320.42399999999975</v>
      </c>
      <c r="DQ96" s="13">
        <f t="shared" si="97"/>
        <v>75.441568308852254</v>
      </c>
      <c r="DR96" s="20">
        <f t="shared" si="70"/>
        <v>689.46586480458382</v>
      </c>
      <c r="DS96" s="59">
        <f t="shared" si="71"/>
        <v>982.79919813791707</v>
      </c>
      <c r="DT96" s="59">
        <f ca="1">AVERAGE(OFFSET($DS$3,0,0,'Données projet'!$E$14+1,1))-AVERAGE(OFFSET($H$3,0,0,'Données projet'!$E$14+1,1))</f>
        <v>586.50020405958992</v>
      </c>
      <c r="DU96" s="59">
        <f t="shared" si="98"/>
        <v>304.44184537595294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7.5328981815471074</v>
      </c>
      <c r="EB96" s="21">
        <f>EXP(-LN(2)/25)*EB95+(1-EXP(-LN(2)/25))/(LN(2)/25)*Calculateur!DW96*Calculateur!DY96*VLOOKUP('Données projet'!$B$14,Paramètres!$A$1:$I$89,3,0)*0.475*44/12</f>
        <v>33.33962793471629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40.872526116263401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-1.7053025658242404E-13</v>
      </c>
      <c r="EK96" s="17">
        <f>EJ96*VLOOKUP('Données projet'!$B$15,Paramètres!$A$1:$I$89,3,0)*VLOOKUP('Données projet'!$B$15,Paramètres!$A$1:$I$89,5,0)</f>
        <v>-1.6493686416652052E-13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355.72173590705142</v>
      </c>
      <c r="EP96" s="59">
        <f t="shared" si="100"/>
        <v>346.30980704469363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78.820198359917441</v>
      </c>
      <c r="EW96" s="21">
        <f>EXP(-LN(2)/25)*EW95+(1-EXP(-LN(2)/25))/(LN(2)/25)*Calculateur!ER96*Calculateur!ET96*VLOOKUP('Données projet'!$B$15,Paramètres!$A$1:$I$89,3,0)*0.475*44/12</f>
        <v>1.9503066542757979</v>
      </c>
      <c r="EX96" s="21">
        <f>EXP(-LN(2)/2)*EX95+(1-EXP(-LN(2)/2))/(LN(2)/2)*ER96*EU96*VLOOKUP('Données projet'!$B$15,Paramètres!$A$1:$I$89,3,0)*0.475*44/12</f>
        <v>0.55892917243650897</v>
      </c>
      <c r="EY96" s="22">
        <f t="shared" si="75"/>
        <v>81.32943418662974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-1.383341441396624E-13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304.26232113495314</v>
      </c>
      <c r="FK96" s="59">
        <f t="shared" si="102"/>
        <v>297.47246687305056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81.481045266291275</v>
      </c>
      <c r="FR96" s="21">
        <f>EXP(-LN(2)/25)*FR95+(1-EXP(-LN(2)/25))/(LN(2)/25)*Calculateur!FM96*Calculateur!FO96*VLOOKUP('Données projet'!$B$16,Paramètres!$A$1:$I$89,3,0)*0.475*44/12</f>
        <v>2.0161459636849592</v>
      </c>
      <c r="FS96" s="21">
        <f>EXP(-LN(2)/2)*FS95+(1-EXP(-LN(2)/2))/(LN(2)/2)*FM96*FP96*VLOOKUP('Données projet'!$B$16,Paramètres!$A$1:$I$89,3,0)*0.475*44/12</f>
        <v>0.46877930591449196</v>
      </c>
      <c r="FT96" s="22">
        <f t="shared" si="78"/>
        <v>83.965970535890733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3.2</v>
      </c>
      <c r="N97" s="13">
        <f>IF('Données projet'!$A$36&gt;35,N96+M97-V96,IF(A97&lt;'Données projet'!$A$36,$K$205^A97,IF(A97='Données projet'!$A$36,'Données projet'!$B$36,N96+M97-V96)))</f>
        <v>266.7999999999999</v>
      </c>
      <c r="O97" s="13">
        <f>N97*VLOOKUP('Données projet'!$B$9,Paramètres!$A$1:$I$89,3,0)*VLOOKUP('Données projet'!$B$9,Paramètres!$A$1:$I$89,5,0)</f>
        <v>233.07647999999995</v>
      </c>
      <c r="P97" s="13">
        <f t="shared" si="87"/>
        <v>56.947373142454879</v>
      </c>
      <c r="Q97" s="20">
        <f t="shared" si="54"/>
        <v>505.12487755644207</v>
      </c>
      <c r="R97" s="59">
        <f t="shared" si="55"/>
        <v>798.45821088977539</v>
      </c>
      <c r="S97" s="59">
        <f ca="1">AVERAGE(OFFSET($R$3,0,0,'Données projet'!$E$9+1,1))-AVERAGE(OFFSET($H$3,0,0,'Données projet'!$E$9+1,1))</f>
        <v>381.72225529388083</v>
      </c>
      <c r="T97" s="59">
        <f t="shared" si="88"/>
        <v>360.05900046417361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41.324488836076377</v>
      </c>
      <c r="AA97" s="21">
        <f>EXP(-LN(2)/25)*AA96+(1-EXP(-LN(2)/25))/(LN(2)/25)*Calculateur!V97*Calculateur!X97*VLOOKUP('Données projet'!$B$9,Paramètres!$A$1:$I$89,3,0)*0.475*44/12</f>
        <v>8.7115713527389342</v>
      </c>
      <c r="AB97" s="21">
        <f>EXP(-LN(2)/2)*AB96+(1-EXP(-LN(2)/2))/(LN(2)/2)*V97*Y97*VLOOKUP('Données projet'!$B$9,Paramètres!$A$1:$I$89,3,0)*0.475*44/12</f>
        <v>3.676880384251678E-10</v>
      </c>
      <c r="AC97" s="22">
        <f t="shared" si="57"/>
        <v>50.036060189182997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8.6</v>
      </c>
      <c r="AI97" s="13">
        <f>IF('Données projet'!$A$62&gt;35,AI96+AH97-AQ96,IF(A97&lt;'Données projet'!$A$62,$AF$205^A97,IF(A97='Données projet'!$A$62,'Données projet'!$B$62,AI96+AH97-AQ96)))</f>
        <v>454.40000000000003</v>
      </c>
      <c r="AJ97" s="13">
        <f>AI97*VLOOKUP('Données projet'!$B$10,Paramètres!$A$1:$I$89,3,0)*VLOOKUP('Données projet'!$B$10,Paramètres!$A$1:$I$89,5,0)</f>
        <v>333.16608000000002</v>
      </c>
      <c r="AK97" s="13">
        <f t="shared" si="89"/>
        <v>78.086351108597128</v>
      </c>
      <c r="AL97" s="20">
        <f t="shared" si="58"/>
        <v>716.26465084747326</v>
      </c>
      <c r="AM97" s="59">
        <f t="shared" si="59"/>
        <v>1009.5979841808066</v>
      </c>
      <c r="AN97" s="59">
        <f ca="1">AVERAGE(OFFSET($AM$3,0,0,'Données projet'!$E$10+1,1))-AVERAGE(OFFSET($H$3,0,0,'Données projet'!$E$10+1,1))</f>
        <v>464.3681853739115</v>
      </c>
      <c r="AO97" s="59">
        <f t="shared" si="90"/>
        <v>272.97841038165217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5.6922040087499708</v>
      </c>
      <c r="AV97" s="21">
        <f>EXP(-LN(2)/25)*AV96+(1-EXP(-LN(2)/25))/(LN(2)/25)*Calculateur!AQ97*Calculateur!AS97*VLOOKUP('Données projet'!$B$10,Paramètres!$A$1:$I$89,3,0)*0.475*44/12</f>
        <v>27.487534457768916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33.179738466518884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-1.3567387213697657E-13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299.10536994156814</v>
      </c>
      <c r="BJ97" s="59">
        <f t="shared" si="92"/>
        <v>292.57799203101769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78.347035288935189</v>
      </c>
      <c r="BQ97" s="21">
        <f>EXP(-LN(2)/25)*BQ96+(1-EXP(-LN(2)/25))/(LN(2)/25)*Calculateur!BL97*Calculateur!BN97*VLOOKUP('Données projet'!$B$11,Paramètres!$A$1:$I$89,3,0)*0.475*44/12</f>
        <v>1.9233025319318791</v>
      </c>
      <c r="BR97" s="21">
        <f>EXP(-LN(2)/2)*BR96+(1-EXP(-LN(2)/2))/(LN(2)/2)*BL97*BO97*VLOOKUP('Données projet'!$B$11,Paramètres!$A$1:$I$89,3,0)*0.475*44/12</f>
        <v>0.32510246789798203</v>
      </c>
      <c r="BS97" s="22">
        <f t="shared" si="63"/>
        <v>80.595440288765047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-1.7053025658242404E-13</v>
      </c>
      <c r="BZ97" s="13">
        <f>BY97*VLOOKUP('Données projet'!$B$12,Paramètres!$A$1:$I$89,3,0)*VLOOKUP('Données projet'!$B$12,Paramètres!$A$1:$I$89,5,0)</f>
        <v>-1.3567387213697657E-13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299.10536994156814</v>
      </c>
      <c r="CE97" s="59">
        <f t="shared" si="94"/>
        <v>292.57799203101769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78.347035288935189</v>
      </c>
      <c r="CL97" s="21">
        <f>EXP(-LN(2)/25)*CL96+(1-EXP(-LN(2)/25))/(LN(2)/25)*Calculateur!CG97*Calculateur!CI97*VLOOKUP('Données projet'!$B$12,Paramètres!$A$1:$I$89,3,0)*0.475*44/12</f>
        <v>1.9233025319318791</v>
      </c>
      <c r="CM97" s="21">
        <f>EXP(-LN(2)/2)*CM96+(1-EXP(-LN(2)/2))/(LN(2)/2)*CG97*CJ97*VLOOKUP('Données projet'!$B$12,Paramètres!$A$1:$I$89,3,0)*0.475*44/12</f>
        <v>0.32510246789798203</v>
      </c>
      <c r="CN97" s="22">
        <f t="shared" si="66"/>
        <v>80.595440288765047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7.333333333333333</v>
      </c>
      <c r="CT97" s="12">
        <f>IF('Données projet'!$A$140&gt;35,CT96+CS97-DB96,IF(A97&lt;'Données projet'!$A$140,$CQ$205^A97,IF(A97='Données projet'!$A$140,'Données projet'!$B$140,CT96+CS97-DB96)))</f>
        <v>323.33333333333303</v>
      </c>
      <c r="CU97" s="17">
        <f>CT97*VLOOKUP('Données projet'!$B$13,Paramètres!$A$1:$I$89,3,0)*VLOOKUP('Données projet'!$B$13,Paramètres!$A$1:$I$89,5,0)</f>
        <v>292.55199999999968</v>
      </c>
      <c r="CV97" s="13">
        <f t="shared" si="95"/>
        <v>69.612799406689945</v>
      </c>
      <c r="CW97" s="20">
        <f t="shared" si="67"/>
        <v>630.77035896665097</v>
      </c>
      <c r="CX97" s="59">
        <f t="shared" si="68"/>
        <v>924.10369229998423</v>
      </c>
      <c r="CY97" s="59">
        <f ca="1">AVERAGE(OFFSET($CX$3,0,0,'Données projet'!$E$13+1,1))-AVERAGE(OFFSET($H$3,0,0,'Données projet'!$E$13+1,1))</f>
        <v>528.15559695545812</v>
      </c>
      <c r="CZ97" s="59">
        <f t="shared" si="96"/>
        <v>276.26988364830532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6.5898552812865896</v>
      </c>
      <c r="DG97" s="21">
        <f>EXP(-LN(2)/25)*DG96+(1-EXP(-LN(2)/25))/(LN(2)/25)*Calculateur!DB97*Calculateur!DD97*VLOOKUP('Données projet'!$B$13,Paramètres!$A$1:$I$89,3,0)*0.475*44/12</f>
        <v>28.935712849600375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35.525568130886967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7.333333333333333</v>
      </c>
      <c r="DO97" s="12">
        <f>IF('Données projet'!$A$166&gt;35,DO96+DN97-DW96,IF(A97&lt;'Données projet'!$A$166,$DL$205^A97,IF(A97='Données projet'!$A$166,'Données projet'!$B$166,DO96+DN97-DW96)))</f>
        <v>323.33333333333303</v>
      </c>
      <c r="DP97" s="17">
        <f>DO97*VLOOKUP('Données projet'!$B$14,Paramètres!$A$1:$I$89,3,0)*VLOOKUP('Données projet'!$B$14,Paramètres!$A$1:$I$89,5,0)</f>
        <v>327.85999999999973</v>
      </c>
      <c r="DQ97" s="13">
        <f t="shared" si="97"/>
        <v>76.986462716071742</v>
      </c>
      <c r="DR97" s="20">
        <f t="shared" si="70"/>
        <v>705.10758923049116</v>
      </c>
      <c r="DS97" s="59">
        <f t="shared" si="71"/>
        <v>998.44092256382442</v>
      </c>
      <c r="DT97" s="59">
        <f ca="1">AVERAGE(OFFSET($DS$3,0,0,'Données projet'!$E$14+1,1))-AVERAGE(OFFSET($H$3,0,0,'Données projet'!$E$14+1,1))</f>
        <v>586.50020405958992</v>
      </c>
      <c r="DU97" s="59">
        <f t="shared" si="98"/>
        <v>304.44184537595294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7.3851826428211789</v>
      </c>
      <c r="EB97" s="21">
        <f>EXP(-LN(2)/25)*EB96+(1-EXP(-LN(2)/25))/(LN(2)/25)*Calculateur!DW97*Calculateur!DY97*VLOOKUP('Données projet'!$B$14,Paramètres!$A$1:$I$89,3,0)*0.475*44/12</f>
        <v>32.427954055586639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39.813136698407817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-1.7053025658242404E-13</v>
      </c>
      <c r="EK97" s="17">
        <f>EJ97*VLOOKUP('Données projet'!$B$15,Paramètres!$A$1:$I$89,3,0)*VLOOKUP('Données projet'!$B$15,Paramètres!$A$1:$I$89,5,0)</f>
        <v>-1.6493686416652052E-13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355.72173590705142</v>
      </c>
      <c r="EP97" s="59">
        <f t="shared" si="100"/>
        <v>346.30980704469363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77.274582345653386</v>
      </c>
      <c r="EW97" s="21">
        <f>EXP(-LN(2)/25)*EW96+(1-EXP(-LN(2)/25))/(LN(2)/25)*Calculateur!ER97*Calculateur!ET97*VLOOKUP('Données projet'!$B$15,Paramètres!$A$1:$I$89,3,0)*0.475*44/12</f>
        <v>1.8969754162524568</v>
      </c>
      <c r="EX97" s="21">
        <f>EXP(-LN(2)/2)*EX96+(1-EXP(-LN(2)/2))/(LN(2)/2)*ER97*EU97*VLOOKUP('Données projet'!$B$15,Paramètres!$A$1:$I$89,3,0)*0.475*44/12</f>
        <v>0.39522260803284065</v>
      </c>
      <c r="EY97" s="22">
        <f t="shared" si="75"/>
        <v>79.566780369938684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-1.383341441396624E-13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304.26232113495314</v>
      </c>
      <c r="FK97" s="59">
        <f t="shared" si="102"/>
        <v>297.47246687305056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79.883251667149594</v>
      </c>
      <c r="FR97" s="21">
        <f>EXP(-LN(2)/25)*FR96+(1-EXP(-LN(2)/25))/(LN(2)/25)*Calculateur!FM97*Calculateur!FO97*VLOOKUP('Données projet'!$B$16,Paramètres!$A$1:$I$89,3,0)*0.475*44/12</f>
        <v>1.9610143462834857</v>
      </c>
      <c r="FS97" s="21">
        <f>EXP(-LN(2)/2)*FS96+(1-EXP(-LN(2)/2))/(LN(2)/2)*FM97*FP97*VLOOKUP('Données projet'!$B$16,Paramètres!$A$1:$I$89,3,0)*0.475*44/12</f>
        <v>0.33147702609206031</v>
      </c>
      <c r="FT97" s="22">
        <f t="shared" si="78"/>
        <v>82.175743039525145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270</v>
      </c>
      <c r="L98" s="12">
        <f>VLOOKUP(A98,'Données projet'!$A$35:$I$55,9,0)</f>
        <v>3.2</v>
      </c>
      <c r="M98" s="12">
        <f t="array" ref="M98">INDEX(L:L,MIN(IF(ISNUMBER(L98:L294),ROW(L98:L294),"")))</f>
        <v>3.2</v>
      </c>
      <c r="N98" s="13">
        <f>IF('Données projet'!$A$36&gt;35,N97+M98-V97,IF(A98&lt;'Données projet'!$A$36,$K$205^A98,IF(A98='Données projet'!$A$36,'Données projet'!$B$36,N97+M98-V97)))</f>
        <v>269.99999999999989</v>
      </c>
      <c r="O98" s="13">
        <f>N98*VLOOKUP('Données projet'!$B$9,Paramètres!$A$1:$I$89,3,0)*VLOOKUP('Données projet'!$B$9,Paramètres!$A$1:$I$89,5,0)</f>
        <v>235.87199999999996</v>
      </c>
      <c r="P98" s="13">
        <f t="shared" si="87"/>
        <v>57.550476347015277</v>
      </c>
      <c r="Q98" s="20">
        <f t="shared" si="54"/>
        <v>511.04414630438487</v>
      </c>
      <c r="R98" s="59">
        <f t="shared" si="55"/>
        <v>804.37747963771812</v>
      </c>
      <c r="S98" s="59">
        <f ca="1">AVERAGE(OFFSET($R$3,0,0,'Données projet'!$E$9+1,1))-AVERAGE(OFFSET($H$3,0,0,'Données projet'!$E$9+1,1))</f>
        <v>381.72225529388083</v>
      </c>
      <c r="T98" s="59">
        <f t="shared" si="88"/>
        <v>360.05900046417361</v>
      </c>
      <c r="U98" s="15">
        <f>IF(ISNA(VLOOKUP(A98,'Données projet'!$A$35:$I$55,3,0)),0,VLOOKUP(A98,'Données projet'!$A$35:$I$55,3,0))</f>
        <v>17</v>
      </c>
      <c r="V98" s="15">
        <f>IF(ISNA(VLOOKUP(A98,'Données projet'!$A$35:$I$55,4,0)),0,VLOOKUP(A98,'Données projet'!$A$35:$I$55,4,0))</f>
        <v>13</v>
      </c>
      <c r="W98" s="16">
        <f>IF(ISNA(VLOOKUP(A98,'Données projet'!$A$35:$I$55,5,0)),0%,VLOOKUP(A98,'Données projet'!$A$35:$I$55,5,0)*VLOOKUP('Données projet'!$B$9,Paramètres!$A$1:$I$89,7,0))</f>
        <v>0.30099999999999999</v>
      </c>
      <c r="X98" s="16">
        <f>IF(ISNA(VLOOKUP(A98,'Données projet'!$A$35:$I$55,6,0)),0%,VLOOKUP(A98,'Données projet'!$A$35:$I$55,6,0)*VLOOKUP('Données projet'!$B$9,Paramètres!$A$1:$I$89,7,0))</f>
        <v>4.3000000000000003E-2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44.293077223340497</v>
      </c>
      <c r="AA98" s="21">
        <f>EXP(-LN(2)/25)*AA97+(1-EXP(-LN(2)/25))/(LN(2)/25)*Calculateur!V98*Calculateur!X98*VLOOKUP('Données projet'!$B$9,Paramètres!$A$1:$I$89,3,0)*0.475*44/12</f>
        <v>9.0110754467430478</v>
      </c>
      <c r="AB98" s="21">
        <f>EXP(-LN(2)/2)*AB97+(1-EXP(-LN(2)/2))/(LN(2)/2)*V98*Y98*VLOOKUP('Données projet'!$B$9,Paramètres!$A$1:$I$89,3,0)*0.475*44/12</f>
        <v>2.59994705331616E-10</v>
      </c>
      <c r="AC98" s="22">
        <f t="shared" si="57"/>
        <v>53.304152670343541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463</v>
      </c>
      <c r="AG98" s="12">
        <f>VLOOKUP(A98,'Données projet'!$A$61:$I$81,9,0)</f>
        <v>8.6</v>
      </c>
      <c r="AH98" s="12">
        <f t="array" ref="AH98">INDEX(AG:AG,MIN(IF(ISNUMBER(AG98:AG294),ROW(AG98:AG294),"")))</f>
        <v>8.6</v>
      </c>
      <c r="AI98" s="13">
        <f>IF('Données projet'!$A$62&gt;35,AI97+AH98-AQ97,IF(A98&lt;'Données projet'!$A$62,$AF$205^A98,IF(A98='Données projet'!$A$62,'Données projet'!$B$62,AI97+AH98-AQ97)))</f>
        <v>463.00000000000006</v>
      </c>
      <c r="AJ98" s="13">
        <f>AI98*VLOOKUP('Données projet'!$B$10,Paramètres!$A$1:$I$89,3,0)*VLOOKUP('Données projet'!$B$10,Paramètres!$A$1:$I$89,5,0)</f>
        <v>339.47160000000002</v>
      </c>
      <c r="AK98" s="13">
        <f t="shared" si="89"/>
        <v>79.390765756136659</v>
      </c>
      <c r="AL98" s="20">
        <f t="shared" si="58"/>
        <v>729.51862035860461</v>
      </c>
      <c r="AM98" s="59">
        <f t="shared" si="59"/>
        <v>1022.851953691938</v>
      </c>
      <c r="AN98" s="59">
        <f ca="1">AVERAGE(OFFSET($AM$3,0,0,'Données projet'!$E$10+1,1))-AVERAGE(OFFSET($H$3,0,0,'Données projet'!$E$10+1,1))</f>
        <v>464.3681853739115</v>
      </c>
      <c r="AO98" s="59">
        <f t="shared" si="90"/>
        <v>272.97841038165217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30</v>
      </c>
      <c r="AR98" s="16">
        <f>IF(ISNA(VLOOKUP(A98,'Données projet'!$A$61:$I$81,5,0)),0%,VLOOKUP(A98,'Données projet'!$A$61:$I$81,5,0)*VLOOKUP('Données projet'!$B$10,Paramètres!$A$1:$I$89,7,0))</f>
        <v>0.129</v>
      </c>
      <c r="AS98" s="16">
        <f>IF(ISNA(VLOOKUP(A98,'Données projet'!$A$61:$I$81,6,0)),0%,VLOOKUP(A98,'Données projet'!$A$61:$I$81,6,0)*VLOOKUP('Données projet'!$B$10,Paramètres!$A$1:$I$89,7,0))</f>
        <v>0.15049999999999999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8.7173378744386802</v>
      </c>
      <c r="AV98" s="21">
        <f>EXP(-LN(2)/25)*AV97+(1-EXP(-LN(2)/25))/(LN(2)/25)*Calculateur!AQ98*Calculateur!AS98*VLOOKUP('Données projet'!$B$10,Paramètres!$A$1:$I$89,3,0)*0.475*44/12</f>
        <v>30.381024285305976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39.098362159744653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-1.3567387213697657E-13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299.10536994156814</v>
      </c>
      <c r="BJ98" s="59">
        <f t="shared" si="92"/>
        <v>292.57799203101769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76.810697713892125</v>
      </c>
      <c r="BQ98" s="21">
        <f>EXP(-LN(2)/25)*BQ97+(1-EXP(-LN(2)/25))/(LN(2)/25)*Calculateur!BL98*Calculateur!BN98*VLOOKUP('Données projet'!$B$11,Paramètres!$A$1:$I$89,3,0)*0.475*44/12</f>
        <v>1.8707097230541174</v>
      </c>
      <c r="BR98" s="21">
        <f>EXP(-LN(2)/2)*BR97+(1-EXP(-LN(2)/2))/(LN(2)/2)*BL98*BO98*VLOOKUP('Données projet'!$B$11,Paramètres!$A$1:$I$89,3,0)*0.475*44/12</f>
        <v>0.22988215963114497</v>
      </c>
      <c r="BS98" s="22">
        <f t="shared" si="63"/>
        <v>78.91128959657739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-1.7053025658242404E-13</v>
      </c>
      <c r="BZ98" s="13">
        <f>BY98*VLOOKUP('Données projet'!$B$12,Paramètres!$A$1:$I$89,3,0)*VLOOKUP('Données projet'!$B$12,Paramètres!$A$1:$I$89,5,0)</f>
        <v>-1.3567387213697657E-13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299.10536994156814</v>
      </c>
      <c r="CE98" s="59">
        <f t="shared" si="94"/>
        <v>292.57799203101769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76.810697713892125</v>
      </c>
      <c r="CL98" s="21">
        <f>EXP(-LN(2)/25)*CL97+(1-EXP(-LN(2)/25))/(LN(2)/25)*Calculateur!CG98*Calculateur!CI98*VLOOKUP('Données projet'!$B$12,Paramètres!$A$1:$I$89,3,0)*0.475*44/12</f>
        <v>1.8707097230541174</v>
      </c>
      <c r="CM98" s="21">
        <f>EXP(-LN(2)/2)*CM97+(1-EXP(-LN(2)/2))/(LN(2)/2)*CG98*CJ98*VLOOKUP('Données projet'!$B$12,Paramètres!$A$1:$I$89,3,0)*0.475*44/12</f>
        <v>0.22988215963114497</v>
      </c>
      <c r="CN98" s="22">
        <f t="shared" si="66"/>
        <v>78.91128959657739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7.333333333333333</v>
      </c>
      <c r="CT98" s="12">
        <f>IF('Données projet'!$A$140&gt;35,CT97+CS98-DB97,IF(A98&lt;'Données projet'!$A$140,$CQ$205^A98,IF(A98='Données projet'!$A$140,'Données projet'!$B$140,CT97+CS98-DB97)))</f>
        <v>330.66666666666634</v>
      </c>
      <c r="CU98" s="17">
        <f>CT98*VLOOKUP('Données projet'!$B$13,Paramètres!$A$1:$I$89,3,0)*VLOOKUP('Données projet'!$B$13,Paramètres!$A$1:$I$89,5,0)</f>
        <v>299.18719999999968</v>
      </c>
      <c r="CV98" s="13">
        <f t="shared" si="95"/>
        <v>71.00604248028047</v>
      </c>
      <c r="CW98" s="20">
        <f t="shared" si="67"/>
        <v>644.75323065315456</v>
      </c>
      <c r="CX98" s="59">
        <f t="shared" si="68"/>
        <v>938.08656398648782</v>
      </c>
      <c r="CY98" s="59">
        <f ca="1">AVERAGE(OFFSET($CX$3,0,0,'Données projet'!$E$13+1,1))-AVERAGE(OFFSET($H$3,0,0,'Données projet'!$E$13+1,1))</f>
        <v>528.15559695545812</v>
      </c>
      <c r="CZ98" s="59">
        <f t="shared" si="96"/>
        <v>276.26988364830532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6.4606322386353972</v>
      </c>
      <c r="DG98" s="21">
        <f>EXP(-LN(2)/25)*DG97+(1-EXP(-LN(2)/25))/(LN(2)/25)*Calculateur!DB98*Calculateur!DD98*VLOOKUP('Données projet'!$B$13,Paramètres!$A$1:$I$89,3,0)*0.475*44/12</f>
        <v>28.144464260065046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34.605096498700441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7.333333333333333</v>
      </c>
      <c r="DO98" s="12">
        <f>IF('Données projet'!$A$166&gt;35,DO97+DN98-DW97,IF(A98&lt;'Données projet'!$A$166,$DL$205^A98,IF(A98='Données projet'!$A$166,'Données projet'!$B$166,DO97+DN98-DW97)))</f>
        <v>330.66666666666634</v>
      </c>
      <c r="DP98" s="17">
        <f>DO98*VLOOKUP('Données projet'!$B$14,Paramètres!$A$1:$I$89,3,0)*VLOOKUP('Données projet'!$B$14,Paramètres!$A$1:$I$89,5,0)</f>
        <v>335.29599999999971</v>
      </c>
      <c r="DQ98" s="13">
        <f t="shared" si="97"/>
        <v>78.527283611849342</v>
      </c>
      <c r="DR98" s="20">
        <f t="shared" si="70"/>
        <v>720.74221895730363</v>
      </c>
      <c r="DS98" s="59">
        <f t="shared" si="71"/>
        <v>1014.075552290637</v>
      </c>
      <c r="DT98" s="59">
        <f ca="1">AVERAGE(OFFSET($DS$3,0,0,'Données projet'!$E$14+1,1))-AVERAGE(OFFSET($H$3,0,0,'Données projet'!$E$14+1,1))</f>
        <v>586.50020405958992</v>
      </c>
      <c r="DU98" s="59">
        <f t="shared" si="98"/>
        <v>304.44184537595294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7.2403637157120837</v>
      </c>
      <c r="EB98" s="21">
        <f>EXP(-LN(2)/25)*EB97+(1-EXP(-LN(2)/25))/(LN(2)/25)*Calculateur!DW98*Calculateur!DY98*VLOOKUP('Données projet'!$B$14,Paramètres!$A$1:$I$89,3,0)*0.475*44/12</f>
        <v>31.541209946624633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38.781573662336719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-1.7053025658242404E-13</v>
      </c>
      <c r="EK98" s="17">
        <f>EJ98*VLOOKUP('Données projet'!$B$15,Paramètres!$A$1:$I$89,3,0)*VLOOKUP('Données projet'!$B$15,Paramètres!$A$1:$I$89,5,0)</f>
        <v>-1.6493686416652052E-13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355.72173590705142</v>
      </c>
      <c r="EP98" s="59">
        <f t="shared" si="100"/>
        <v>346.30980704469363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75.759274918696377</v>
      </c>
      <c r="EW98" s="21">
        <f>EXP(-LN(2)/25)*EW97+(1-EXP(-LN(2)/25))/(LN(2)/25)*Calculateur!ER98*Calculateur!ET98*VLOOKUP('Données projet'!$B$15,Paramètres!$A$1:$I$89,3,0)*0.475*44/12</f>
        <v>1.8451025237374319</v>
      </c>
      <c r="EX98" s="21">
        <f>EXP(-LN(2)/2)*EX97+(1-EXP(-LN(2)/2))/(LN(2)/2)*ER98*EU98*VLOOKUP('Données projet'!$B$15,Paramètres!$A$1:$I$89,3,0)*0.475*44/12</f>
        <v>0.27946458621825448</v>
      </c>
      <c r="EY98" s="22">
        <f t="shared" si="75"/>
        <v>77.883842028652069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-1.383341441396624E-13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304.26232113495314</v>
      </c>
      <c r="FK98" s="59">
        <f t="shared" si="102"/>
        <v>297.47246687305056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78.31678982592922</v>
      </c>
      <c r="FR98" s="21">
        <f>EXP(-LN(2)/25)*FR97+(1-EXP(-LN(2)/25))/(LN(2)/25)*Calculateur!FM98*Calculateur!FO98*VLOOKUP('Données projet'!$B$16,Paramètres!$A$1:$I$89,3,0)*0.475*44/12</f>
        <v>1.9073903058591013</v>
      </c>
      <c r="FS98" s="21">
        <f>EXP(-LN(2)/2)*FS97+(1-EXP(-LN(2)/2))/(LN(2)/2)*FM98*FP98*VLOOKUP('Données projet'!$B$16,Paramètres!$A$1:$I$89,3,0)*0.475*44/12</f>
        <v>0.23438965295724601</v>
      </c>
      <c r="FT98" s="22">
        <f t="shared" si="78"/>
        <v>80.458569784745563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3.2</v>
      </c>
      <c r="N99" s="13">
        <f>IF('Données projet'!$A$36&gt;35,N98+M99-V98,IF(A99&lt;'Données projet'!$A$36,$K$205^A99,IF(A99='Données projet'!$A$36,'Données projet'!$B$36,N98+M99-V98)))</f>
        <v>260.19999999999987</v>
      </c>
      <c r="O99" s="13">
        <f>N99*VLOOKUP('Données projet'!$B$9,Paramètres!$A$1:$I$89,3,0)*VLOOKUP('Données projet'!$B$9,Paramètres!$A$1:$I$89,5,0)</f>
        <v>227.31071999999989</v>
      </c>
      <c r="P99" s="13">
        <f t="shared" si="87"/>
        <v>55.700798883800765</v>
      </c>
      <c r="Q99" s="20">
        <f t="shared" ref="Q99:Q130" si="107">(O99+P99)*0.475*44/12</f>
        <v>492.91172872261944</v>
      </c>
      <c r="R99" s="59">
        <f t="shared" si="55"/>
        <v>786.24506205595276</v>
      </c>
      <c r="S99" s="59">
        <f ca="1">AVERAGE(OFFSET($R$3,0,0,'Données projet'!$E$9+1,1))-AVERAGE(OFFSET($H$3,0,0,'Données projet'!$E$9+1,1))</f>
        <v>381.72225529388083</v>
      </c>
      <c r="T99" s="59">
        <f t="shared" si="88"/>
        <v>360.05900046417361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43.424516995100277</v>
      </c>
      <c r="AA99" s="21">
        <f>EXP(-LN(2)/25)*AA98+(1-EXP(-LN(2)/25))/(LN(2)/25)*Calculateur!V99*Calculateur!X99*VLOOKUP('Données projet'!$B$9,Paramètres!$A$1:$I$89,3,0)*0.475*44/12</f>
        <v>8.7646671147799964</v>
      </c>
      <c r="AB99" s="21">
        <f>EXP(-LN(2)/2)*AB98+(1-EXP(-LN(2)/2))/(LN(2)/2)*V99*Y99*VLOOKUP('Données projet'!$B$9,Paramètres!$A$1:$I$89,3,0)*0.475*44/12</f>
        <v>1.838440192125839E-10</v>
      </c>
      <c r="AC99" s="22">
        <f t="shared" si="57"/>
        <v>52.189184110064119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8.1999999999999993</v>
      </c>
      <c r="AI99" s="13">
        <f>IF('Données projet'!$A$62&gt;35,AI98+AH99-AQ98,IF(A99&lt;'Données projet'!$A$62,$AF$205^A99,IF(A99='Données projet'!$A$62,'Données projet'!$B$62,AI98+AH99-AQ98)))</f>
        <v>441.20000000000005</v>
      </c>
      <c r="AJ99" s="13">
        <f>AI99*VLOOKUP('Données projet'!$B$10,Paramètres!$A$1:$I$89,3,0)*VLOOKUP('Données projet'!$B$10,Paramètres!$A$1:$I$89,5,0)</f>
        <v>323.48784000000001</v>
      </c>
      <c r="AK99" s="13">
        <f t="shared" si="89"/>
        <v>76.078608105532638</v>
      </c>
      <c r="AL99" s="20">
        <f t="shared" si="58"/>
        <v>695.91156378380265</v>
      </c>
      <c r="AM99" s="59">
        <f t="shared" si="59"/>
        <v>989.24489711713591</v>
      </c>
      <c r="AN99" s="59">
        <f ca="1">AVERAGE(OFFSET($AM$3,0,0,'Données projet'!$E$10+1,1))-AVERAGE(OFFSET($H$3,0,0,'Données projet'!$E$10+1,1))</f>
        <v>464.3681853739115</v>
      </c>
      <c r="AO99" s="59">
        <f t="shared" si="90"/>
        <v>272.97841038165217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8.5463961957720258</v>
      </c>
      <c r="AV99" s="21">
        <f>EXP(-LN(2)/25)*AV98+(1-EXP(-LN(2)/25))/(LN(2)/25)*Calculateur!AQ99*Calculateur!AS99*VLOOKUP('Données projet'!$B$10,Paramètres!$A$1:$I$89,3,0)*0.475*44/12</f>
        <v>29.550253578555655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38.09664977432768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-1.3567387213697657E-13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299.10536994156814</v>
      </c>
      <c r="BJ99" s="59">
        <f t="shared" si="92"/>
        <v>292.57799203101769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75.304486781622259</v>
      </c>
      <c r="BQ99" s="21">
        <f>EXP(-LN(2)/25)*BQ98+(1-EXP(-LN(2)/25))/(LN(2)/25)*Calculateur!BL99*Calculateur!BN99*VLOOKUP('Données projet'!$B$11,Paramètres!$A$1:$I$89,3,0)*0.475*44/12</f>
        <v>1.8195550673008538</v>
      </c>
      <c r="BR99" s="21">
        <f>EXP(-LN(2)/2)*BR98+(1-EXP(-LN(2)/2))/(LN(2)/2)*BL99*BO99*VLOOKUP('Données projet'!$B$11,Paramètres!$A$1:$I$89,3,0)*0.475*44/12</f>
        <v>0.16255123394899101</v>
      </c>
      <c r="BS99" s="22">
        <f t="shared" si="63"/>
        <v>77.286593082872102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-1.7053025658242404E-13</v>
      </c>
      <c r="BZ99" s="13">
        <f>BY99*VLOOKUP('Données projet'!$B$12,Paramètres!$A$1:$I$89,3,0)*VLOOKUP('Données projet'!$B$12,Paramètres!$A$1:$I$89,5,0)</f>
        <v>-1.3567387213697657E-13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299.10536994156814</v>
      </c>
      <c r="CE99" s="59">
        <f t="shared" si="94"/>
        <v>292.57799203101769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75.304486781622259</v>
      </c>
      <c r="CL99" s="21">
        <f>EXP(-LN(2)/25)*CL98+(1-EXP(-LN(2)/25))/(LN(2)/25)*Calculateur!CG99*Calculateur!CI99*VLOOKUP('Données projet'!$B$12,Paramètres!$A$1:$I$89,3,0)*0.475*44/12</f>
        <v>1.8195550673008538</v>
      </c>
      <c r="CM99" s="21">
        <f>EXP(-LN(2)/2)*CM98+(1-EXP(-LN(2)/2))/(LN(2)/2)*CG99*CJ99*VLOOKUP('Données projet'!$B$12,Paramètres!$A$1:$I$89,3,0)*0.475*44/12</f>
        <v>0.16255123394899101</v>
      </c>
      <c r="CN99" s="22">
        <f t="shared" si="66"/>
        <v>77.286593082872102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>
        <f>VLOOKUP(A99,'Données projet'!$A$139:$I$159,2,0)</f>
        <v>338</v>
      </c>
      <c r="CR99" s="12">
        <f>VLOOKUP(A99,'Données projet'!$A$139:$I$159,9,0)</f>
        <v>7.333333333333333</v>
      </c>
      <c r="CS99" s="12">
        <f t="array" ref="CS99">INDEX(CR:CR,MIN(IF(ISNUMBER(CR99:CR295),ROW(CR99:CR295),"")))</f>
        <v>7.333333333333333</v>
      </c>
      <c r="CT99" s="12">
        <f>IF('Données projet'!$A$140&gt;35,CT98+CS99-DB98,IF(A99&lt;'Données projet'!$A$140,$CQ$205^A99,IF(A99='Données projet'!$A$140,'Données projet'!$B$140,CT98+CS99-DB98)))</f>
        <v>337.99999999999966</v>
      </c>
      <c r="CU99" s="17">
        <f>CT99*VLOOKUP('Données projet'!$B$13,Paramètres!$A$1:$I$89,3,0)*VLOOKUP('Données projet'!$B$13,Paramètres!$A$1:$I$89,5,0)</f>
        <v>305.82239999999967</v>
      </c>
      <c r="CV99" s="13">
        <f t="shared" si="95"/>
        <v>72.39569329126887</v>
      </c>
      <c r="CW99" s="20">
        <f t="shared" si="67"/>
        <v>658.72984581562605</v>
      </c>
      <c r="CX99" s="59">
        <f t="shared" si="68"/>
        <v>952.06317914895931</v>
      </c>
      <c r="CY99" s="59">
        <f ca="1">AVERAGE(OFFSET($CX$3,0,0,'Données projet'!$E$13+1,1))-AVERAGE(OFFSET($H$3,0,0,'Données projet'!$E$13+1,1))</f>
        <v>528.15559695545812</v>
      </c>
      <c r="CZ99" s="59">
        <f t="shared" si="96"/>
        <v>276.26988364830532</v>
      </c>
      <c r="DA99" s="15">
        <f>IF(ISNA(VLOOKUP(A99,'Données projet'!$A$139:$I$159,3,0)),0,VLOOKUP(A99,'Données projet'!$A$139:$I$159,3,0))</f>
        <v>8</v>
      </c>
      <c r="DB99" s="15">
        <f>IF(ISNA(VLOOKUP(A99,'Données projet'!$A$139:$I$159,4,0)),0,VLOOKUP(A99,'Données projet'!$A$139:$I$159,4,0))</f>
        <v>44</v>
      </c>
      <c r="DC99" s="16">
        <f>IF(ISNA(VLOOKUP(A99,'Données projet'!$A$139:$I$159,5,0)),0%,VLOOKUP(A99,'Données projet'!$A$139:$I$159,5,0)*VLOOKUP('Données projet'!$B$13,Paramètres!$A$1:$I$89,7,0))</f>
        <v>0.17200000000000001</v>
      </c>
      <c r="DD99" s="16">
        <f>IF(ISNA(VLOOKUP(A99,'Données projet'!$A$139:$I$159,6,0)),0%,VLOOKUP(A99,'Données projet'!$A$139:$I$159,6,0)*VLOOKUP('Données projet'!$B$13,Paramètres!$A$1:$I$89,7,0))</f>
        <v>0.129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13.903680789302218</v>
      </c>
      <c r="DG99" s="21">
        <f>EXP(-LN(2)/25)*DG98+(1-EXP(-LN(2)/25))/(LN(2)/25)*Calculateur!DB99*Calculateur!DD99*VLOOKUP('Données projet'!$B$13,Paramètres!$A$1:$I$89,3,0)*0.475*44/12</f>
        <v>33.029801905078003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46.933482694380217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>
        <f>VLOOKUP(A99,'Données projet'!$A$165:$I$185,2,0)</f>
        <v>338</v>
      </c>
      <c r="DM99" s="12">
        <f>VLOOKUP(A99,'Données projet'!$A$165:$I$185,9,0)</f>
        <v>7.333333333333333</v>
      </c>
      <c r="DN99" s="12">
        <f t="array" ref="DN99">INDEX(DM:DM,MIN(IF(ISNUMBER(DM99:DM295),ROW(DM99:DM295),"")))</f>
        <v>7.333333333333333</v>
      </c>
      <c r="DO99" s="12">
        <f>IF('Données projet'!$A$166&gt;35,DO98+DN99-DW98,IF(A99&lt;'Données projet'!$A$166,$DL$205^A99,IF(A99='Données projet'!$A$166,'Données projet'!$B$166,DO98+DN99-DW98)))</f>
        <v>337.99999999999966</v>
      </c>
      <c r="DP99" s="17">
        <f>DO99*VLOOKUP('Données projet'!$B$14,Paramètres!$A$1:$I$89,3,0)*VLOOKUP('Données projet'!$B$14,Paramètres!$A$1:$I$89,5,0)</f>
        <v>342.73199999999969</v>
      </c>
      <c r="DQ99" s="13">
        <f t="shared" si="97"/>
        <v>80.06413173834828</v>
      </c>
      <c r="DR99" s="20">
        <f t="shared" si="70"/>
        <v>736.36992944428937</v>
      </c>
      <c r="DS99" s="59">
        <f t="shared" si="71"/>
        <v>1029.7032627776227</v>
      </c>
      <c r="DT99" s="59">
        <f ca="1">AVERAGE(OFFSET($DS$3,0,0,'Données projet'!$E$14+1,1))-AVERAGE(OFFSET($H$3,0,0,'Données projet'!$E$14+1,1))</f>
        <v>586.50020405958992</v>
      </c>
      <c r="DU99" s="59">
        <f t="shared" si="98"/>
        <v>304.44184537595294</v>
      </c>
      <c r="DV99" s="15">
        <f>IF(ISNA(VLOOKUP(A99,'Données projet'!$A$165:$I$185,3,0)),0,VLOOKUP(A99,'Données projet'!$A$165:$I$185,3,0))</f>
        <v>8</v>
      </c>
      <c r="DW99" s="15">
        <f>IF(ISNA(VLOOKUP(A99,'Données projet'!$A$165:$I$185,4,0)),0,VLOOKUP(A99,'Données projet'!$A$165:$I$185,4,0))</f>
        <v>44</v>
      </c>
      <c r="DX99" s="16">
        <f>IF(ISNA(VLOOKUP(A99,'Données projet'!$A$165:$I$185,5,0)),0%,VLOOKUP(A99,'Données projet'!$A$165:$I$185,5,0)*VLOOKUP('Données projet'!$B$14,Paramètres!$A$1:$I$89,7,0))</f>
        <v>0.17200000000000001</v>
      </c>
      <c r="DY99" s="16">
        <f>IF(ISNA(VLOOKUP(A99,'Données projet'!$A$165:$I$185,6,0)),0%,VLOOKUP(A99,'Données projet'!$A$165:$I$185,6,0)*VLOOKUP('Données projet'!$B$14,Paramètres!$A$1:$I$89,7,0))</f>
        <v>0.129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15.581711229390418</v>
      </c>
      <c r="EB99" s="21">
        <f>EXP(-LN(2)/25)*EB98+(1-EXP(-LN(2)/25))/(LN(2)/25)*Calculateur!DW99*Calculateur!DY99*VLOOKUP('Données projet'!$B$14,Paramètres!$A$1:$I$89,3,0)*0.475*44/12</f>
        <v>37.016157307415014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52.597868536805436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-1.7053025658242404E-13</v>
      </c>
      <c r="EK99" s="17">
        <f>EJ99*VLOOKUP('Données projet'!$B$15,Paramètres!$A$1:$I$89,3,0)*VLOOKUP('Données projet'!$B$15,Paramètres!$A$1:$I$89,5,0)</f>
        <v>-1.6493686416652052E-13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355.72173590705142</v>
      </c>
      <c r="EP99" s="59">
        <f t="shared" si="100"/>
        <v>346.30980704469363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74.273681746135722</v>
      </c>
      <c r="EW99" s="21">
        <f>EXP(-LN(2)/25)*EW98+(1-EXP(-LN(2)/25))/(LN(2)/25)*Calculateur!ER99*Calculateur!ET99*VLOOKUP('Données projet'!$B$15,Paramètres!$A$1:$I$89,3,0)*0.475*44/12</f>
        <v>1.794648098196107</v>
      </c>
      <c r="EX99" s="21">
        <f>EXP(-LN(2)/2)*EX98+(1-EXP(-LN(2)/2))/(LN(2)/2)*ER99*EU99*VLOOKUP('Données projet'!$B$15,Paramètres!$A$1:$I$89,3,0)*0.475*44/12</f>
        <v>0.19761130401642032</v>
      </c>
      <c r="EY99" s="22">
        <f t="shared" si="75"/>
        <v>76.265941148348247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-1.383341441396624E-13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304.26232113495314</v>
      </c>
      <c r="FK99" s="59">
        <f t="shared" si="102"/>
        <v>297.47246687305056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76.781045345967797</v>
      </c>
      <c r="FR99" s="21">
        <f>EXP(-LN(2)/25)*FR98+(1-EXP(-LN(2)/25))/(LN(2)/25)*Calculateur!FM99*Calculateur!FO99*VLOOKUP('Données projet'!$B$16,Paramètres!$A$1:$I$89,3,0)*0.475*44/12</f>
        <v>1.8552326176400873</v>
      </c>
      <c r="FS99" s="21">
        <f>EXP(-LN(2)/2)*FS98+(1-EXP(-LN(2)/2))/(LN(2)/2)*FM99*FP99*VLOOKUP('Données projet'!$B$16,Paramètres!$A$1:$I$89,3,0)*0.475*44/12</f>
        <v>0.16573851304603018</v>
      </c>
      <c r="FT99" s="22">
        <f t="shared" si="78"/>
        <v>78.802016476653918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3.2</v>
      </c>
      <c r="N100" s="13">
        <f>IF('Données projet'!$A$36&gt;35,N99+M100-V99,IF(A100&lt;'Données projet'!$A$36,$K$205^A100,IF(A100='Données projet'!$A$36,'Données projet'!$B$36,N99+M100-V99)))</f>
        <v>263.39999999999986</v>
      </c>
      <c r="O100" s="13">
        <f>N100*VLOOKUP('Données projet'!$B$9,Paramètres!$A$1:$I$89,3,0)*VLOOKUP('Données projet'!$B$9,Paramètres!$A$1:$I$89,5,0)</f>
        <v>230.1062399999999</v>
      </c>
      <c r="P100" s="13">
        <f t="shared" si="87"/>
        <v>56.30565248558618</v>
      </c>
      <c r="Q100" s="20">
        <f t="shared" si="107"/>
        <v>498.83404607906238</v>
      </c>
      <c r="R100" s="59">
        <f t="shared" si="55"/>
        <v>792.16737941239569</v>
      </c>
      <c r="S100" s="59">
        <f ca="1">AVERAGE(OFFSET($R$3,0,0,'Données projet'!$E$9+1,1))-AVERAGE(OFFSET($H$3,0,0,'Données projet'!$E$9+1,1))</f>
        <v>381.72225529388083</v>
      </c>
      <c r="T100" s="59">
        <f t="shared" si="88"/>
        <v>360.05900046417361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42.572988703166416</v>
      </c>
      <c r="AA100" s="21">
        <f>EXP(-LN(2)/25)*AA99+(1-EXP(-LN(2)/25))/(LN(2)/25)*Calculateur!V100*Calculateur!X100*VLOOKUP('Données projet'!$B$9,Paramètres!$A$1:$I$89,3,0)*0.475*44/12</f>
        <v>8.5249968316125262</v>
      </c>
      <c r="AB100" s="21">
        <f>EXP(-LN(2)/2)*AB99+(1-EXP(-LN(2)/2))/(LN(2)/2)*V100*Y100*VLOOKUP('Données projet'!$B$9,Paramètres!$A$1:$I$89,3,0)*0.475*44/12</f>
        <v>1.29997352665808E-10</v>
      </c>
      <c r="AC100" s="22">
        <f t="shared" si="57"/>
        <v>51.097985534908943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8.1999999999999993</v>
      </c>
      <c r="AI100" s="13">
        <f>IF('Données projet'!$A$62&gt;35,AI99+AH100-AQ99,IF(A100&lt;'Données projet'!$A$62,$AF$205^A100,IF(A100='Données projet'!$A$62,'Données projet'!$B$62,AI99+AH100-AQ99)))</f>
        <v>449.40000000000003</v>
      </c>
      <c r="AJ100" s="13">
        <f>AI100*VLOOKUP('Données projet'!$B$10,Paramètres!$A$1:$I$89,3,0)*VLOOKUP('Données projet'!$B$10,Paramètres!$A$1:$I$89,5,0)</f>
        <v>329.50008000000003</v>
      </c>
      <c r="AK100" s="13">
        <f t="shared" si="89"/>
        <v>77.326651857769278</v>
      </c>
      <c r="AL100" s="20">
        <f t="shared" si="58"/>
        <v>708.55655798561486</v>
      </c>
      <c r="AM100" s="59">
        <f t="shared" si="59"/>
        <v>1001.8898913189482</v>
      </c>
      <c r="AN100" s="59">
        <f ca="1">AVERAGE(OFFSET($AM$3,0,0,'Données projet'!$E$10+1,1))-AVERAGE(OFFSET($H$3,0,0,'Données projet'!$E$10+1,1))</f>
        <v>464.3681853739115</v>
      </c>
      <c r="AO100" s="59">
        <f t="shared" si="90"/>
        <v>272.97841038165217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8.378806579159896</v>
      </c>
      <c r="AV100" s="21">
        <f>EXP(-LN(2)/25)*AV99+(1-EXP(-LN(2)/25))/(LN(2)/25)*Calculateur!AQ100*Calculateur!AS100*VLOOKUP('Données projet'!$B$10,Paramètres!$A$1:$I$89,3,0)*0.475*44/12</f>
        <v>28.742200340469754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37.12100691962965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-1.3567387213697657E-13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299.10536994156814</v>
      </c>
      <c r="BJ100" s="59">
        <f t="shared" si="92"/>
        <v>292.57799203101769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73.827811727036249</v>
      </c>
      <c r="BQ100" s="21">
        <f>EXP(-LN(2)/25)*BQ99+(1-EXP(-LN(2)/25))/(LN(2)/25)*Calculateur!BL100*Calculateur!BN100*VLOOKUP('Données projet'!$B$11,Paramètres!$A$1:$I$89,3,0)*0.475*44/12</f>
        <v>1.7697992382992696</v>
      </c>
      <c r="BR100" s="21">
        <f>EXP(-LN(2)/2)*BR99+(1-EXP(-LN(2)/2))/(LN(2)/2)*BL100*BO100*VLOOKUP('Données projet'!$B$11,Paramètres!$A$1:$I$89,3,0)*0.475*44/12</f>
        <v>0.11494107981557249</v>
      </c>
      <c r="BS100" s="22">
        <f t="shared" si="63"/>
        <v>75.712552045151085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-1.7053025658242404E-13</v>
      </c>
      <c r="BZ100" s="13">
        <f>BY100*VLOOKUP('Données projet'!$B$12,Paramètres!$A$1:$I$89,3,0)*VLOOKUP('Données projet'!$B$12,Paramètres!$A$1:$I$89,5,0)</f>
        <v>-1.3567387213697657E-13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299.10536994156814</v>
      </c>
      <c r="CE100" s="59">
        <f t="shared" si="94"/>
        <v>292.57799203101769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73.827811727036249</v>
      </c>
      <c r="CL100" s="21">
        <f>EXP(-LN(2)/25)*CL99+(1-EXP(-LN(2)/25))/(LN(2)/25)*Calculateur!CG100*Calculateur!CI100*VLOOKUP('Données projet'!$B$12,Paramètres!$A$1:$I$89,3,0)*0.475*44/12</f>
        <v>1.7697992382992696</v>
      </c>
      <c r="CM100" s="21">
        <f>EXP(-LN(2)/2)*CM99+(1-EXP(-LN(2)/2))/(LN(2)/2)*CG100*CJ100*VLOOKUP('Données projet'!$B$12,Paramètres!$A$1:$I$89,3,0)*0.475*44/12</f>
        <v>0.11494107981557249</v>
      </c>
      <c r="CN100" s="22">
        <f t="shared" si="66"/>
        <v>75.712552045151085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7.1111111111111107</v>
      </c>
      <c r="CT100" s="12">
        <f>IF('Données projet'!$A$140&gt;35,CT99+CS100-DB99,IF(A100&lt;'Données projet'!$A$140,$CQ$205^A100,IF(A100='Données projet'!$A$140,'Données projet'!$B$140,CT99+CS100-DB99)))</f>
        <v>301.11111111111074</v>
      </c>
      <c r="CU100" s="17">
        <f>CT100*VLOOKUP('Données projet'!$B$13,Paramètres!$A$1:$I$89,3,0)*VLOOKUP('Données projet'!$B$13,Paramètres!$A$1:$I$89,5,0)</f>
        <v>272.445333333333</v>
      </c>
      <c r="CV100" s="13">
        <f t="shared" si="95"/>
        <v>65.367958107525453</v>
      </c>
      <c r="CW100" s="20">
        <f t="shared" si="67"/>
        <v>588.35814925949501</v>
      </c>
      <c r="CX100" s="59">
        <f t="shared" si="68"/>
        <v>881.69148259282838</v>
      </c>
      <c r="CY100" s="59">
        <f ca="1">AVERAGE(OFFSET($CX$3,0,0,'Données projet'!$E$13+1,1))-AVERAGE(OFFSET($H$3,0,0,'Données projet'!$E$13+1,1))</f>
        <v>528.15559695545812</v>
      </c>
      <c r="CZ100" s="59">
        <f t="shared" si="96"/>
        <v>276.26988364830532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13.631038089431913</v>
      </c>
      <c r="DG100" s="21">
        <f>EXP(-LN(2)/25)*DG99+(1-EXP(-LN(2)/25))/(LN(2)/25)*Calculateur!DB100*Calculateur!DD100*VLOOKUP('Données projet'!$B$13,Paramètres!$A$1:$I$89,3,0)*0.475*44/12</f>
        <v>32.126600235021854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45.757638324453765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7.1111111111111107</v>
      </c>
      <c r="DO100" s="12">
        <f>IF('Données projet'!$A$166&gt;35,DO99+DN100-DW99,IF(A100&lt;'Données projet'!$A$166,$DL$205^A100,IF(A100='Données projet'!$A$166,'Données projet'!$B$166,DO99+DN100-DW99)))</f>
        <v>301.11111111111074</v>
      </c>
      <c r="DP100" s="17">
        <f>DO100*VLOOKUP('Données projet'!$B$14,Paramètres!$A$1:$I$89,3,0)*VLOOKUP('Données projet'!$B$14,Paramètres!$A$1:$I$89,5,0)</f>
        <v>305.32666666666631</v>
      </c>
      <c r="DQ100" s="13">
        <f t="shared" si="97"/>
        <v>72.291991021224732</v>
      </c>
      <c r="DR100" s="20">
        <f t="shared" si="70"/>
        <v>657.68582880641031</v>
      </c>
      <c r="DS100" s="59">
        <f t="shared" si="71"/>
        <v>951.01916213974368</v>
      </c>
      <c r="DT100" s="59">
        <f ca="1">AVERAGE(OFFSET($DS$3,0,0,'Données projet'!$E$14+1,1))-AVERAGE(OFFSET($H$3,0,0,'Données projet'!$E$14+1,1))</f>
        <v>586.50020405958992</v>
      </c>
      <c r="DU100" s="59">
        <f t="shared" si="98"/>
        <v>304.44184537595294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15.276163376087489</v>
      </c>
      <c r="EB100" s="21">
        <f>EXP(-LN(2)/25)*EB99+(1-EXP(-LN(2)/25))/(LN(2)/25)*Calculateur!DW100*Calculateur!DY100*VLOOKUP('Données projet'!$B$14,Paramètres!$A$1:$I$89,3,0)*0.475*44/12</f>
        <v>36.00394853924864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51.280111915336128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-1.7053025658242404E-13</v>
      </c>
      <c r="EK100" s="17">
        <f>EJ100*VLOOKUP('Données projet'!$B$15,Paramètres!$A$1:$I$89,3,0)*VLOOKUP('Données projet'!$B$15,Paramètres!$A$1:$I$89,5,0)</f>
        <v>-1.6493686416652052E-13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355.72173590705142</v>
      </c>
      <c r="EP100" s="59">
        <f t="shared" si="100"/>
        <v>346.30980704469363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72.817220149566623</v>
      </c>
      <c r="EW100" s="21">
        <f>EXP(-LN(2)/25)*EW99+(1-EXP(-LN(2)/25))/(LN(2)/25)*Calculateur!ER100*Calculateur!ET100*VLOOKUP('Données projet'!$B$15,Paramètres!$A$1:$I$89,3,0)*0.475*44/12</f>
        <v>1.7455733515744927</v>
      </c>
      <c r="EX100" s="21">
        <f>EXP(-LN(2)/2)*EX99+(1-EXP(-LN(2)/2))/(LN(2)/2)*ER100*EU100*VLOOKUP('Données projet'!$B$15,Paramètres!$A$1:$I$89,3,0)*0.475*44/12</f>
        <v>0.13973229310912724</v>
      </c>
      <c r="EY100" s="22">
        <f t="shared" si="75"/>
        <v>74.702525794250249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-1.383341441396624E-13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304.26232113495314</v>
      </c>
      <c r="FK100" s="59">
        <f t="shared" si="102"/>
        <v>297.47246687305056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75.275415878546767</v>
      </c>
      <c r="FR100" s="21">
        <f>EXP(-LN(2)/25)*FR99+(1-EXP(-LN(2)/25))/(LN(2)/25)*Calculateur!FM100*Calculateur!FO100*VLOOKUP('Données projet'!$B$16,Paramètres!$A$1:$I$89,3,0)*0.475*44/12</f>
        <v>1.8045011841482759</v>
      </c>
      <c r="FS100" s="21">
        <f>EXP(-LN(2)/2)*FS99+(1-EXP(-LN(2)/2))/(LN(2)/2)*FM100*FP100*VLOOKUP('Données projet'!$B$16,Paramètres!$A$1:$I$89,3,0)*0.475*44/12</f>
        <v>0.11719482647862303</v>
      </c>
      <c r="FT100" s="22">
        <f t="shared" si="78"/>
        <v>77.197111889173669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3.2</v>
      </c>
      <c r="N101" s="13">
        <f>IF('Données projet'!$A$36&gt;35,N100+M101-V100,IF(A101&lt;'Données projet'!$A$36,$K$205^A101,IF(A101='Données projet'!$A$36,'Données projet'!$B$36,N100+M101-V100)))</f>
        <v>266.59999999999985</v>
      </c>
      <c r="O101" s="13">
        <f>N101*VLOOKUP('Données projet'!$B$9,Paramètres!$A$1:$I$89,3,0)*VLOOKUP('Données projet'!$B$9,Paramètres!$A$1:$I$89,5,0)</f>
        <v>232.90175999999991</v>
      </c>
      <c r="P101" s="13">
        <f t="shared" si="87"/>
        <v>56.909651332233828</v>
      </c>
      <c r="Q101" s="20">
        <f t="shared" si="107"/>
        <v>504.7548747369737</v>
      </c>
      <c r="R101" s="59">
        <f t="shared" si="55"/>
        <v>798.08820807030702</v>
      </c>
      <c r="S101" s="59">
        <f ca="1">AVERAGE(OFFSET($R$3,0,0,'Données projet'!$E$9+1,1))-AVERAGE(OFFSET($H$3,0,0,'Données projet'!$E$9+1,1))</f>
        <v>381.72225529388083</v>
      </c>
      <c r="T101" s="59">
        <f t="shared" si="88"/>
        <v>360.05900046417361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41.73815836165641</v>
      </c>
      <c r="AA101" s="21">
        <f>EXP(-LN(2)/25)*AA100+(1-EXP(-LN(2)/25))/(LN(2)/25)*Calculateur!V101*Calculateur!X101*VLOOKUP('Données projet'!$B$9,Paramètres!$A$1:$I$89,3,0)*0.475*44/12</f>
        <v>8.2918803449419816</v>
      </c>
      <c r="AB101" s="21">
        <f>EXP(-LN(2)/2)*AB100+(1-EXP(-LN(2)/2))/(LN(2)/2)*V101*Y101*VLOOKUP('Données projet'!$B$9,Paramètres!$A$1:$I$89,3,0)*0.475*44/12</f>
        <v>9.192200960629195E-11</v>
      </c>
      <c r="AC101" s="22">
        <f t="shared" si="57"/>
        <v>50.030038706690313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8.1999999999999993</v>
      </c>
      <c r="AI101" s="13">
        <f>IF('Données projet'!$A$62&gt;35,AI100+AH101-AQ100,IF(A101&lt;'Données projet'!$A$62,$AF$205^A101,IF(A101='Données projet'!$A$62,'Données projet'!$B$62,AI100+AH101-AQ100)))</f>
        <v>457.6</v>
      </c>
      <c r="AJ101" s="13">
        <f>AI101*VLOOKUP('Données projet'!$B$10,Paramètres!$A$1:$I$89,3,0)*VLOOKUP('Données projet'!$B$10,Paramètres!$A$1:$I$89,5,0)</f>
        <v>335.51231999999999</v>
      </c>
      <c r="AK101" s="13">
        <f t="shared" si="89"/>
        <v>78.572047549311222</v>
      </c>
      <c r="AL101" s="20">
        <f t="shared" si="58"/>
        <v>721.19694014838376</v>
      </c>
      <c r="AM101" s="59">
        <f t="shared" si="59"/>
        <v>1014.5302734817171</v>
      </c>
      <c r="AN101" s="59">
        <f ca="1">AVERAGE(OFFSET($AM$3,0,0,'Données projet'!$E$10+1,1))-AVERAGE(OFFSET($H$3,0,0,'Données projet'!$E$10+1,1))</f>
        <v>464.3681853739115</v>
      </c>
      <c r="AO101" s="59">
        <f t="shared" si="90"/>
        <v>272.97841038165217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8.2145032927099564</v>
      </c>
      <c r="AV101" s="21">
        <f>EXP(-LN(2)/25)*AV100+(1-EXP(-LN(2)/25))/(LN(2)/25)*Calculateur!AQ101*Calculateur!AS101*VLOOKUP('Données projet'!$B$10,Paramètres!$A$1:$I$89,3,0)*0.475*44/12</f>
        <v>27.956243360672985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36.170746653382942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-1.3567387213697657E-13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299.10536994156814</v>
      </c>
      <c r="BJ101" s="59">
        <f t="shared" si="92"/>
        <v>292.57799203101769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72.380093369587826</v>
      </c>
      <c r="BQ101" s="21">
        <f>EXP(-LN(2)/25)*BQ100+(1-EXP(-LN(2)/25))/(LN(2)/25)*Calculateur!BL101*Calculateur!BN101*VLOOKUP('Données projet'!$B$11,Paramètres!$A$1:$I$89,3,0)*0.475*44/12</f>
        <v>1.721403985058279</v>
      </c>
      <c r="BR101" s="21">
        <f>EXP(-LN(2)/2)*BR100+(1-EXP(-LN(2)/2))/(LN(2)/2)*BL101*BO101*VLOOKUP('Données projet'!$B$11,Paramètres!$A$1:$I$89,3,0)*0.475*44/12</f>
        <v>8.1275616974495507E-2</v>
      </c>
      <c r="BS101" s="22">
        <f t="shared" si="63"/>
        <v>74.182772971620594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-1.7053025658242404E-13</v>
      </c>
      <c r="BZ101" s="13">
        <f>BY101*VLOOKUP('Données projet'!$B$12,Paramètres!$A$1:$I$89,3,0)*VLOOKUP('Données projet'!$B$12,Paramètres!$A$1:$I$89,5,0)</f>
        <v>-1.3567387213697657E-13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299.10536994156814</v>
      </c>
      <c r="CE101" s="59">
        <f t="shared" si="94"/>
        <v>292.57799203101769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72.380093369587826</v>
      </c>
      <c r="CL101" s="21">
        <f>EXP(-LN(2)/25)*CL100+(1-EXP(-LN(2)/25))/(LN(2)/25)*Calculateur!CG101*Calculateur!CI101*VLOOKUP('Données projet'!$B$12,Paramètres!$A$1:$I$89,3,0)*0.475*44/12</f>
        <v>1.721403985058279</v>
      </c>
      <c r="CM101" s="21">
        <f>EXP(-LN(2)/2)*CM100+(1-EXP(-LN(2)/2))/(LN(2)/2)*CG101*CJ101*VLOOKUP('Données projet'!$B$12,Paramètres!$A$1:$I$89,3,0)*0.475*44/12</f>
        <v>8.1275616974495507E-2</v>
      </c>
      <c r="CN101" s="22">
        <f t="shared" si="66"/>
        <v>74.182772971620594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7.1111111111111107</v>
      </c>
      <c r="CT101" s="12">
        <f>IF('Données projet'!$A$140&gt;35,CT100+CS101-DB100,IF(A101&lt;'Données projet'!$A$140,$CQ$205^A101,IF(A101='Données projet'!$A$140,'Données projet'!$B$140,CT100+CS101-DB100)))</f>
        <v>308.22222222222183</v>
      </c>
      <c r="CU101" s="17">
        <f>CT101*VLOOKUP('Données projet'!$B$13,Paramètres!$A$1:$I$89,3,0)*VLOOKUP('Données projet'!$B$13,Paramètres!$A$1:$I$89,5,0)</f>
        <v>278.8794666666663</v>
      </c>
      <c r="CV101" s="13">
        <f t="shared" si="95"/>
        <v>66.730152740440701</v>
      </c>
      <c r="CW101" s="20">
        <f t="shared" si="67"/>
        <v>601.93675380071136</v>
      </c>
      <c r="CX101" s="59">
        <f t="shared" si="68"/>
        <v>895.27008713404462</v>
      </c>
      <c r="CY101" s="59">
        <f ca="1">AVERAGE(OFFSET($CX$3,0,0,'Données projet'!$E$13+1,1))-AVERAGE(OFFSET($H$3,0,0,'Données projet'!$E$13+1,1))</f>
        <v>528.15559695545812</v>
      </c>
      <c r="CZ101" s="59">
        <f t="shared" si="96"/>
        <v>276.26988364830532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13.363741746610437</v>
      </c>
      <c r="DG101" s="21">
        <f>EXP(-LN(2)/25)*DG100+(1-EXP(-LN(2)/25))/(LN(2)/25)*Calculateur!DB101*Calculateur!DD101*VLOOKUP('Données projet'!$B$13,Paramètres!$A$1:$I$89,3,0)*0.475*44/12</f>
        <v>31.248096662130703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44.611838408741136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7.1111111111111107</v>
      </c>
      <c r="DO101" s="12">
        <f>IF('Données projet'!$A$166&gt;35,DO100+DN101-DW100,IF(A101&lt;'Données projet'!$A$166,$DL$205^A101,IF(A101='Données projet'!$A$166,'Données projet'!$B$166,DO100+DN101-DW100)))</f>
        <v>308.22222222222183</v>
      </c>
      <c r="DP101" s="17">
        <f>DO101*VLOOKUP('Données projet'!$B$14,Paramètres!$A$1:$I$89,3,0)*VLOOKUP('Données projet'!$B$14,Paramètres!$A$1:$I$89,5,0)</f>
        <v>312.53733333333298</v>
      </c>
      <c r="DQ101" s="13">
        <f t="shared" si="97"/>
        <v>73.798474702570331</v>
      </c>
      <c r="DR101" s="20">
        <f t="shared" si="70"/>
        <v>672.86819899586487</v>
      </c>
      <c r="DS101" s="59">
        <f t="shared" si="71"/>
        <v>966.20153232919824</v>
      </c>
      <c r="DT101" s="59">
        <f ca="1">AVERAGE(OFFSET($DS$3,0,0,'Données projet'!$E$14+1,1))-AVERAGE(OFFSET($H$3,0,0,'Données projet'!$E$14+1,1))</f>
        <v>586.50020405958992</v>
      </c>
      <c r="DU101" s="59">
        <f t="shared" si="98"/>
        <v>304.44184537595294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14.976607129822042</v>
      </c>
      <c r="EB101" s="21">
        <f>EXP(-LN(2)/25)*EB100+(1-EXP(-LN(2)/25))/(LN(2)/25)*Calculateur!DW101*Calculateur!DY101*VLOOKUP('Données projet'!$B$14,Paramètres!$A$1:$I$89,3,0)*0.475*44/12</f>
        <v>35.019418673077517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49.99602580289956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-1.7053025658242404E-13</v>
      </c>
      <c r="EK101" s="17">
        <f>EJ101*VLOOKUP('Données projet'!$B$15,Paramètres!$A$1:$I$89,3,0)*VLOOKUP('Données projet'!$B$15,Paramètres!$A$1:$I$89,5,0)</f>
        <v>-1.6493686416652052E-13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355.72173590705142</v>
      </c>
      <c r="EP101" s="59">
        <f t="shared" si="100"/>
        <v>346.30980704469363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71.38931887655238</v>
      </c>
      <c r="EW101" s="21">
        <f>EXP(-LN(2)/25)*EW100+(1-EXP(-LN(2)/25))/(LN(2)/25)*Calculateur!ER101*Calculateur!ET101*VLOOKUP('Données projet'!$B$15,Paramètres!$A$1:$I$89,3,0)*0.475*44/12</f>
        <v>1.6978405564799752</v>
      </c>
      <c r="EX101" s="21">
        <f>EXP(-LN(2)/2)*EX100+(1-EXP(-LN(2)/2))/(LN(2)/2)*ER101*EU101*VLOOKUP('Données projet'!$B$15,Paramètres!$A$1:$I$89,3,0)*0.475*44/12</f>
        <v>9.8805652008210162E-2</v>
      </c>
      <c r="EY101" s="22">
        <f t="shared" si="75"/>
        <v>73.185965085040564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-1.383341441396624E-13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304.26232113495314</v>
      </c>
      <c r="FK101" s="59">
        <f t="shared" si="102"/>
        <v>297.47246687305056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73.799310886638565</v>
      </c>
      <c r="FR101" s="21">
        <f>EXP(-LN(2)/25)*FR100+(1-EXP(-LN(2)/25))/(LN(2)/25)*Calculateur!FM101*Calculateur!FO101*VLOOKUP('Données projet'!$B$16,Paramètres!$A$1:$I$89,3,0)*0.475*44/12</f>
        <v>1.7551570043731481</v>
      </c>
      <c r="FS101" s="21">
        <f>EXP(-LN(2)/2)*FS100+(1-EXP(-LN(2)/2))/(LN(2)/2)*FM101*FP101*VLOOKUP('Données projet'!$B$16,Paramètres!$A$1:$I$89,3,0)*0.475*44/12</f>
        <v>8.2869256523015106E-2</v>
      </c>
      <c r="FT101" s="22">
        <f t="shared" si="78"/>
        <v>75.637337147534723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3.2</v>
      </c>
      <c r="N102" s="13">
        <f>IF('Données projet'!$A$36&gt;35,N101+M102-V101,IF(A102&lt;'Données projet'!$A$36,$K$205^A102,IF(A102='Données projet'!$A$36,'Données projet'!$B$36,N101+M102-V101)))</f>
        <v>269.79999999999984</v>
      </c>
      <c r="O102" s="13">
        <f>N102*VLOOKUP('Données projet'!$B$9,Paramètres!$A$1:$I$89,3,0)*VLOOKUP('Données projet'!$B$9,Paramètres!$A$1:$I$89,5,0)</f>
        <v>235.69727999999992</v>
      </c>
      <c r="P102" s="13">
        <f t="shared" si="87"/>
        <v>57.512806870145788</v>
      </c>
      <c r="Q102" s="20">
        <f t="shared" si="107"/>
        <v>510.67423463217045</v>
      </c>
      <c r="R102" s="59">
        <f t="shared" si="55"/>
        <v>804.00756796550377</v>
      </c>
      <c r="S102" s="59">
        <f ca="1">AVERAGE(OFFSET($R$3,0,0,'Données projet'!$E$9+1,1))-AVERAGE(OFFSET($H$3,0,0,'Données projet'!$E$9+1,1))</f>
        <v>381.72225529388083</v>
      </c>
      <c r="T102" s="59">
        <f t="shared" si="88"/>
        <v>360.05900046417361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40.919698533947184</v>
      </c>
      <c r="AA102" s="21">
        <f>EXP(-LN(2)/25)*AA101+(1-EXP(-LN(2)/25))/(LN(2)/25)*Calculateur!V102*Calculateur!X102*VLOOKUP('Données projet'!$B$9,Paramètres!$A$1:$I$89,3,0)*0.475*44/12</f>
        <v>8.0651384408585063</v>
      </c>
      <c r="AB102" s="21">
        <f>EXP(-LN(2)/2)*AB101+(1-EXP(-LN(2)/2))/(LN(2)/2)*V102*Y102*VLOOKUP('Données projet'!$B$9,Paramètres!$A$1:$I$89,3,0)*0.475*44/12</f>
        <v>6.4998676332904001E-11</v>
      </c>
      <c r="AC102" s="22">
        <f t="shared" si="57"/>
        <v>48.984836974870689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8.1999999999999993</v>
      </c>
      <c r="AI102" s="13">
        <f>IF('Données projet'!$A$62&gt;35,AI101+AH102-AQ101,IF(A102&lt;'Données projet'!$A$62,$AF$205^A102,IF(A102='Données projet'!$A$62,'Données projet'!$B$62,AI101+AH102-AQ101)))</f>
        <v>465.8</v>
      </c>
      <c r="AJ102" s="13">
        <f>AI102*VLOOKUP('Données projet'!$B$10,Paramètres!$A$1:$I$89,3,0)*VLOOKUP('Données projet'!$B$10,Paramètres!$A$1:$I$89,5,0)</f>
        <v>341.52456000000001</v>
      </c>
      <c r="AK102" s="13">
        <f t="shared" si="89"/>
        <v>79.81484810622409</v>
      </c>
      <c r="AL102" s="20">
        <f t="shared" si="58"/>
        <v>733.83280245167361</v>
      </c>
      <c r="AM102" s="59">
        <f t="shared" si="59"/>
        <v>1027.1661357850069</v>
      </c>
      <c r="AN102" s="59">
        <f ca="1">AVERAGE(OFFSET($AM$3,0,0,'Données projet'!$E$10+1,1))-AVERAGE(OFFSET($H$3,0,0,'Données projet'!$E$10+1,1))</f>
        <v>464.3681853739115</v>
      </c>
      <c r="AO102" s="59">
        <f t="shared" si="90"/>
        <v>272.97841038165217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8.0534218934921906</v>
      </c>
      <c r="AV102" s="21">
        <f>EXP(-LN(2)/25)*AV101+(1-EXP(-LN(2)/25))/(LN(2)/25)*Calculateur!AQ102*Calculateur!AS102*VLOOKUP('Données projet'!$B$10,Paramètres!$A$1:$I$89,3,0)*0.475*44/12</f>
        <v>27.191778415820441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35.245200309312629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-1.3567387213697657E-13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299.10536994156814</v>
      </c>
      <c r="BJ102" s="59">
        <f t="shared" si="92"/>
        <v>292.57799203101769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70.960763886107955</v>
      </c>
      <c r="BQ102" s="21">
        <f>EXP(-LN(2)/25)*BQ101+(1-EXP(-LN(2)/25))/(LN(2)/25)*Calculateur!BL102*Calculateur!BN102*VLOOKUP('Données projet'!$B$11,Paramètres!$A$1:$I$89,3,0)*0.475*44/12</f>
        <v>1.6743321025621591</v>
      </c>
      <c r="BR102" s="21">
        <f>EXP(-LN(2)/2)*BR101+(1-EXP(-LN(2)/2))/(LN(2)/2)*BL102*BO102*VLOOKUP('Données projet'!$B$11,Paramètres!$A$1:$I$89,3,0)*0.475*44/12</f>
        <v>5.7470539907786243E-2</v>
      </c>
      <c r="BS102" s="22">
        <f t="shared" si="63"/>
        <v>72.692566528577899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-1.7053025658242404E-13</v>
      </c>
      <c r="BZ102" s="13">
        <f>BY102*VLOOKUP('Données projet'!$B$12,Paramètres!$A$1:$I$89,3,0)*VLOOKUP('Données projet'!$B$12,Paramètres!$A$1:$I$89,5,0)</f>
        <v>-1.3567387213697657E-13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299.10536994156814</v>
      </c>
      <c r="CE102" s="59">
        <f t="shared" si="94"/>
        <v>292.57799203101769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70.960763886107955</v>
      </c>
      <c r="CL102" s="21">
        <f>EXP(-LN(2)/25)*CL101+(1-EXP(-LN(2)/25))/(LN(2)/25)*Calculateur!CG102*Calculateur!CI102*VLOOKUP('Données projet'!$B$12,Paramètres!$A$1:$I$89,3,0)*0.475*44/12</f>
        <v>1.6743321025621591</v>
      </c>
      <c r="CM102" s="21">
        <f>EXP(-LN(2)/2)*CM101+(1-EXP(-LN(2)/2))/(LN(2)/2)*CG102*CJ102*VLOOKUP('Données projet'!$B$12,Paramètres!$A$1:$I$89,3,0)*0.475*44/12</f>
        <v>5.7470539907786243E-2</v>
      </c>
      <c r="CN102" s="22">
        <f t="shared" si="66"/>
        <v>72.692566528577899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7.1111111111111107</v>
      </c>
      <c r="CT102" s="12">
        <f>IF('Données projet'!$A$140&gt;35,CT101+CS102-DB101,IF(A102&lt;'Données projet'!$A$140,$CQ$205^A102,IF(A102='Données projet'!$A$140,'Données projet'!$B$140,CT101+CS102-DB101)))</f>
        <v>315.33333333333292</v>
      </c>
      <c r="CU102" s="17">
        <f>CT102*VLOOKUP('Données projet'!$B$13,Paramètres!$A$1:$I$89,3,0)*VLOOKUP('Données projet'!$B$13,Paramètres!$A$1:$I$89,5,0)</f>
        <v>285.31359999999961</v>
      </c>
      <c r="CV102" s="13">
        <f t="shared" si="95"/>
        <v>68.088693753445611</v>
      </c>
      <c r="CW102" s="20">
        <f t="shared" si="67"/>
        <v>615.50899495391707</v>
      </c>
      <c r="CX102" s="59">
        <f t="shared" si="68"/>
        <v>908.84232828725044</v>
      </c>
      <c r="CY102" s="59">
        <f ca="1">AVERAGE(OFFSET($CX$3,0,0,'Données projet'!$E$13+1,1))-AVERAGE(OFFSET($H$3,0,0,'Données projet'!$E$13+1,1))</f>
        <v>528.15559695545812</v>
      </c>
      <c r="CZ102" s="59">
        <f t="shared" si="96"/>
        <v>276.26988364830532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13.10168692203702</v>
      </c>
      <c r="DG102" s="21">
        <f>EXP(-LN(2)/25)*DG101+(1-EXP(-LN(2)/25))/(LN(2)/25)*Calculateur!DB102*Calculateur!DD102*VLOOKUP('Données projet'!$B$13,Paramètres!$A$1:$I$89,3,0)*0.475*44/12</f>
        <v>30.393615815638753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43.495302737675772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7.1111111111111107</v>
      </c>
      <c r="DO102" s="12">
        <f>IF('Données projet'!$A$166&gt;35,DO101+DN102-DW101,IF(A102&lt;'Données projet'!$A$166,$DL$205^A102,IF(A102='Données projet'!$A$166,'Données projet'!$B$166,DO101+DN102-DW101)))</f>
        <v>315.33333333333292</v>
      </c>
      <c r="DP102" s="17">
        <f>DO102*VLOOKUP('Données projet'!$B$14,Paramètres!$A$1:$I$89,3,0)*VLOOKUP('Données projet'!$B$14,Paramètres!$A$1:$I$89,5,0)</f>
        <v>319.74799999999959</v>
      </c>
      <c r="DQ102" s="13">
        <f t="shared" si="97"/>
        <v>75.300917758120036</v>
      </c>
      <c r="DR102" s="20">
        <f t="shared" si="70"/>
        <v>688.04353176205825</v>
      </c>
      <c r="DS102" s="59">
        <f t="shared" si="71"/>
        <v>981.37686509539162</v>
      </c>
      <c r="DT102" s="59">
        <f ca="1">AVERAGE(OFFSET($DS$3,0,0,'Données projet'!$E$14+1,1))-AVERAGE(OFFSET($H$3,0,0,'Données projet'!$E$14+1,1))</f>
        <v>586.50020405958992</v>
      </c>
      <c r="DU102" s="59">
        <f t="shared" si="98"/>
        <v>304.44184537595294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14.682924998834592</v>
      </c>
      <c r="EB102" s="21">
        <f>EXP(-LN(2)/25)*EB101+(1-EXP(-LN(2)/25))/(LN(2)/25)*Calculateur!DW102*Calculateur!DY102*VLOOKUP('Données projet'!$B$14,Paramètres!$A$1:$I$89,3,0)*0.475*44/12</f>
        <v>34.061810827871021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48.744735826705615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-1.7053025658242404E-13</v>
      </c>
      <c r="EK102" s="17">
        <f>EJ102*VLOOKUP('Données projet'!$B$15,Paramètres!$A$1:$I$89,3,0)*VLOOKUP('Données projet'!$B$15,Paramètres!$A$1:$I$89,5,0)</f>
        <v>-1.6493686416652052E-13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355.72173590705142</v>
      </c>
      <c r="EP102" s="59">
        <f t="shared" si="100"/>
        <v>346.30980704469363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69.989417876568169</v>
      </c>
      <c r="EW102" s="21">
        <f>EXP(-LN(2)/25)*EW101+(1-EXP(-LN(2)/25))/(LN(2)/25)*Calculateur!ER102*Calculateur!ET102*VLOOKUP('Données projet'!$B$15,Paramètres!$A$1:$I$89,3,0)*0.475*44/12</f>
        <v>1.6514130171774759</v>
      </c>
      <c r="EX102" s="21">
        <f>EXP(-LN(2)/2)*EX101+(1-EXP(-LN(2)/2))/(LN(2)/2)*ER102*EU102*VLOOKUP('Données projet'!$B$15,Paramètres!$A$1:$I$89,3,0)*0.475*44/12</f>
        <v>6.9866146554563621E-2</v>
      </c>
      <c r="EY102" s="22">
        <f t="shared" si="75"/>
        <v>71.710697040300204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-1.383341441396624E-13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304.26232113495314</v>
      </c>
      <c r="FK102" s="59">
        <f t="shared" si="102"/>
        <v>297.47246687305056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72.352151413286549</v>
      </c>
      <c r="FR102" s="21">
        <f>EXP(-LN(2)/25)*FR101+(1-EXP(-LN(2)/25))/(LN(2)/25)*Calculateur!FM102*Calculateur!FO102*VLOOKUP('Données projet'!$B$16,Paramètres!$A$1:$I$89,3,0)*0.475*44/12</f>
        <v>1.7071621437888691</v>
      </c>
      <c r="FS102" s="21">
        <f>EXP(-LN(2)/2)*FS101+(1-EXP(-LN(2)/2))/(LN(2)/2)*FM102*FP102*VLOOKUP('Données projet'!$B$16,Paramètres!$A$1:$I$89,3,0)*0.475*44/12</f>
        <v>5.8597413239311523E-2</v>
      </c>
      <c r="FT102" s="22">
        <f t="shared" si="78"/>
        <v>74.117910970314725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273</v>
      </c>
      <c r="L103" s="12">
        <f>VLOOKUP(A103,'Données projet'!$A$35:$I$55,9,0)</f>
        <v>3.2</v>
      </c>
      <c r="M103" s="12">
        <f t="array" ref="M103">INDEX(L:L,MIN(IF(ISNUMBER(L103:L299),ROW(L103:L299),"")))</f>
        <v>3.2</v>
      </c>
      <c r="N103" s="13">
        <f>IF('Données projet'!$A$36&gt;35,N102+M103-V102,IF(A103&lt;'Données projet'!$A$36,$K$205^A103,IF(A103='Données projet'!$A$36,'Données projet'!$B$36,N102+M103-V102)))</f>
        <v>272.99999999999983</v>
      </c>
      <c r="O103" s="13">
        <f>N103*VLOOKUP('Données projet'!$B$9,Paramètres!$A$1:$I$89,3,0)*VLOOKUP('Données projet'!$B$9,Paramètres!$A$1:$I$89,5,0)</f>
        <v>238.49279999999987</v>
      </c>
      <c r="P103" s="13">
        <f t="shared" si="87"/>
        <v>58.115130258576542</v>
      </c>
      <c r="Q103" s="20">
        <f t="shared" si="107"/>
        <v>516.59214520035391</v>
      </c>
      <c r="R103" s="59">
        <f t="shared" si="55"/>
        <v>809.92547853368728</v>
      </c>
      <c r="S103" s="59">
        <f ca="1">AVERAGE(OFFSET($R$3,0,0,'Données projet'!$E$9+1,1))-AVERAGE(OFFSET($H$3,0,0,'Données projet'!$E$9+1,1))</f>
        <v>381.72225529388083</v>
      </c>
      <c r="T103" s="59">
        <f t="shared" si="88"/>
        <v>360.05900046417361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273</v>
      </c>
      <c r="W103" s="16">
        <f>IF(ISNA(VLOOKUP(A103,'Données projet'!$A$35:$I$55,5,0)),0%,VLOOKUP(A103,'Données projet'!$A$35:$I$55,5,0)*VLOOKUP('Données projet'!$B$9,Paramètres!$A$1:$I$89,7,0))</f>
        <v>0.30099999999999999</v>
      </c>
      <c r="X103" s="16">
        <f>IF(ISNA(VLOOKUP(A103,'Données projet'!$A$35:$I$55,6,0)),0%,VLOOKUP(A103,'Données projet'!$A$35:$I$55,6,0)*VLOOKUP('Données projet'!$B$9,Paramètres!$A$1:$I$89,7,0))</f>
        <v>4.3000000000000003E-2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119.4749527699428</v>
      </c>
      <c r="AA103" s="21">
        <f>EXP(-LN(2)/25)*AA102+(1-EXP(-LN(2)/25))/(LN(2)/25)*Calculateur!V103*Calculateur!X103*VLOOKUP('Données projet'!$B$9,Paramètres!$A$1:$I$89,3,0)*0.475*44/12</f>
        <v>19.136768692160139</v>
      </c>
      <c r="AB103" s="21">
        <f>EXP(-LN(2)/2)*AB102+(1-EXP(-LN(2)/2))/(LN(2)/2)*V103*Y103*VLOOKUP('Données projet'!$B$9,Paramètres!$A$1:$I$89,3,0)*0.475*44/12</f>
        <v>4.5961004803145975E-11</v>
      </c>
      <c r="AC103" s="22">
        <f t="shared" si="57"/>
        <v>138.61172146214889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474</v>
      </c>
      <c r="AG103" s="12">
        <f>VLOOKUP(A103,'Données projet'!$A$61:$I$81,9,0)</f>
        <v>8.1999999999999993</v>
      </c>
      <c r="AH103" s="12">
        <f t="array" ref="AH103">INDEX(AG:AG,MIN(IF(ISNUMBER(AG103:AG299),ROW(AG103:AG299),"")))</f>
        <v>8.1999999999999993</v>
      </c>
      <c r="AI103" s="13">
        <f>IF('Données projet'!$A$62&gt;35,AI102+AH103-AQ102,IF(A103&lt;'Données projet'!$A$62,$AF$205^A103,IF(A103='Données projet'!$A$62,'Données projet'!$B$62,AI102+AH103-AQ102)))</f>
        <v>474</v>
      </c>
      <c r="AJ103" s="13">
        <f>AI103*VLOOKUP('Données projet'!$B$10,Paramètres!$A$1:$I$89,3,0)*VLOOKUP('Données projet'!$B$10,Paramètres!$A$1:$I$89,5,0)</f>
        <v>347.53680000000003</v>
      </c>
      <c r="AK103" s="13">
        <f t="shared" si="89"/>
        <v>81.055104484402264</v>
      </c>
      <c r="AL103" s="20">
        <f t="shared" si="58"/>
        <v>746.46423364366728</v>
      </c>
      <c r="AM103" s="59">
        <f t="shared" si="59"/>
        <v>1039.7975669770005</v>
      </c>
      <c r="AN103" s="59">
        <f ca="1">AVERAGE(OFFSET($AM$3,0,0,'Données projet'!$E$10+1,1))-AVERAGE(OFFSET($H$3,0,0,'Données projet'!$E$10+1,1))</f>
        <v>464.3681853739115</v>
      </c>
      <c r="AO103" s="59">
        <f t="shared" si="90"/>
        <v>272.97841038165217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29</v>
      </c>
      <c r="AR103" s="16">
        <f>IF(ISNA(VLOOKUP(A103,'Données projet'!$A$61:$I$81,5,0)),0%,VLOOKUP(A103,'Données projet'!$A$61:$I$81,5,0)*VLOOKUP('Données projet'!$B$10,Paramètres!$A$1:$I$89,7,0))</f>
        <v>0.129</v>
      </c>
      <c r="AS103" s="16">
        <f>IF(ISNA(VLOOKUP(A103,'Données projet'!$A$61:$I$81,6,0)),0%,VLOOKUP(A103,'Données projet'!$A$61:$I$81,6,0)*VLOOKUP('Données projet'!$B$10,Paramètres!$A$1:$I$89,7,0))</f>
        <v>0.15049999999999999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10.927695232848519</v>
      </c>
      <c r="AV103" s="21">
        <f>EXP(-LN(2)/25)*AV102+(1-EXP(-LN(2)/25))/(LN(2)/25)*Calculateur!AQ103*Calculateur!AS103*VLOOKUP('Données projet'!$B$10,Paramètres!$A$1:$I$89,3,0)*0.475*44/12</f>
        <v>29.971851111118006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40.899546343966527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-1.3567387213697657E-13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299.10536994156814</v>
      </c>
      <c r="BJ103" s="59">
        <f t="shared" si="92"/>
        <v>292.57799203101769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69.569266588093626</v>
      </c>
      <c r="BQ103" s="21">
        <f>EXP(-LN(2)/25)*BQ102+(1-EXP(-LN(2)/25))/(LN(2)/25)*Calculateur!BL103*Calculateur!BN103*VLOOKUP('Données projet'!$B$11,Paramètres!$A$1:$I$89,3,0)*0.475*44/12</f>
        <v>1.6285474031682983</v>
      </c>
      <c r="BR103" s="21">
        <f>EXP(-LN(2)/2)*BR102+(1-EXP(-LN(2)/2))/(LN(2)/2)*BL103*BO103*VLOOKUP('Données projet'!$B$11,Paramètres!$A$1:$I$89,3,0)*0.475*44/12</f>
        <v>4.0637808487247754E-2</v>
      </c>
      <c r="BS103" s="22">
        <f t="shared" si="63"/>
        <v>71.238451799749171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-1.7053025658242404E-13</v>
      </c>
      <c r="BZ103" s="13">
        <f>BY103*VLOOKUP('Données projet'!$B$12,Paramètres!$A$1:$I$89,3,0)*VLOOKUP('Données projet'!$B$12,Paramètres!$A$1:$I$89,5,0)</f>
        <v>-1.3567387213697657E-13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299.10536994156814</v>
      </c>
      <c r="CE103" s="59">
        <f t="shared" si="94"/>
        <v>292.57799203101769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69.569266588093626</v>
      </c>
      <c r="CL103" s="21">
        <f>EXP(-LN(2)/25)*CL102+(1-EXP(-LN(2)/25))/(LN(2)/25)*Calculateur!CG103*Calculateur!CI103*VLOOKUP('Données projet'!$B$12,Paramètres!$A$1:$I$89,3,0)*0.475*44/12</f>
        <v>1.6285474031682983</v>
      </c>
      <c r="CM103" s="21">
        <f>EXP(-LN(2)/2)*CM102+(1-EXP(-LN(2)/2))/(LN(2)/2)*CG103*CJ103*VLOOKUP('Données projet'!$B$12,Paramètres!$A$1:$I$89,3,0)*0.475*44/12</f>
        <v>4.0637808487247754E-2</v>
      </c>
      <c r="CN103" s="22">
        <f t="shared" si="66"/>
        <v>71.238451799749171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7.1111111111111107</v>
      </c>
      <c r="CT103" s="12">
        <f>IF('Données projet'!$A$140&gt;35,CT102+CS103-DB102,IF(A103&lt;'Données projet'!$A$140,$CQ$205^A103,IF(A103='Données projet'!$A$140,'Données projet'!$B$140,CT102+CS103-DB102)))</f>
        <v>322.444444444444</v>
      </c>
      <c r="CU103" s="17">
        <f>CT103*VLOOKUP('Données projet'!$B$13,Paramètres!$A$1:$I$89,3,0)*VLOOKUP('Données projet'!$B$13,Paramètres!$A$1:$I$89,5,0)</f>
        <v>291.74773333333292</v>
      </c>
      <c r="CV103" s="13">
        <f t="shared" si="95"/>
        <v>69.443673025334732</v>
      </c>
      <c r="CW103" s="20">
        <f t="shared" si="67"/>
        <v>629.07503274134626</v>
      </c>
      <c r="CX103" s="59">
        <f t="shared" si="68"/>
        <v>922.40836607467963</v>
      </c>
      <c r="CY103" s="59">
        <f ca="1">AVERAGE(OFFSET($CX$3,0,0,'Données projet'!$E$13+1,1))-AVERAGE(OFFSET($H$3,0,0,'Données projet'!$E$13+1,1))</f>
        <v>528.15559695545812</v>
      </c>
      <c r="CZ103" s="59">
        <f t="shared" si="96"/>
        <v>276.26988364830532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12.844770832735827</v>
      </c>
      <c r="DG103" s="21">
        <f>EXP(-LN(2)/25)*DG102+(1-EXP(-LN(2)/25))/(LN(2)/25)*Calculateur!DB103*Calculateur!DD103*VLOOKUP('Données projet'!$B$13,Paramètres!$A$1:$I$89,3,0)*0.475*44/12</f>
        <v>29.562500792829322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42.407271625565151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7.1111111111111107</v>
      </c>
      <c r="DO103" s="12">
        <f>IF('Données projet'!$A$166&gt;35,DO102+DN103-DW102,IF(A103&lt;'Données projet'!$A$166,$DL$205^A103,IF(A103='Données projet'!$A$166,'Données projet'!$B$166,DO102+DN103-DW102)))</f>
        <v>322.444444444444</v>
      </c>
      <c r="DP103" s="17">
        <f>DO103*VLOOKUP('Données projet'!$B$14,Paramètres!$A$1:$I$89,3,0)*VLOOKUP('Données projet'!$B$14,Paramètres!$A$1:$I$89,5,0)</f>
        <v>326.95866666666626</v>
      </c>
      <c r="DQ103" s="13">
        <f t="shared" si="97"/>
        <v>76.799421798834103</v>
      </c>
      <c r="DR103" s="20">
        <f t="shared" si="70"/>
        <v>703.2120040774131</v>
      </c>
      <c r="DS103" s="59">
        <f t="shared" si="71"/>
        <v>996.54533741074647</v>
      </c>
      <c r="DT103" s="59">
        <f ca="1">AVERAGE(OFFSET($DS$3,0,0,'Données projet'!$E$14+1,1))-AVERAGE(OFFSET($H$3,0,0,'Données projet'!$E$14+1,1))</f>
        <v>586.50020405958992</v>
      </c>
      <c r="DU103" s="59">
        <f t="shared" si="98"/>
        <v>304.44184537595294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14.395001795307392</v>
      </c>
      <c r="EB103" s="21">
        <f>EXP(-LN(2)/25)*EB102+(1-EXP(-LN(2)/25))/(LN(2)/25)*Calculateur!DW103*Calculateur!DY103*VLOOKUP('Données projet'!$B$14,Paramètres!$A$1:$I$89,3,0)*0.475*44/12</f>
        <v>33.130388819550106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47.5253906148575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-1.7053025658242404E-13</v>
      </c>
      <c r="EK103" s="17">
        <f>EJ103*VLOOKUP('Données projet'!$B$15,Paramètres!$A$1:$I$89,3,0)*VLOOKUP('Données projet'!$B$15,Paramètres!$A$1:$I$89,5,0)</f>
        <v>-1.6493686416652052E-13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355.72173590705142</v>
      </c>
      <c r="EP103" s="59">
        <f t="shared" si="100"/>
        <v>346.30980704469363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68.616968081338356</v>
      </c>
      <c r="EW103" s="21">
        <f>EXP(-LN(2)/25)*EW102+(1-EXP(-LN(2)/25))/(LN(2)/25)*Calculateur!ER103*Calculateur!ET103*VLOOKUP('Données projet'!$B$15,Paramètres!$A$1:$I$89,3,0)*0.475*44/12</f>
        <v>1.6062550413787215</v>
      </c>
      <c r="EX103" s="21">
        <f>EXP(-LN(2)/2)*EX102+(1-EXP(-LN(2)/2))/(LN(2)/2)*ER103*EU103*VLOOKUP('Données projet'!$B$15,Paramètres!$A$1:$I$89,3,0)*0.475*44/12</f>
        <v>4.9402826004105081E-2</v>
      </c>
      <c r="EY103" s="22">
        <f t="shared" si="75"/>
        <v>70.272625948721185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-1.383341441396624E-13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304.26232113495314</v>
      </c>
      <c r="FK103" s="59">
        <f t="shared" si="102"/>
        <v>297.47246687305056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70.933369854526845</v>
      </c>
      <c r="FR103" s="21">
        <f>EXP(-LN(2)/25)*FR102+(1-EXP(-LN(2)/25))/(LN(2)/25)*Calculateur!FM103*Calculateur!FO103*VLOOKUP('Données projet'!$B$16,Paramètres!$A$1:$I$89,3,0)*0.475*44/12</f>
        <v>1.660479705191207</v>
      </c>
      <c r="FS103" s="21">
        <f>EXP(-LN(2)/2)*FS102+(1-EXP(-LN(2)/2))/(LN(2)/2)*FM103*FP103*VLOOKUP('Données projet'!$B$16,Paramètres!$A$1:$I$89,3,0)*0.475*44/12</f>
        <v>4.143462826150756E-2</v>
      </c>
      <c r="FT103" s="22">
        <f t="shared" si="78"/>
        <v>72.635284187979565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-1.4897523215040567E-13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381.72225529388083</v>
      </c>
      <c r="T104" s="59">
        <f t="shared" si="88"/>
        <v>360.05900046417361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117.13212181864985</v>
      </c>
      <c r="AA104" s="21">
        <f>EXP(-LN(2)/25)*AA103+(1-EXP(-LN(2)/25))/(LN(2)/25)*Calculateur!V104*Calculateur!X104*VLOOKUP('Données projet'!$B$9,Paramètres!$A$1:$I$89,3,0)*0.475*44/12</f>
        <v>18.613472745914091</v>
      </c>
      <c r="AB104" s="21">
        <f>EXP(-LN(2)/2)*AB103+(1-EXP(-LN(2)/2))/(LN(2)/2)*V104*Y104*VLOOKUP('Données projet'!$B$9,Paramètres!$A$1:$I$89,3,0)*0.475*44/12</f>
        <v>3.2499338166452E-11</v>
      </c>
      <c r="AC104" s="22">
        <f t="shared" si="57"/>
        <v>135.74559456459642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7.8</v>
      </c>
      <c r="AI104" s="13">
        <f>IF('Données projet'!$A$62&gt;35,AI103+AH104-AQ103,IF(A104&lt;'Données projet'!$A$62,$AF$205^A104,IF(A104='Données projet'!$A$62,'Données projet'!$B$62,AI103+AH104-AQ103)))</f>
        <v>452.8</v>
      </c>
      <c r="AJ104" s="13">
        <f>AI104*VLOOKUP('Données projet'!$B$10,Paramètres!$A$1:$I$89,3,0)*VLOOKUP('Données projet'!$B$10,Paramètres!$A$1:$I$89,5,0)</f>
        <v>331.99296000000004</v>
      </c>
      <c r="AK104" s="13">
        <f t="shared" si="89"/>
        <v>77.843353721455856</v>
      </c>
      <c r="AL104" s="20">
        <f t="shared" si="58"/>
        <v>713.79824639820242</v>
      </c>
      <c r="AM104" s="59">
        <f t="shared" si="59"/>
        <v>1007.1315797315358</v>
      </c>
      <c r="AN104" s="59">
        <f ca="1">AVERAGE(OFFSET($AM$3,0,0,'Données projet'!$E$10+1,1))-AVERAGE(OFFSET($H$3,0,0,'Données projet'!$E$10+1,1))</f>
        <v>464.3681853739115</v>
      </c>
      <c r="AO104" s="59">
        <f t="shared" si="90"/>
        <v>272.97841038165217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10.713409794568314</v>
      </c>
      <c r="AV104" s="21">
        <f>EXP(-LN(2)/25)*AV103+(1-EXP(-LN(2)/25))/(LN(2)/25)*Calculateur!AQ104*Calculateur!AS104*VLOOKUP('Données projet'!$B$10,Paramètres!$A$1:$I$89,3,0)*0.475*44/12</f>
        <v>29.152269266333334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39.865679060901648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-1.3567387213697657E-13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299.10536994156814</v>
      </c>
      <c r="BJ104" s="59">
        <f t="shared" si="92"/>
        <v>292.57799203101769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68.205055703363811</v>
      </c>
      <c r="BQ104" s="21">
        <f>EXP(-LN(2)/25)*BQ103+(1-EXP(-LN(2)/25))/(LN(2)/25)*Calculateur!BL104*Calculateur!BN104*VLOOKUP('Données projet'!$B$11,Paramètres!$A$1:$I$89,3,0)*0.475*44/12</f>
        <v>1.5840146887870754</v>
      </c>
      <c r="BR104" s="21">
        <f>EXP(-LN(2)/2)*BR103+(1-EXP(-LN(2)/2))/(LN(2)/2)*BL104*BO104*VLOOKUP('Données projet'!$B$11,Paramètres!$A$1:$I$89,3,0)*0.475*44/12</f>
        <v>2.8735269953893122E-2</v>
      </c>
      <c r="BS104" s="22">
        <f t="shared" si="63"/>
        <v>69.817805662104789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-1.7053025658242404E-13</v>
      </c>
      <c r="BZ104" s="13">
        <f>BY104*VLOOKUP('Données projet'!$B$12,Paramètres!$A$1:$I$89,3,0)*VLOOKUP('Données projet'!$B$12,Paramètres!$A$1:$I$89,5,0)</f>
        <v>-1.3567387213697657E-13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299.10536994156814</v>
      </c>
      <c r="CE104" s="59">
        <f t="shared" si="94"/>
        <v>292.57799203101769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68.205055703363811</v>
      </c>
      <c r="CL104" s="21">
        <f>EXP(-LN(2)/25)*CL103+(1-EXP(-LN(2)/25))/(LN(2)/25)*Calculateur!CG104*Calculateur!CI104*VLOOKUP('Données projet'!$B$12,Paramètres!$A$1:$I$89,3,0)*0.475*44/12</f>
        <v>1.5840146887870754</v>
      </c>
      <c r="CM104" s="21">
        <f>EXP(-LN(2)/2)*CM103+(1-EXP(-LN(2)/2))/(LN(2)/2)*CG104*CJ104*VLOOKUP('Données projet'!$B$12,Paramètres!$A$1:$I$89,3,0)*0.475*44/12</f>
        <v>2.8735269953893122E-2</v>
      </c>
      <c r="CN104" s="22">
        <f t="shared" si="66"/>
        <v>69.817805662104789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7.1111111111111107</v>
      </c>
      <c r="CT104" s="12">
        <f>IF('Données projet'!$A$140&gt;35,CT103+CS104-DB103,IF(A104&lt;'Données projet'!$A$140,$CQ$205^A104,IF(A104='Données projet'!$A$140,'Données projet'!$B$140,CT103+CS104-DB103)))</f>
        <v>329.55555555555509</v>
      </c>
      <c r="CU104" s="17">
        <f>CT104*VLOOKUP('Données projet'!$B$13,Paramètres!$A$1:$I$89,3,0)*VLOOKUP('Données projet'!$B$13,Paramètres!$A$1:$I$89,5,0)</f>
        <v>298.18186666666622</v>
      </c>
      <c r="CV104" s="13">
        <f t="shared" si="95"/>
        <v>70.795178150955209</v>
      </c>
      <c r="CW104" s="20">
        <f t="shared" si="67"/>
        <v>642.635019724024</v>
      </c>
      <c r="CX104" s="59">
        <f t="shared" si="68"/>
        <v>935.96835305735726</v>
      </c>
      <c r="CY104" s="59">
        <f ca="1">AVERAGE(OFFSET($CX$3,0,0,'Données projet'!$E$13+1,1))-AVERAGE(OFFSET($H$3,0,0,'Données projet'!$E$13+1,1))</f>
        <v>528.15559695545812</v>
      </c>
      <c r="CZ104" s="59">
        <f t="shared" si="96"/>
        <v>276.26988364830532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12.59289271124249</v>
      </c>
      <c r="DG104" s="21">
        <f>EXP(-LN(2)/25)*DG103+(1-EXP(-LN(2)/25))/(LN(2)/25)*Calculateur!DB104*Calculateur!DD104*VLOOKUP('Données projet'!$B$13,Paramètres!$A$1:$I$89,3,0)*0.475*44/12</f>
        <v>28.754112654025054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41.347005365267542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7.1111111111111107</v>
      </c>
      <c r="DO104" s="12">
        <f>IF('Données projet'!$A$166&gt;35,DO103+DN104-DW103,IF(A104&lt;'Données projet'!$A$166,$DL$205^A104,IF(A104='Données projet'!$A$166,'Données projet'!$B$166,DO103+DN104-DW103)))</f>
        <v>329.55555555555509</v>
      </c>
      <c r="DP104" s="17">
        <f>DO104*VLOOKUP('Données projet'!$B$14,Paramètres!$A$1:$I$89,3,0)*VLOOKUP('Données projet'!$B$14,Paramètres!$A$1:$I$89,5,0)</f>
        <v>334.16933333333287</v>
      </c>
      <c r="DQ104" s="13">
        <f t="shared" si="97"/>
        <v>78.294083697952715</v>
      </c>
      <c r="DR104" s="20">
        <f t="shared" si="70"/>
        <v>718.37378466282235</v>
      </c>
      <c r="DS104" s="59">
        <f t="shared" si="71"/>
        <v>1011.7071179961556</v>
      </c>
      <c r="DT104" s="59">
        <f ca="1">AVERAGE(OFFSET($DS$3,0,0,'Données projet'!$E$14+1,1))-AVERAGE(OFFSET($H$3,0,0,'Données projet'!$E$14+1,1))</f>
        <v>586.50020405958992</v>
      </c>
      <c r="DU104" s="59">
        <f t="shared" si="98"/>
        <v>304.44184537595294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14.112724590185548</v>
      </c>
      <c r="EB104" s="21">
        <f>EXP(-LN(2)/25)*EB103+(1-EXP(-LN(2)/25))/(LN(2)/25)*Calculateur!DW104*Calculateur!DY104*VLOOKUP('Données projet'!$B$14,Paramètres!$A$1:$I$89,3,0)*0.475*44/12</f>
        <v>32.224436595028081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46.337161185213631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-1.7053025658242404E-13</v>
      </c>
      <c r="EK104" s="17">
        <f>EJ104*VLOOKUP('Données projet'!$B$15,Paramètres!$A$1:$I$89,3,0)*VLOOKUP('Données projet'!$B$15,Paramètres!$A$1:$I$89,5,0)</f>
        <v>-1.6493686416652052E-13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355.72173590705142</v>
      </c>
      <c r="EP104" s="59">
        <f t="shared" si="100"/>
        <v>346.30980704469363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67.271431189481277</v>
      </c>
      <c r="EW104" s="21">
        <f>EXP(-LN(2)/25)*EW103+(1-EXP(-LN(2)/25))/(LN(2)/25)*Calculateur!ER104*Calculateur!ET104*VLOOKUP('Données projet'!$B$15,Paramètres!$A$1:$I$89,3,0)*0.475*44/12</f>
        <v>1.5623319128029389</v>
      </c>
      <c r="EX104" s="21">
        <f>EXP(-LN(2)/2)*EX103+(1-EXP(-LN(2)/2))/(LN(2)/2)*ER104*EU104*VLOOKUP('Données projet'!$B$15,Paramètres!$A$1:$I$89,3,0)*0.475*44/12</f>
        <v>3.4933073277281811E-2</v>
      </c>
      <c r="EY104" s="22">
        <f t="shared" si="75"/>
        <v>68.868696175561496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-1.383341441396624E-13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304.26232113495314</v>
      </c>
      <c r="FK104" s="59">
        <f t="shared" si="102"/>
        <v>297.47246687305056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69.542409736763119</v>
      </c>
      <c r="FR104" s="21">
        <f>EXP(-LN(2)/25)*FR103+(1-EXP(-LN(2)/25))/(LN(2)/25)*Calculateur!FM104*Calculateur!FO104*VLOOKUP('Données projet'!$B$16,Paramètres!$A$1:$I$89,3,0)*0.475*44/12</f>
        <v>1.6150738003319209</v>
      </c>
      <c r="FS104" s="21">
        <f>EXP(-LN(2)/2)*FS103+(1-EXP(-LN(2)/2))/(LN(2)/2)*FM104*FP104*VLOOKUP('Données projet'!$B$16,Paramètres!$A$1:$I$89,3,0)*0.475*44/12</f>
        <v>2.9298706619655765E-2</v>
      </c>
      <c r="FT104" s="22">
        <f t="shared" si="78"/>
        <v>71.186782243714703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-1.4897523215040567E-13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381.72225529388083</v>
      </c>
      <c r="T105" s="59">
        <f t="shared" si="88"/>
        <v>360.05900046417361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114.83523235332598</v>
      </c>
      <c r="AA105" s="21">
        <f>EXP(-LN(2)/25)*AA104+(1-EXP(-LN(2)/25))/(LN(2)/25)*Calculateur!V105*Calculateur!X105*VLOOKUP('Données projet'!$B$9,Paramètres!$A$1:$I$89,3,0)*0.475*44/12</f>
        <v>18.104486354837082</v>
      </c>
      <c r="AB105" s="21">
        <f>EXP(-LN(2)/2)*AB104+(1-EXP(-LN(2)/2))/(LN(2)/2)*V105*Y105*VLOOKUP('Données projet'!$B$9,Paramètres!$A$1:$I$89,3,0)*0.475*44/12</f>
        <v>2.2980502401572988E-11</v>
      </c>
      <c r="AC105" s="22">
        <f t="shared" si="57"/>
        <v>132.93971870818606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7.8</v>
      </c>
      <c r="AI105" s="13">
        <f>IF('Données projet'!$A$62&gt;35,AI104+AH105-AQ104,IF(A105&lt;'Données projet'!$A$62,$AF$205^A105,IF(A105='Données projet'!$A$62,'Données projet'!$B$62,AI104+AH105-AQ104)))</f>
        <v>460.6</v>
      </c>
      <c r="AJ105" s="13">
        <f>AI105*VLOOKUP('Données projet'!$B$10,Paramètres!$A$1:$I$89,3,0)*VLOOKUP('Données projet'!$B$10,Paramètres!$A$1:$I$89,5,0)</f>
        <v>337.71192000000002</v>
      </c>
      <c r="AK105" s="13">
        <f t="shared" si="89"/>
        <v>79.027028989100984</v>
      </c>
      <c r="AL105" s="20">
        <f t="shared" si="58"/>
        <v>725.82033615601756</v>
      </c>
      <c r="AM105" s="59">
        <f t="shared" si="59"/>
        <v>1019.1536694893509</v>
      </c>
      <c r="AN105" s="59">
        <f ca="1">AVERAGE(OFFSET($AM$3,0,0,'Données projet'!$E$10+1,1))-AVERAGE(OFFSET($H$3,0,0,'Données projet'!$E$10+1,1))</f>
        <v>464.3681853739115</v>
      </c>
      <c r="AO105" s="59">
        <f t="shared" si="90"/>
        <v>272.97841038165217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10.503326363031572</v>
      </c>
      <c r="AV105" s="21">
        <f>EXP(-LN(2)/25)*AV104+(1-EXP(-LN(2)/25))/(LN(2)/25)*Calculateur!AQ105*Calculateur!AS105*VLOOKUP('Données projet'!$B$10,Paramètres!$A$1:$I$89,3,0)*0.475*44/12</f>
        <v>28.355098930194238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38.858425293225807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-1.3567387213697657E-13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299.10536994156814</v>
      </c>
      <c r="BJ105" s="59">
        <f t="shared" si="92"/>
        <v>292.57799203101769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66.867596161997071</v>
      </c>
      <c r="BQ105" s="21">
        <f>EXP(-LN(2)/25)*BQ104+(1-EXP(-LN(2)/25))/(LN(2)/25)*Calculateur!BL105*Calculateur!BN105*VLOOKUP('Données projet'!$B$11,Paramètres!$A$1:$I$89,3,0)*0.475*44/12</f>
        <v>1.5406997238224807</v>
      </c>
      <c r="BR105" s="21">
        <f>EXP(-LN(2)/2)*BR104+(1-EXP(-LN(2)/2))/(LN(2)/2)*BL105*BO105*VLOOKUP('Données projet'!$B$11,Paramètres!$A$1:$I$89,3,0)*0.475*44/12</f>
        <v>2.0318904243623877E-2</v>
      </c>
      <c r="BS105" s="22">
        <f t="shared" si="63"/>
        <v>68.428614790063179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-1.7053025658242404E-13</v>
      </c>
      <c r="BZ105" s="13">
        <f>BY105*VLOOKUP('Données projet'!$B$12,Paramètres!$A$1:$I$89,3,0)*VLOOKUP('Données projet'!$B$12,Paramètres!$A$1:$I$89,5,0)</f>
        <v>-1.3567387213697657E-13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299.10536994156814</v>
      </c>
      <c r="CE105" s="59">
        <f t="shared" si="94"/>
        <v>292.57799203101769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66.867596161997071</v>
      </c>
      <c r="CL105" s="21">
        <f>EXP(-LN(2)/25)*CL104+(1-EXP(-LN(2)/25))/(LN(2)/25)*Calculateur!CG105*Calculateur!CI105*VLOOKUP('Données projet'!$B$12,Paramètres!$A$1:$I$89,3,0)*0.475*44/12</f>
        <v>1.5406997238224807</v>
      </c>
      <c r="CM105" s="21">
        <f>EXP(-LN(2)/2)*CM104+(1-EXP(-LN(2)/2))/(LN(2)/2)*CG105*CJ105*VLOOKUP('Données projet'!$B$12,Paramètres!$A$1:$I$89,3,0)*0.475*44/12</f>
        <v>2.0318904243623877E-2</v>
      </c>
      <c r="CN105" s="22">
        <f t="shared" si="66"/>
        <v>68.428614790063179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7.1111111111111107</v>
      </c>
      <c r="CT105" s="12">
        <f>IF('Données projet'!$A$140&gt;35,CT104+CS105-DB104,IF(A105&lt;'Données projet'!$A$140,$CQ$205^A105,IF(A105='Données projet'!$A$140,'Données projet'!$B$140,CT104+CS105-DB104)))</f>
        <v>336.66666666666617</v>
      </c>
      <c r="CU105" s="17">
        <f>CT105*VLOOKUP('Données projet'!$B$13,Paramètres!$A$1:$I$89,3,0)*VLOOKUP('Données projet'!$B$13,Paramètres!$A$1:$I$89,5,0)</f>
        <v>304.61599999999953</v>
      </c>
      <c r="CV105" s="13">
        <f t="shared" si="95"/>
        <v>72.143292729010327</v>
      </c>
      <c r="CW105" s="20">
        <f t="shared" si="67"/>
        <v>656.18910150302543</v>
      </c>
      <c r="CX105" s="59">
        <f t="shared" si="68"/>
        <v>949.5224348363588</v>
      </c>
      <c r="CY105" s="59">
        <f ca="1">AVERAGE(OFFSET($CX$3,0,0,'Données projet'!$E$13+1,1))-AVERAGE(OFFSET($H$3,0,0,'Données projet'!$E$13+1,1))</f>
        <v>528.15559695545812</v>
      </c>
      <c r="CZ105" s="59">
        <f t="shared" si="96"/>
        <v>276.26988364830532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12.345953766081152</v>
      </c>
      <c r="DG105" s="21">
        <f>EXP(-LN(2)/25)*DG104+(1-EXP(-LN(2)/25))/(LN(2)/25)*Calculateur!DB105*Calculateur!DD105*VLOOKUP('Données projet'!$B$13,Paramètres!$A$1:$I$89,3,0)*0.475*44/12</f>
        <v>27.967829931387673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40.313783697468821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7.1111111111111107</v>
      </c>
      <c r="DO105" s="12">
        <f>IF('Données projet'!$A$166&gt;35,DO104+DN105-DW104,IF(A105&lt;'Données projet'!$A$166,$DL$205^A105,IF(A105='Données projet'!$A$166,'Données projet'!$B$166,DO104+DN105-DW104)))</f>
        <v>336.66666666666617</v>
      </c>
      <c r="DP105" s="17">
        <f>DO105*VLOOKUP('Données projet'!$B$14,Paramètres!$A$1:$I$89,3,0)*VLOOKUP('Données projet'!$B$14,Paramètres!$A$1:$I$89,5,0)</f>
        <v>341.37999999999954</v>
      </c>
      <c r="DQ105" s="13">
        <f t="shared" si="97"/>
        <v>79.784995909284618</v>
      </c>
      <c r="DR105" s="20">
        <f t="shared" si="70"/>
        <v>733.52903454200316</v>
      </c>
      <c r="DS105" s="59">
        <f t="shared" si="71"/>
        <v>1026.8623678753365</v>
      </c>
      <c r="DT105" s="59">
        <f ca="1">AVERAGE(OFFSET($DS$3,0,0,'Données projet'!$E$14+1,1))-AVERAGE(OFFSET($H$3,0,0,'Données projet'!$E$14+1,1))</f>
        <v>586.50020405958992</v>
      </c>
      <c r="DU105" s="59">
        <f t="shared" si="98"/>
        <v>304.44184537595294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13.83598266888405</v>
      </c>
      <c r="EB105" s="21">
        <f>EXP(-LN(2)/25)*EB104+(1-EXP(-LN(2)/25))/(LN(2)/25)*Calculateur!DW105*Calculateur!DY105*VLOOKUP('Données projet'!$B$14,Paramètres!$A$1:$I$89,3,0)*0.475*44/12</f>
        <v>31.343257681727568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45.179240350611622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-1.7053025658242404E-13</v>
      </c>
      <c r="EK105" s="17">
        <f>EJ105*VLOOKUP('Données projet'!$B$15,Paramètres!$A$1:$I$89,3,0)*VLOOKUP('Données projet'!$B$15,Paramètres!$A$1:$I$89,5,0)</f>
        <v>-1.6493686416652052E-13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355.72173590705142</v>
      </c>
      <c r="EP105" s="59">
        <f t="shared" si="100"/>
        <v>346.30980704469363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65.952279455377052</v>
      </c>
      <c r="EW105" s="21">
        <f>EXP(-LN(2)/25)*EW104+(1-EXP(-LN(2)/25))/(LN(2)/25)*Calculateur!ER105*Calculateur!ET105*VLOOKUP('Données projet'!$B$15,Paramètres!$A$1:$I$89,3,0)*0.475*44/12</f>
        <v>1.5196098644878779</v>
      </c>
      <c r="EX105" s="21">
        <f>EXP(-LN(2)/2)*EX104+(1-EXP(-LN(2)/2))/(LN(2)/2)*ER105*EU105*VLOOKUP('Données projet'!$B$15,Paramètres!$A$1:$I$89,3,0)*0.475*44/12</f>
        <v>2.4701413002052541E-2</v>
      </c>
      <c r="EY105" s="22">
        <f t="shared" si="75"/>
        <v>67.496590732866977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-1.383341441396624E-13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304.26232113495314</v>
      </c>
      <c r="FK105" s="59">
        <f t="shared" si="102"/>
        <v>297.47246687305056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68.178725498506836</v>
      </c>
      <c r="FR105" s="21">
        <f>EXP(-LN(2)/25)*FR104+(1-EXP(-LN(2)/25))/(LN(2)/25)*Calculateur!FM105*Calculateur!FO105*VLOOKUP('Données projet'!$B$16,Paramètres!$A$1:$I$89,3,0)*0.475*44/12</f>
        <v>1.5709095223288048</v>
      </c>
      <c r="FS105" s="21">
        <f>EXP(-LN(2)/2)*FS104+(1-EXP(-LN(2)/2))/(LN(2)/2)*FM105*FP105*VLOOKUP('Données projet'!$B$16,Paramètres!$A$1:$I$89,3,0)*0.475*44/12</f>
        <v>2.0717314130753783E-2</v>
      </c>
      <c r="FT105" s="22">
        <f t="shared" si="78"/>
        <v>69.77035233496639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-1.4897523215040567E-13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381.72225529388083</v>
      </c>
      <c r="T106" s="59">
        <f t="shared" si="88"/>
        <v>360.05900046417361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112.58338348945286</v>
      </c>
      <c r="AA106" s="21">
        <f>EXP(-LN(2)/25)*AA105+(1-EXP(-LN(2)/25))/(LN(2)/25)*Calculateur!V106*Calculateur!X106*VLOOKUP('Données projet'!$B$9,Paramètres!$A$1:$I$89,3,0)*0.475*44/12</f>
        <v>17.609418223390502</v>
      </c>
      <c r="AB106" s="21">
        <f>EXP(-LN(2)/2)*AB105+(1-EXP(-LN(2)/2))/(LN(2)/2)*V106*Y106*VLOOKUP('Données projet'!$B$9,Paramètres!$A$1:$I$89,3,0)*0.475*44/12</f>
        <v>1.6249669083226E-11</v>
      </c>
      <c r="AC106" s="22">
        <f t="shared" si="57"/>
        <v>130.19280171285962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7.8</v>
      </c>
      <c r="AI106" s="13">
        <f>IF('Données projet'!$A$62&gt;35,AI105+AH106-AQ105,IF(A106&lt;'Données projet'!$A$62,$AF$205^A106,IF(A106='Données projet'!$A$62,'Données projet'!$B$62,AI105+AH106-AQ105)))</f>
        <v>468.40000000000003</v>
      </c>
      <c r="AJ106" s="13">
        <f>AI106*VLOOKUP('Données projet'!$B$10,Paramètres!$A$1:$I$89,3,0)*VLOOKUP('Données projet'!$B$10,Paramètres!$A$1:$I$89,5,0)</f>
        <v>343.43088</v>
      </c>
      <c r="AK106" s="13">
        <f t="shared" si="89"/>
        <v>80.208373214173363</v>
      </c>
      <c r="AL106" s="20">
        <f t="shared" si="58"/>
        <v>737.83836601468522</v>
      </c>
      <c r="AM106" s="59">
        <f t="shared" si="59"/>
        <v>1031.1716993480186</v>
      </c>
      <c r="AN106" s="59">
        <f ca="1">AVERAGE(OFFSET($AM$3,0,0,'Données projet'!$E$10+1,1))-AVERAGE(OFFSET($H$3,0,0,'Données projet'!$E$10+1,1))</f>
        <v>464.3681853739115</v>
      </c>
      <c r="AO106" s="59">
        <f t="shared" si="90"/>
        <v>272.97841038165217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10.297362539449026</v>
      </c>
      <c r="AV106" s="21">
        <f>EXP(-LN(2)/25)*AV105+(1-EXP(-LN(2)/25))/(LN(2)/25)*Calculateur!AQ106*Calculateur!AS106*VLOOKUP('Données projet'!$B$10,Paramètres!$A$1:$I$89,3,0)*0.475*44/12</f>
        <v>27.579727258818231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37.877089798267257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-1.3567387213697657E-13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299.10536994156814</v>
      </c>
      <c r="BJ106" s="59">
        <f t="shared" si="92"/>
        <v>292.57799203101769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65.556363386466757</v>
      </c>
      <c r="BQ106" s="21">
        <f>EXP(-LN(2)/25)*BQ105+(1-EXP(-LN(2)/25))/(LN(2)/25)*Calculateur!BL106*Calculateur!BN106*VLOOKUP('Données projet'!$B$11,Paramètres!$A$1:$I$89,3,0)*0.475*44/12</f>
        <v>1.4985692088526779</v>
      </c>
      <c r="BR106" s="21">
        <f>EXP(-LN(2)/2)*BR105+(1-EXP(-LN(2)/2))/(LN(2)/2)*BL106*BO106*VLOOKUP('Données projet'!$B$11,Paramètres!$A$1:$I$89,3,0)*0.475*44/12</f>
        <v>1.4367634976946561E-2</v>
      </c>
      <c r="BS106" s="22">
        <f t="shared" si="63"/>
        <v>67.069300230296378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-1.7053025658242404E-13</v>
      </c>
      <c r="BZ106" s="13">
        <f>BY106*VLOOKUP('Données projet'!$B$12,Paramètres!$A$1:$I$89,3,0)*VLOOKUP('Données projet'!$B$12,Paramètres!$A$1:$I$89,5,0)</f>
        <v>-1.3567387213697657E-13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299.10536994156814</v>
      </c>
      <c r="CE106" s="59">
        <f t="shared" si="94"/>
        <v>292.57799203101769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65.556363386466757</v>
      </c>
      <c r="CL106" s="21">
        <f>EXP(-LN(2)/25)*CL105+(1-EXP(-LN(2)/25))/(LN(2)/25)*Calculateur!CG106*Calculateur!CI106*VLOOKUP('Données projet'!$B$12,Paramètres!$A$1:$I$89,3,0)*0.475*44/12</f>
        <v>1.4985692088526779</v>
      </c>
      <c r="CM106" s="21">
        <f>EXP(-LN(2)/2)*CM105+(1-EXP(-LN(2)/2))/(LN(2)/2)*CG106*CJ106*VLOOKUP('Données projet'!$B$12,Paramètres!$A$1:$I$89,3,0)*0.475*44/12</f>
        <v>1.4367634976946561E-2</v>
      </c>
      <c r="CN106" s="22">
        <f t="shared" si="66"/>
        <v>67.069300230296378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7.1111111111111107</v>
      </c>
      <c r="CT106" s="12">
        <f>IF('Données projet'!$A$140&gt;35,CT105+CS106-DB105,IF(A106&lt;'Données projet'!$A$140,$CQ$205^A106,IF(A106='Données projet'!$A$140,'Données projet'!$B$140,CT105+CS106-DB105)))</f>
        <v>343.77777777777726</v>
      </c>
      <c r="CU106" s="17">
        <f>CT106*VLOOKUP('Données projet'!$B$13,Paramètres!$A$1:$I$89,3,0)*VLOOKUP('Données projet'!$B$13,Paramètres!$A$1:$I$89,5,0)</f>
        <v>311.05013333333284</v>
      </c>
      <c r="CV106" s="13">
        <f t="shared" si="95"/>
        <v>73.488096624860688</v>
      </c>
      <c r="CW106" s="20">
        <f t="shared" si="67"/>
        <v>669.73741717718713</v>
      </c>
      <c r="CX106" s="59">
        <f t="shared" si="68"/>
        <v>963.07075051052038</v>
      </c>
      <c r="CY106" s="59">
        <f ca="1">AVERAGE(OFFSET($CX$3,0,0,'Données projet'!$E$13+1,1))-AVERAGE(OFFSET($H$3,0,0,'Données projet'!$E$13+1,1))</f>
        <v>528.15559695545812</v>
      </c>
      <c r="CZ106" s="59">
        <f t="shared" si="96"/>
        <v>276.26988364830532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12.103857143016544</v>
      </c>
      <c r="DG106" s="21">
        <f>EXP(-LN(2)/25)*DG105+(1-EXP(-LN(2)/25))/(LN(2)/25)*Calculateur!DB106*Calculateur!DD106*VLOOKUP('Données projet'!$B$13,Paramètres!$A$1:$I$89,3,0)*0.475*44/12</f>
        <v>27.203048151149623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39.306905294166171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7.1111111111111107</v>
      </c>
      <c r="DO106" s="12">
        <f>IF('Données projet'!$A$166&gt;35,DO105+DN106-DW105,IF(A106&lt;'Données projet'!$A$166,$DL$205^A106,IF(A106='Données projet'!$A$166,'Données projet'!$B$166,DO105+DN106-DW105)))</f>
        <v>343.77777777777726</v>
      </c>
      <c r="DP106" s="17">
        <f>DO106*VLOOKUP('Données projet'!$B$14,Paramètres!$A$1:$I$89,3,0)*VLOOKUP('Données projet'!$B$14,Paramètres!$A$1:$I$89,5,0)</f>
        <v>348.59066666666615</v>
      </c>
      <c r="DQ106" s="13">
        <f t="shared" si="97"/>
        <v>81.272246757845707</v>
      </c>
      <c r="DR106" s="20">
        <f t="shared" si="70"/>
        <v>748.67790754769158</v>
      </c>
      <c r="DS106" s="59">
        <f t="shared" si="71"/>
        <v>1042.0112408810248</v>
      </c>
      <c r="DT106" s="59">
        <f ca="1">AVERAGE(OFFSET($DS$3,0,0,'Données projet'!$E$14+1,1))-AVERAGE(OFFSET($H$3,0,0,'Données projet'!$E$14+1,1))</f>
        <v>586.50020405958992</v>
      </c>
      <c r="DU106" s="59">
        <f t="shared" si="98"/>
        <v>304.44184537595294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13.564667487863368</v>
      </c>
      <c r="EB106" s="21">
        <f>EXP(-LN(2)/25)*EB105+(1-EXP(-LN(2)/25))/(LN(2)/25)*Calculateur!DW106*Calculateur!DY106*VLOOKUP('Données projet'!$B$14,Paramètres!$A$1:$I$89,3,0)*0.475*44/12</f>
        <v>30.486174652150442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44.050842140013813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-1.7053025658242404E-13</v>
      </c>
      <c r="EK106" s="17">
        <f>EJ106*VLOOKUP('Données projet'!$B$15,Paramètres!$A$1:$I$89,3,0)*VLOOKUP('Données projet'!$B$15,Paramètres!$A$1:$I$89,5,0)</f>
        <v>-1.6493686416652052E-13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355.72173590705142</v>
      </c>
      <c r="EP106" s="59">
        <f t="shared" si="100"/>
        <v>346.30980704469363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64.658995482175499</v>
      </c>
      <c r="EW106" s="21">
        <f>EXP(-LN(2)/25)*EW105+(1-EXP(-LN(2)/25))/(LN(2)/25)*Calculateur!ER106*Calculateur!ET106*VLOOKUP('Données projet'!$B$15,Paramètres!$A$1:$I$89,3,0)*0.475*44/12</f>
        <v>1.4780560528306472</v>
      </c>
      <c r="EX106" s="21">
        <f>EXP(-LN(2)/2)*EX105+(1-EXP(-LN(2)/2))/(LN(2)/2)*ER106*EU106*VLOOKUP('Données projet'!$B$15,Paramètres!$A$1:$I$89,3,0)*0.475*44/12</f>
        <v>1.7466536638640905E-2</v>
      </c>
      <c r="EY106" s="22">
        <f t="shared" si="75"/>
        <v>66.154518071644787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-1.383341441396624E-13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304.26232113495314</v>
      </c>
      <c r="FK106" s="59">
        <f t="shared" si="102"/>
        <v>297.47246687305056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66.841782276397495</v>
      </c>
      <c r="FR106" s="21">
        <f>EXP(-LN(2)/25)*FR105+(1-EXP(-LN(2)/25))/(LN(2)/25)*Calculateur!FM106*Calculateur!FO106*VLOOKUP('Données projet'!$B$16,Paramètres!$A$1:$I$89,3,0)*0.475*44/12</f>
        <v>1.5279529188301821</v>
      </c>
      <c r="FS106" s="21">
        <f>EXP(-LN(2)/2)*FS105+(1-EXP(-LN(2)/2))/(LN(2)/2)*FM106*FP106*VLOOKUP('Données projet'!$B$16,Paramètres!$A$1:$I$89,3,0)*0.475*44/12</f>
        <v>1.4649353309827886E-2</v>
      </c>
      <c r="FT106" s="22">
        <f t="shared" si="78"/>
        <v>68.384384548537497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-1.4897523215040567E-13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381.72225529388083</v>
      </c>
      <c r="T107" s="59">
        <f t="shared" si="88"/>
        <v>360.05900046417361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110.37569200830811</v>
      </c>
      <c r="AA107" s="21">
        <f>EXP(-LN(2)/25)*AA106+(1-EXP(-LN(2)/25))/(LN(2)/25)*Calculateur!V107*Calculateur!X107*VLOOKUP('Données projet'!$B$9,Paramètres!$A$1:$I$89,3,0)*0.475*44/12</f>
        <v>17.12788775603283</v>
      </c>
      <c r="AB107" s="21">
        <f>EXP(-LN(2)/2)*AB106+(1-EXP(-LN(2)/2))/(LN(2)/2)*V107*Y107*VLOOKUP('Données projet'!$B$9,Paramètres!$A$1:$I$89,3,0)*0.475*44/12</f>
        <v>1.1490251200786494E-11</v>
      </c>
      <c r="AC107" s="22">
        <f t="shared" si="57"/>
        <v>127.50357976435244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7.8</v>
      </c>
      <c r="AI107" s="13">
        <f>IF('Données projet'!$A$62&gt;35,AI106+AH107-AQ106,IF(A107&lt;'Données projet'!$A$62,$AF$205^A107,IF(A107='Données projet'!$A$62,'Données projet'!$B$62,AI106+AH107-AQ106)))</f>
        <v>476.20000000000005</v>
      </c>
      <c r="AJ107" s="13">
        <f>AI107*VLOOKUP('Données projet'!$B$10,Paramètres!$A$1:$I$89,3,0)*VLOOKUP('Données projet'!$B$10,Paramètres!$A$1:$I$89,5,0)</f>
        <v>349.14984000000004</v>
      </c>
      <c r="AK107" s="13">
        <f t="shared" si="89"/>
        <v>81.387429694625482</v>
      </c>
      <c r="AL107" s="20">
        <f t="shared" si="58"/>
        <v>749.85241138480615</v>
      </c>
      <c r="AM107" s="59">
        <f t="shared" si="59"/>
        <v>1043.1857447181394</v>
      </c>
      <c r="AN107" s="59">
        <f ca="1">AVERAGE(OFFSET($AM$3,0,0,'Données projet'!$E$10+1,1))-AVERAGE(OFFSET($H$3,0,0,'Données projet'!$E$10+1,1))</f>
        <v>464.3681853739115</v>
      </c>
      <c r="AO107" s="59">
        <f t="shared" si="90"/>
        <v>272.97841038165217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10.095437540821404</v>
      </c>
      <c r="AV107" s="21">
        <f>EXP(-LN(2)/25)*AV106+(1-EXP(-LN(2)/25))/(LN(2)/25)*Calculateur!AQ107*Calculateur!AS107*VLOOKUP('Données projet'!$B$10,Paramètres!$A$1:$I$89,3,0)*0.475*44/12</f>
        <v>26.825558166571025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36.920995707392429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-1.3567387213697657E-13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299.10536994156814</v>
      </c>
      <c r="BJ107" s="59">
        <f t="shared" si="92"/>
        <v>292.57799203101769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64.27084308589157</v>
      </c>
      <c r="BQ107" s="21">
        <f>EXP(-LN(2)/25)*BQ106+(1-EXP(-LN(2)/25))/(LN(2)/25)*Calculateur!BL107*Calculateur!BN107*VLOOKUP('Données projet'!$B$11,Paramètres!$A$1:$I$89,3,0)*0.475*44/12</f>
        <v>1.4575907550302718</v>
      </c>
      <c r="BR107" s="21">
        <f>EXP(-LN(2)/2)*BR106+(1-EXP(-LN(2)/2))/(LN(2)/2)*BL107*BO107*VLOOKUP('Données projet'!$B$11,Paramètres!$A$1:$I$89,3,0)*0.475*44/12</f>
        <v>1.0159452121811938E-2</v>
      </c>
      <c r="BS107" s="22">
        <f t="shared" si="63"/>
        <v>65.73859329304365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-1.7053025658242404E-13</v>
      </c>
      <c r="BZ107" s="13">
        <f>BY107*VLOOKUP('Données projet'!$B$12,Paramètres!$A$1:$I$89,3,0)*VLOOKUP('Données projet'!$B$12,Paramètres!$A$1:$I$89,5,0)</f>
        <v>-1.3567387213697657E-13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299.10536994156814</v>
      </c>
      <c r="CE107" s="59">
        <f t="shared" si="94"/>
        <v>292.57799203101769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64.27084308589157</v>
      </c>
      <c r="CL107" s="21">
        <f>EXP(-LN(2)/25)*CL106+(1-EXP(-LN(2)/25))/(LN(2)/25)*Calculateur!CG107*Calculateur!CI107*VLOOKUP('Données projet'!$B$12,Paramètres!$A$1:$I$89,3,0)*0.475*44/12</f>
        <v>1.4575907550302718</v>
      </c>
      <c r="CM107" s="21">
        <f>EXP(-LN(2)/2)*CM106+(1-EXP(-LN(2)/2))/(LN(2)/2)*CG107*CJ107*VLOOKUP('Données projet'!$B$12,Paramètres!$A$1:$I$89,3,0)*0.475*44/12</f>
        <v>1.0159452121811938E-2</v>
      </c>
      <c r="CN107" s="22">
        <f t="shared" si="66"/>
        <v>65.73859329304365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7.1111111111111107</v>
      </c>
      <c r="CT107" s="12">
        <f>IF('Données projet'!$A$140&gt;35,CT106+CS107-DB106,IF(A107&lt;'Données projet'!$A$140,$CQ$205^A107,IF(A107='Données projet'!$A$140,'Données projet'!$B$140,CT106+CS107-DB106)))</f>
        <v>350.88888888888835</v>
      </c>
      <c r="CU107" s="17">
        <f>CT107*VLOOKUP('Données projet'!$B$13,Paramètres!$A$1:$I$89,3,0)*VLOOKUP('Données projet'!$B$13,Paramètres!$A$1:$I$89,5,0)</f>
        <v>317.4842666666662</v>
      </c>
      <c r="CV107" s="13">
        <f t="shared" si="95"/>
        <v>74.82966621096746</v>
      </c>
      <c r="CW107" s="20">
        <f t="shared" si="67"/>
        <v>683.28009976187866</v>
      </c>
      <c r="CX107" s="59">
        <f t="shared" si="68"/>
        <v>976.61343309521203</v>
      </c>
      <c r="CY107" s="59">
        <f ca="1">AVERAGE(OFFSET($CX$3,0,0,'Données projet'!$E$13+1,1))-AVERAGE(OFFSET($H$3,0,0,'Données projet'!$E$13+1,1))</f>
        <v>528.15559695545812</v>
      </c>
      <c r="CZ107" s="59">
        <f t="shared" si="96"/>
        <v>276.26988364830532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11.866507887065874</v>
      </c>
      <c r="DG107" s="21">
        <f>EXP(-LN(2)/25)*DG106+(1-EXP(-LN(2)/25))/(LN(2)/25)*Calculateur!DB107*Calculateur!DD107*VLOOKUP('Données projet'!$B$13,Paramètres!$A$1:$I$89,3,0)*0.475*44/12</f>
        <v>26.459179368910309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38.325687255976185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7.1111111111111107</v>
      </c>
      <c r="DO107" s="12">
        <f>IF('Données projet'!$A$166&gt;35,DO106+DN107-DW106,IF(A107&lt;'Données projet'!$A$166,$DL$205^A107,IF(A107='Données projet'!$A$166,'Données projet'!$B$166,DO106+DN107-DW106)))</f>
        <v>350.88888888888835</v>
      </c>
      <c r="DP107" s="17">
        <f>DO107*VLOOKUP('Données projet'!$B$14,Paramètres!$A$1:$I$89,3,0)*VLOOKUP('Données projet'!$B$14,Paramètres!$A$1:$I$89,5,0)</f>
        <v>355.80133333333282</v>
      </c>
      <c r="DQ107" s="13">
        <f t="shared" si="97"/>
        <v>82.755920705770492</v>
      </c>
      <c r="DR107" s="20">
        <f t="shared" si="70"/>
        <v>763.82055078477163</v>
      </c>
      <c r="DS107" s="59">
        <f t="shared" si="71"/>
        <v>1057.153884118105</v>
      </c>
      <c r="DT107" s="59">
        <f ca="1">AVERAGE(OFFSET($DS$3,0,0,'Données projet'!$E$14+1,1))-AVERAGE(OFFSET($H$3,0,0,'Données projet'!$E$14+1,1))</f>
        <v>586.50020405958992</v>
      </c>
      <c r="DU107" s="59">
        <f t="shared" si="98"/>
        <v>304.44184537595294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13.298672632056581</v>
      </c>
      <c r="EB107" s="21">
        <f>EXP(-LN(2)/25)*EB106+(1-EXP(-LN(2)/25))/(LN(2)/25)*Calculateur!DW107*Calculateur!DY107*VLOOKUP('Données projet'!$B$14,Paramètres!$A$1:$I$89,3,0)*0.475*44/12</f>
        <v>29.652528603089142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42.951201235145724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-1.7053025658242404E-13</v>
      </c>
      <c r="EK107" s="17">
        <f>EJ107*VLOOKUP('Données projet'!$B$15,Paramètres!$A$1:$I$89,3,0)*VLOOKUP('Données projet'!$B$15,Paramètres!$A$1:$I$89,5,0)</f>
        <v>-1.6493686416652052E-13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355.72173590705142</v>
      </c>
      <c r="EP107" s="59">
        <f t="shared" si="100"/>
        <v>346.30980704469363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63.391072018863092</v>
      </c>
      <c r="EW107" s="21">
        <f>EXP(-LN(2)/25)*EW106+(1-EXP(-LN(2)/25))/(LN(2)/25)*Calculateur!ER107*Calculateur!ET107*VLOOKUP('Données projet'!$B$15,Paramètres!$A$1:$I$89,3,0)*0.475*44/12</f>
        <v>1.4376385323384036</v>
      </c>
      <c r="EX107" s="21">
        <f>EXP(-LN(2)/2)*EX106+(1-EXP(-LN(2)/2))/(LN(2)/2)*ER107*EU107*VLOOKUP('Données projet'!$B$15,Paramètres!$A$1:$I$89,3,0)*0.475*44/12</f>
        <v>1.235070650102627E-2</v>
      </c>
      <c r="EY107" s="22">
        <f t="shared" si="75"/>
        <v>64.84106125770252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-1.383341441396624E-13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304.26232113495314</v>
      </c>
      <c r="FK107" s="59">
        <f t="shared" si="102"/>
        <v>297.47246687305056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65.531055695418885</v>
      </c>
      <c r="FR107" s="21">
        <f>EXP(-LN(2)/25)*FR106+(1-EXP(-LN(2)/25))/(LN(2)/25)*Calculateur!FM107*Calculateur!FO107*VLOOKUP('Données projet'!$B$16,Paramètres!$A$1:$I$89,3,0)*0.475*44/12</f>
        <v>1.486170965913219</v>
      </c>
      <c r="FS107" s="21">
        <f>EXP(-LN(2)/2)*FS106+(1-EXP(-LN(2)/2))/(LN(2)/2)*FM107*FP107*VLOOKUP('Données projet'!$B$16,Paramètres!$A$1:$I$89,3,0)*0.475*44/12</f>
        <v>1.0358657065376893E-2</v>
      </c>
      <c r="FT107" s="22">
        <f t="shared" si="78"/>
        <v>67.027585318397485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-1.4897523215040567E-13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381.72225529388083</v>
      </c>
      <c r="T108" s="59">
        <f t="shared" si="88"/>
        <v>360.05900046417361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108.21129201054977</v>
      </c>
      <c r="AA108" s="21">
        <f>EXP(-LN(2)/25)*AA107+(1-EXP(-LN(2)/25))/(LN(2)/25)*Calculateur!V108*Calculateur!X108*VLOOKUP('Données projet'!$B$9,Paramètres!$A$1:$I$89,3,0)*0.475*44/12</f>
        <v>16.659524764627641</v>
      </c>
      <c r="AB108" s="21">
        <f>EXP(-LN(2)/2)*AB107+(1-EXP(-LN(2)/2))/(LN(2)/2)*V108*Y108*VLOOKUP('Données projet'!$B$9,Paramètres!$A$1:$I$89,3,0)*0.475*44/12</f>
        <v>8.1248345416130001E-12</v>
      </c>
      <c r="AC108" s="22">
        <f t="shared" si="57"/>
        <v>124.87081677518555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484</v>
      </c>
      <c r="AG108" s="12">
        <f>VLOOKUP(A108,'Données projet'!$A$61:$I$81,9,0)</f>
        <v>7.8</v>
      </c>
      <c r="AH108" s="12">
        <f t="array" ref="AH108">INDEX(AG:AG,MIN(IF(ISNUMBER(AG108:AG304),ROW(AG108:AG304),"")))</f>
        <v>7.8</v>
      </c>
      <c r="AI108" s="13">
        <f>IF('Données projet'!$A$62&gt;35,AI107+AH108-AQ107,IF(A108&lt;'Données projet'!$A$62,$AF$205^A108,IF(A108='Données projet'!$A$62,'Données projet'!$B$62,AI107+AH108-AQ107)))</f>
        <v>484.00000000000006</v>
      </c>
      <c r="AJ108" s="13">
        <f>AI108*VLOOKUP('Données projet'!$B$10,Paramètres!$A$1:$I$89,3,0)*VLOOKUP('Données projet'!$B$10,Paramètres!$A$1:$I$89,5,0)</f>
        <v>354.86880000000002</v>
      </c>
      <c r="AK108" s="13">
        <f t="shared" si="89"/>
        <v>82.564240228675203</v>
      </c>
      <c r="AL108" s="20">
        <f t="shared" si="58"/>
        <v>761.86254506494276</v>
      </c>
      <c r="AM108" s="59">
        <f t="shared" si="59"/>
        <v>1055.1958783982761</v>
      </c>
      <c r="AN108" s="59">
        <f ca="1">AVERAGE(OFFSET($AM$3,0,0,'Données projet'!$E$10+1,1))-AVERAGE(OFFSET($H$3,0,0,'Données projet'!$E$10+1,1))</f>
        <v>464.3681853739115</v>
      </c>
      <c r="AO108" s="59">
        <f t="shared" si="90"/>
        <v>272.97841038165217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28</v>
      </c>
      <c r="AR108" s="16">
        <f>IF(ISNA(VLOOKUP(A108,'Données projet'!$A$61:$I$81,5,0)),0%,VLOOKUP(A108,'Données projet'!$A$61:$I$81,5,0)*VLOOKUP('Données projet'!$B$10,Paramètres!$A$1:$I$89,7,0))</f>
        <v>0.30099999999999999</v>
      </c>
      <c r="AS108" s="16">
        <f>IF(ISNA(VLOOKUP(A108,'Données projet'!$A$61:$I$81,6,0)),0%,VLOOKUP(A108,'Données projet'!$A$61:$I$81,6,0)*VLOOKUP('Données projet'!$B$10,Paramètres!$A$1:$I$89,7,0))</f>
        <v>4.3000000000000003E-2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16.728626444056339</v>
      </c>
      <c r="AV108" s="21">
        <f>EXP(-LN(2)/25)*AV107+(1-EXP(-LN(2)/25))/(LN(2)/25)*Calculateur!AQ108*Calculateur!AS108*VLOOKUP('Données projet'!$B$10,Paramètres!$A$1:$I$89,3,0)*0.475*44/12</f>
        <v>27.064048641889045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43.792675085945383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-1.3567387213697657E-13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299.10536994156814</v>
      </c>
      <c r="BJ108" s="59">
        <f t="shared" si="92"/>
        <v>292.57799203101769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63.010531054320708</v>
      </c>
      <c r="BQ108" s="21">
        <f>EXP(-LN(2)/25)*BQ107+(1-EXP(-LN(2)/25))/(LN(2)/25)*Calculateur!BL108*Calculateur!BN108*VLOOKUP('Données projet'!$B$11,Paramètres!$A$1:$I$89,3,0)*0.475*44/12</f>
        <v>1.4177328591826026</v>
      </c>
      <c r="BR108" s="21">
        <f>EXP(-LN(2)/2)*BR107+(1-EXP(-LN(2)/2))/(LN(2)/2)*BL108*BO108*VLOOKUP('Données projet'!$B$11,Paramètres!$A$1:$I$89,3,0)*0.475*44/12</f>
        <v>7.1838174884732804E-3</v>
      </c>
      <c r="BS108" s="22">
        <f t="shared" si="63"/>
        <v>64.435447730991783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-1.7053025658242404E-13</v>
      </c>
      <c r="BZ108" s="13">
        <f>BY108*VLOOKUP('Données projet'!$B$12,Paramètres!$A$1:$I$89,3,0)*VLOOKUP('Données projet'!$B$12,Paramètres!$A$1:$I$89,5,0)</f>
        <v>-1.3567387213697657E-13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299.10536994156814</v>
      </c>
      <c r="CE108" s="59">
        <f t="shared" si="94"/>
        <v>292.57799203101769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63.010531054320708</v>
      </c>
      <c r="CL108" s="21">
        <f>EXP(-LN(2)/25)*CL107+(1-EXP(-LN(2)/25))/(LN(2)/25)*Calculateur!CG108*Calculateur!CI108*VLOOKUP('Données projet'!$B$12,Paramètres!$A$1:$I$89,3,0)*0.475*44/12</f>
        <v>1.4177328591826026</v>
      </c>
      <c r="CM108" s="21">
        <f>EXP(-LN(2)/2)*CM107+(1-EXP(-LN(2)/2))/(LN(2)/2)*CG108*CJ108*VLOOKUP('Données projet'!$B$12,Paramètres!$A$1:$I$89,3,0)*0.475*44/12</f>
        <v>7.1838174884732804E-3</v>
      </c>
      <c r="CN108" s="22">
        <f t="shared" si="66"/>
        <v>64.435447730991783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358</v>
      </c>
      <c r="CR108" s="12">
        <f>VLOOKUP(A108,'Données projet'!$A$139:$I$159,9,0)</f>
        <v>7.1111111111111107</v>
      </c>
      <c r="CS108" s="12">
        <f t="array" ref="CS108">INDEX(CR:CR,MIN(IF(ISNUMBER(CR108:CR304),ROW(CR108:CR304),"")))</f>
        <v>7.1111111111111107</v>
      </c>
      <c r="CT108" s="12">
        <f>IF('Données projet'!$A$140&gt;35,CT107+CS108-DB107,IF(A108&lt;'Données projet'!$A$140,$CQ$205^A108,IF(A108='Données projet'!$A$140,'Données projet'!$B$140,CT107+CS108-DB107)))</f>
        <v>357.99999999999943</v>
      </c>
      <c r="CU108" s="17">
        <f>CT108*VLOOKUP('Données projet'!$B$13,Paramètres!$A$1:$I$89,3,0)*VLOOKUP('Données projet'!$B$13,Paramètres!$A$1:$I$89,5,0)</f>
        <v>323.91839999999945</v>
      </c>
      <c r="CV108" s="13">
        <f t="shared" si="95"/>
        <v>76.168074587292963</v>
      </c>
      <c r="CW108" s="20">
        <f t="shared" si="67"/>
        <v>696.81727657286763</v>
      </c>
      <c r="CX108" s="59">
        <f t="shared" si="68"/>
        <v>990.150609906201</v>
      </c>
      <c r="CY108" s="59">
        <f ca="1">AVERAGE(OFFSET($CX$3,0,0,'Données projet'!$E$13+1,1))-AVERAGE(OFFSET($H$3,0,0,'Données projet'!$E$13+1,1))</f>
        <v>528.15559695545812</v>
      </c>
      <c r="CZ108" s="59">
        <f t="shared" si="96"/>
        <v>276.26988364830532</v>
      </c>
      <c r="DA108" s="15">
        <f>IF(ISNA(VLOOKUP(A108,'Données projet'!$A$139:$I$159,3,0)),0,VLOOKUP(A108,'Données projet'!$A$139:$I$159,3,0))</f>
        <v>9</v>
      </c>
      <c r="DB108" s="15">
        <f>IF(ISNA(VLOOKUP(A108,'Données projet'!$A$139:$I$159,4,0)),0,VLOOKUP(A108,'Données projet'!$A$139:$I$159,4,0))</f>
        <v>43</v>
      </c>
      <c r="DC108" s="16">
        <f>IF(ISNA(VLOOKUP(A108,'Données projet'!$A$139:$I$159,5,0)),0%,VLOOKUP(A108,'Données projet'!$A$139:$I$159,5,0)*VLOOKUP('Données projet'!$B$13,Paramètres!$A$1:$I$89,7,0))</f>
        <v>0.30099999999999999</v>
      </c>
      <c r="DD108" s="16">
        <f>IF(ISNA(VLOOKUP(A108,'Données projet'!$A$139:$I$159,6,0)),0%,VLOOKUP(A108,'Données projet'!$A$139:$I$159,6,0)*VLOOKUP('Données projet'!$B$13,Paramètres!$A$1:$I$89,7,0))</f>
        <v>4.3000000000000003E-2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24.579784610308135</v>
      </c>
      <c r="DG108" s="21">
        <f>EXP(-LN(2)/25)*DG107+(1-EXP(-LN(2)/25))/(LN(2)/25)*Calculateur!DB108*Calculateur!DD108*VLOOKUP('Données projet'!$B$13,Paramètres!$A$1:$I$89,3,0)*0.475*44/12</f>
        <v>27.577794357875081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52.157578968183216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358</v>
      </c>
      <c r="DM108" s="12">
        <f>VLOOKUP(A108,'Données projet'!$A$165:$I$185,9,0)</f>
        <v>7.1111111111111107</v>
      </c>
      <c r="DN108" s="12">
        <f t="array" ref="DN108">INDEX(DM:DM,MIN(IF(ISNUMBER(DM108:DM304),ROW(DM108:DM304),"")))</f>
        <v>7.1111111111111107</v>
      </c>
      <c r="DO108" s="12">
        <f>IF('Données projet'!$A$166&gt;35,DO107+DN108-DW107,IF(A108&lt;'Données projet'!$A$166,$DL$205^A108,IF(A108='Données projet'!$A$166,'Données projet'!$B$166,DO107+DN108-DW107)))</f>
        <v>357.99999999999943</v>
      </c>
      <c r="DP108" s="17">
        <f>DO108*VLOOKUP('Données projet'!$B$14,Paramètres!$A$1:$I$89,3,0)*VLOOKUP('Données projet'!$B$14,Paramètres!$A$1:$I$89,5,0)</f>
        <v>363.01199999999949</v>
      </c>
      <c r="DQ108" s="13">
        <f t="shared" si="97"/>
        <v>84.236098596059009</v>
      </c>
      <c r="DR108" s="20">
        <f t="shared" si="70"/>
        <v>778.9571050548019</v>
      </c>
      <c r="DS108" s="59">
        <f t="shared" si="71"/>
        <v>1072.2904383881353</v>
      </c>
      <c r="DT108" s="59">
        <f ca="1">AVERAGE(OFFSET($DS$3,0,0,'Données projet'!$E$14+1,1))-AVERAGE(OFFSET($H$3,0,0,'Données projet'!$E$14+1,1))</f>
        <v>586.50020405958992</v>
      </c>
      <c r="DU108" s="59">
        <f t="shared" si="98"/>
        <v>304.44184537595294</v>
      </c>
      <c r="DV108" s="15">
        <f>IF(ISNA(VLOOKUP(A108,'Données projet'!$A$165:$I$185,3,0)),0,VLOOKUP(A108,'Données projet'!$A$165:$I$185,3,0))</f>
        <v>9</v>
      </c>
      <c r="DW108" s="15">
        <f>IF(ISNA(VLOOKUP(A108,'Données projet'!$A$165:$I$185,4,0)),0,VLOOKUP(A108,'Données projet'!$A$165:$I$185,4,0))</f>
        <v>43</v>
      </c>
      <c r="DX108" s="16">
        <f>IF(ISNA(VLOOKUP(A108,'Données projet'!$A$165:$I$185,5,0)),0%,VLOOKUP(A108,'Données projet'!$A$165:$I$185,5,0)*VLOOKUP('Données projet'!$B$14,Paramètres!$A$1:$I$89,7,0))</f>
        <v>0.30099999999999999</v>
      </c>
      <c r="DY108" s="16">
        <f>IF(ISNA(VLOOKUP(A108,'Données projet'!$A$165:$I$185,6,0)),0%,VLOOKUP(A108,'Données projet'!$A$165:$I$185,6,0)*VLOOKUP('Données projet'!$B$14,Paramètres!$A$1:$I$89,7,0))</f>
        <v>4.3000000000000003E-2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27.546310339138426</v>
      </c>
      <c r="EB108" s="21">
        <f>EXP(-LN(2)/25)*EB107+(1-EXP(-LN(2)/25))/(LN(2)/25)*Calculateur!DW108*Calculateur!DY108*VLOOKUP('Données projet'!$B$14,Paramètres!$A$1:$I$89,3,0)*0.475*44/12</f>
        <v>30.906148849342763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58.452459188481185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-1.7053025658242404E-13</v>
      </c>
      <c r="EK108" s="17">
        <f>EJ108*VLOOKUP('Données projet'!$B$15,Paramètres!$A$1:$I$89,3,0)*VLOOKUP('Données projet'!$B$15,Paramètres!$A$1:$I$89,5,0)</f>
        <v>-1.6493686416652052E-13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355.72173590705142</v>
      </c>
      <c r="EP108" s="59">
        <f t="shared" si="100"/>
        <v>346.30980704469363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62.148011761309292</v>
      </c>
      <c r="EW108" s="21">
        <f>EXP(-LN(2)/25)*EW107+(1-EXP(-LN(2)/25))/(LN(2)/25)*Calculateur!ER108*Calculateur!ET108*VLOOKUP('Données projet'!$B$15,Paramètres!$A$1:$I$89,3,0)*0.475*44/12</f>
        <v>1.3983262310694853</v>
      </c>
      <c r="EX108" s="21">
        <f>EXP(-LN(2)/2)*EX107+(1-EXP(-LN(2)/2))/(LN(2)/2)*ER108*EU108*VLOOKUP('Données projet'!$B$15,Paramètres!$A$1:$I$89,3,0)*0.475*44/12</f>
        <v>8.7332683193204527E-3</v>
      </c>
      <c r="EY108" s="22">
        <f t="shared" si="75"/>
        <v>63.555071260698092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-1.383341441396624E-13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304.26232113495314</v>
      </c>
      <c r="FK108" s="59">
        <f t="shared" si="102"/>
        <v>297.47246687305056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64.24603166322899</v>
      </c>
      <c r="FR108" s="21">
        <f>EXP(-LN(2)/25)*FR107+(1-EXP(-LN(2)/25))/(LN(2)/25)*Calculateur!FM108*Calculateur!FO108*VLOOKUP('Données projet'!$B$16,Paramètres!$A$1:$I$89,3,0)*0.475*44/12</f>
        <v>1.4455315426959876</v>
      </c>
      <c r="FS108" s="21">
        <f>EXP(-LN(2)/2)*FS107+(1-EXP(-LN(2)/2))/(LN(2)/2)*FM108*FP108*VLOOKUP('Données projet'!$B$16,Paramètres!$A$1:$I$89,3,0)*0.475*44/12</f>
        <v>7.3246766549139438E-3</v>
      </c>
      <c r="FT108" s="22">
        <f t="shared" si="78"/>
        <v>65.698887882579896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-1.4897523215040567E-13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381.72225529388083</v>
      </c>
      <c r="T109" s="59">
        <f t="shared" si="88"/>
        <v>360.05900046417361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106.08933457659383</v>
      </c>
      <c r="AA109" s="21">
        <f>EXP(-LN(2)/25)*AA108+(1-EXP(-LN(2)/25))/(LN(2)/25)*Calculateur!V109*Calculateur!X109*VLOOKUP('Données projet'!$B$9,Paramètres!$A$1:$I$89,3,0)*0.475*44/12</f>
        <v>16.203969183852568</v>
      </c>
      <c r="AB109" s="21">
        <f>EXP(-LN(2)/2)*AB108+(1-EXP(-LN(2)/2))/(LN(2)/2)*V109*Y109*VLOOKUP('Données projet'!$B$9,Paramètres!$A$1:$I$89,3,0)*0.475*44/12</f>
        <v>5.7451256003932469E-12</v>
      </c>
      <c r="AC109" s="22">
        <f t="shared" si="57"/>
        <v>122.29330376045213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</v>
      </c>
      <c r="AI109" s="13">
        <f>IF('Données projet'!$A$62&gt;35,AI108+AH109-AQ108,IF(A109&lt;'Données projet'!$A$62,$AF$205^A109,IF(A109='Données projet'!$A$62,'Données projet'!$B$62,AI108+AH109-AQ108)))</f>
        <v>463.40000000000003</v>
      </c>
      <c r="AJ109" s="13">
        <f>AI109*VLOOKUP('Données projet'!$B$10,Paramètres!$A$1:$I$89,3,0)*VLOOKUP('Données projet'!$B$10,Paramètres!$A$1:$I$89,5,0)</f>
        <v>339.76488000000001</v>
      </c>
      <c r="AK109" s="13">
        <f t="shared" si="89"/>
        <v>79.451367185575236</v>
      </c>
      <c r="AL109" s="20">
        <f t="shared" si="58"/>
        <v>730.13496384821019</v>
      </c>
      <c r="AM109" s="59">
        <f t="shared" si="59"/>
        <v>1023.4682971815434</v>
      </c>
      <c r="AN109" s="59">
        <f ca="1">AVERAGE(OFFSET($AM$3,0,0,'Données projet'!$E$10+1,1))-AVERAGE(OFFSET($H$3,0,0,'Données projet'!$E$10+1,1))</f>
        <v>464.3681853739115</v>
      </c>
      <c r="AO109" s="59">
        <f t="shared" si="90"/>
        <v>272.97841038165217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16.400588282943016</v>
      </c>
      <c r="AV109" s="21">
        <f>EXP(-LN(2)/25)*AV108+(1-EXP(-LN(2)/25))/(LN(2)/25)*Calculateur!AQ109*Calculateur!AS109*VLOOKUP('Données projet'!$B$10,Paramètres!$A$1:$I$89,3,0)*0.475*44/12</f>
        <v>26.323980808540128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42.724569091483147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-1.3567387213697657E-13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299.10536994156814</v>
      </c>
      <c r="BJ109" s="59">
        <f t="shared" si="92"/>
        <v>292.57799203101769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61.774932972974518</v>
      </c>
      <c r="BQ109" s="21">
        <f>EXP(-LN(2)/25)*BQ108+(1-EXP(-LN(2)/25))/(LN(2)/25)*Calculateur!BL109*Calculateur!BN109*VLOOKUP('Données projet'!$B$11,Paramètres!$A$1:$I$89,3,0)*0.475*44/12</f>
        <v>1.3789648795929235</v>
      </c>
      <c r="BR109" s="21">
        <f>EXP(-LN(2)/2)*BR108+(1-EXP(-LN(2)/2))/(LN(2)/2)*BL109*BO109*VLOOKUP('Données projet'!$B$11,Paramètres!$A$1:$I$89,3,0)*0.475*44/12</f>
        <v>5.0797260609059692E-3</v>
      </c>
      <c r="BS109" s="22">
        <f t="shared" si="63"/>
        <v>63.158977578628345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-1.7053025658242404E-13</v>
      </c>
      <c r="BZ109" s="13">
        <f>BY109*VLOOKUP('Données projet'!$B$12,Paramètres!$A$1:$I$89,3,0)*VLOOKUP('Données projet'!$B$12,Paramètres!$A$1:$I$89,5,0)</f>
        <v>-1.3567387213697657E-13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299.10536994156814</v>
      </c>
      <c r="CE109" s="59">
        <f t="shared" si="94"/>
        <v>292.57799203101769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61.774932972974518</v>
      </c>
      <c r="CL109" s="21">
        <f>EXP(-LN(2)/25)*CL108+(1-EXP(-LN(2)/25))/(LN(2)/25)*Calculateur!CG109*Calculateur!CI109*VLOOKUP('Données projet'!$B$12,Paramètres!$A$1:$I$89,3,0)*0.475*44/12</f>
        <v>1.3789648795929235</v>
      </c>
      <c r="CM109" s="21">
        <f>EXP(-LN(2)/2)*CM108+(1-EXP(-LN(2)/2))/(LN(2)/2)*CG109*CJ109*VLOOKUP('Données projet'!$B$12,Paramètres!$A$1:$I$89,3,0)*0.475*44/12</f>
        <v>5.0797260609059692E-3</v>
      </c>
      <c r="CN109" s="22">
        <f t="shared" si="66"/>
        <v>63.158977578628345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</v>
      </c>
      <c r="CT109" s="12">
        <f>IF('Données projet'!$A$140&gt;35,CT108+CS109-DB108,IF(A109&lt;'Données projet'!$A$140,$CQ$205^A109,IF(A109='Données projet'!$A$140,'Données projet'!$B$140,CT108+CS109-DB108)))</f>
        <v>321.99999999999943</v>
      </c>
      <c r="CU109" s="17">
        <f>CT109*VLOOKUP('Données projet'!$B$13,Paramètres!$A$1:$I$89,3,0)*VLOOKUP('Données projet'!$B$13,Paramètres!$A$1:$I$89,5,0)</f>
        <v>291.34559999999948</v>
      </c>
      <c r="CV109" s="13">
        <f t="shared" si="95"/>
        <v>69.359089490698594</v>
      </c>
      <c r="CW109" s="20">
        <f t="shared" si="67"/>
        <v>628.22733419629901</v>
      </c>
      <c r="CX109" s="59">
        <f t="shared" si="68"/>
        <v>921.56066752963238</v>
      </c>
      <c r="CY109" s="59">
        <f ca="1">AVERAGE(OFFSET($CX$3,0,0,'Données projet'!$E$13+1,1))-AVERAGE(OFFSET($H$3,0,0,'Données projet'!$E$13+1,1))</f>
        <v>528.15559695545812</v>
      </c>
      <c r="CZ109" s="59">
        <f t="shared" si="96"/>
        <v>276.26988364830532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24.097790026288248</v>
      </c>
      <c r="DG109" s="21">
        <f>EXP(-LN(2)/25)*DG108+(1-EXP(-LN(2)/25))/(LN(2)/25)*Calculateur!DB109*Calculateur!DD109*VLOOKUP('Données projet'!$B$13,Paramètres!$A$1:$I$89,3,0)*0.475*44/12</f>
        <v>26.823678120905811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50.921468147194062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</v>
      </c>
      <c r="DO109" s="12">
        <f>IF('Données projet'!$A$166&gt;35,DO108+DN109-DW108,IF(A109&lt;'Données projet'!$A$166,$DL$205^A109,IF(A109='Données projet'!$A$166,'Données projet'!$B$166,DO108+DN109-DW108)))</f>
        <v>321.99999999999943</v>
      </c>
      <c r="DP109" s="17">
        <f>DO109*VLOOKUP('Données projet'!$B$14,Paramètres!$A$1:$I$89,3,0)*VLOOKUP('Données projet'!$B$14,Paramètres!$A$1:$I$89,5,0)</f>
        <v>326.50799999999947</v>
      </c>
      <c r="DQ109" s="13">
        <f t="shared" si="97"/>
        <v>76.705878841344116</v>
      </c>
      <c r="DR109" s="20">
        <f t="shared" si="70"/>
        <v>702.26417231534003</v>
      </c>
      <c r="DS109" s="59">
        <f t="shared" si="71"/>
        <v>995.5975056486734</v>
      </c>
      <c r="DT109" s="59">
        <f ca="1">AVERAGE(OFFSET($DS$3,0,0,'Données projet'!$E$14+1,1))-AVERAGE(OFFSET($H$3,0,0,'Données projet'!$E$14+1,1))</f>
        <v>586.50020405958992</v>
      </c>
      <c r="DU109" s="59">
        <f t="shared" si="98"/>
        <v>304.44184537595294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27.00614399497821</v>
      </c>
      <c r="EB109" s="21">
        <f>EXP(-LN(2)/25)*EB108+(1-EXP(-LN(2)/25))/(LN(2)/25)*Calculateur!DW109*Calculateur!DY109*VLOOKUP('Données projet'!$B$14,Paramètres!$A$1:$I$89,3,0)*0.475*44/12</f>
        <v>30.061018583773755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57.067162578751962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-1.7053025658242404E-13</v>
      </c>
      <c r="EK109" s="17">
        <f>EJ109*VLOOKUP('Données projet'!$B$15,Paramètres!$A$1:$I$89,3,0)*VLOOKUP('Données projet'!$B$15,Paramètres!$A$1:$I$89,5,0)</f>
        <v>-1.6493686416652052E-13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355.72173590705142</v>
      </c>
      <c r="EP109" s="59">
        <f t="shared" si="100"/>
        <v>346.30980704469363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60.929327157214232</v>
      </c>
      <c r="EW109" s="21">
        <f>EXP(-LN(2)/25)*EW108+(1-EXP(-LN(2)/25))/(LN(2)/25)*Calculateur!ER109*Calculateur!ET109*VLOOKUP('Données projet'!$B$15,Paramètres!$A$1:$I$89,3,0)*0.475*44/12</f>
        <v>1.3600889267461096</v>
      </c>
      <c r="EX109" s="21">
        <f>EXP(-LN(2)/2)*EX108+(1-EXP(-LN(2)/2))/(LN(2)/2)*ER109*EU109*VLOOKUP('Données projet'!$B$15,Paramètres!$A$1:$I$89,3,0)*0.475*44/12</f>
        <v>6.1753532505131352E-3</v>
      </c>
      <c r="EY109" s="22">
        <f t="shared" si="75"/>
        <v>62.295591437210852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-1.383341441396624E-13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304.26232113495314</v>
      </c>
      <c r="FK109" s="59">
        <f t="shared" si="102"/>
        <v>297.47246687305056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62.986206168523069</v>
      </c>
      <c r="FR109" s="21">
        <f>EXP(-LN(2)/25)*FR108+(1-EXP(-LN(2)/25))/(LN(2)/25)*Calculateur!FM109*Calculateur!FO109*VLOOKUP('Données projet'!$B$16,Paramètres!$A$1:$I$89,3,0)*0.475*44/12</f>
        <v>1.4060034066437659</v>
      </c>
      <c r="FS109" s="21">
        <f>EXP(-LN(2)/2)*FS108+(1-EXP(-LN(2)/2))/(LN(2)/2)*FM109*FP109*VLOOKUP('Données projet'!$B$16,Paramètres!$A$1:$I$89,3,0)*0.475*44/12</f>
        <v>5.1793285326884476E-3</v>
      </c>
      <c r="FT109" s="22">
        <f t="shared" si="78"/>
        <v>64.397388903699522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-1.4897523215040567E-13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381.72225529388083</v>
      </c>
      <c r="T110" s="59">
        <f t="shared" si="88"/>
        <v>360.05900046417361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104.00898743365153</v>
      </c>
      <c r="AA110" s="21">
        <f>EXP(-LN(2)/25)*AA109+(1-EXP(-LN(2)/25))/(LN(2)/25)*Calculateur!V110*Calculateur!X110*VLOOKUP('Données projet'!$B$9,Paramètres!$A$1:$I$89,3,0)*0.475*44/12</f>
        <v>15.760870794390415</v>
      </c>
      <c r="AB110" s="21">
        <f>EXP(-LN(2)/2)*AB109+(1-EXP(-LN(2)/2))/(LN(2)/2)*V110*Y110*VLOOKUP('Données projet'!$B$9,Paramètres!$A$1:$I$89,3,0)*0.475*44/12</f>
        <v>4.0624172708065001E-12</v>
      </c>
      <c r="AC110" s="22">
        <f t="shared" si="57"/>
        <v>119.769858228046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</v>
      </c>
      <c r="AI110" s="13">
        <f>IF('Données projet'!$A$62&gt;35,AI109+AH110-AQ109,IF(A110&lt;'Données projet'!$A$62,$AF$205^A110,IF(A110='Données projet'!$A$62,'Données projet'!$B$62,AI109+AH110-AQ109)))</f>
        <v>470.8</v>
      </c>
      <c r="AJ110" s="13">
        <f>AI110*VLOOKUP('Données projet'!$B$10,Paramètres!$A$1:$I$89,3,0)*VLOOKUP('Données projet'!$B$10,Paramètres!$A$1:$I$89,5,0)</f>
        <v>345.19056</v>
      </c>
      <c r="AK110" s="13">
        <f t="shared" si="89"/>
        <v>80.571401519332227</v>
      </c>
      <c r="AL110" s="20">
        <f t="shared" si="58"/>
        <v>741.5354163128369</v>
      </c>
      <c r="AM110" s="59">
        <f t="shared" si="59"/>
        <v>1034.8687496461703</v>
      </c>
      <c r="AN110" s="59">
        <f ca="1">AVERAGE(OFFSET($AM$3,0,0,'Données projet'!$E$10+1,1))-AVERAGE(OFFSET($H$3,0,0,'Données projet'!$E$10+1,1))</f>
        <v>464.3681853739115</v>
      </c>
      <c r="AO110" s="59">
        <f t="shared" si="90"/>
        <v>272.97841038165217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16.078982750085604</v>
      </c>
      <c r="AV110" s="21">
        <f>EXP(-LN(2)/25)*AV109+(1-EXP(-LN(2)/25))/(LN(2)/25)*Calculateur!AQ110*Calculateur!AS110*VLOOKUP('Données projet'!$B$10,Paramètres!$A$1:$I$89,3,0)*0.475*44/12</f>
        <v>25.604150169012613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41.683132919098213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-1.3567387213697657E-13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299.10536994156814</v>
      </c>
      <c r="BJ110" s="59">
        <f t="shared" si="92"/>
        <v>292.57799203101769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60.563564216363112</v>
      </c>
      <c r="BQ110" s="21">
        <f>EXP(-LN(2)/25)*BQ109+(1-EXP(-LN(2)/25))/(LN(2)/25)*Calculateur!BL110*Calculateur!BN110*VLOOKUP('Données projet'!$B$11,Paramètres!$A$1:$I$89,3,0)*0.475*44/12</f>
        <v>1.3412570124438437</v>
      </c>
      <c r="BR110" s="21">
        <f>EXP(-LN(2)/2)*BR109+(1-EXP(-LN(2)/2))/(LN(2)/2)*BL110*BO110*VLOOKUP('Données projet'!$B$11,Paramètres!$A$1:$I$89,3,0)*0.475*44/12</f>
        <v>3.5919087442366402E-3</v>
      </c>
      <c r="BS110" s="22">
        <f t="shared" si="63"/>
        <v>61.908413137551186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-1.7053025658242404E-13</v>
      </c>
      <c r="BZ110" s="13">
        <f>BY110*VLOOKUP('Données projet'!$B$12,Paramètres!$A$1:$I$89,3,0)*VLOOKUP('Données projet'!$B$12,Paramètres!$A$1:$I$89,5,0)</f>
        <v>-1.3567387213697657E-13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299.10536994156814</v>
      </c>
      <c r="CE110" s="59">
        <f t="shared" si="94"/>
        <v>292.57799203101769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60.563564216363112</v>
      </c>
      <c r="CL110" s="21">
        <f>EXP(-LN(2)/25)*CL109+(1-EXP(-LN(2)/25))/(LN(2)/25)*Calculateur!CG110*Calculateur!CI110*VLOOKUP('Données projet'!$B$12,Paramètres!$A$1:$I$89,3,0)*0.475*44/12</f>
        <v>1.3412570124438437</v>
      </c>
      <c r="CM110" s="21">
        <f>EXP(-LN(2)/2)*CM109+(1-EXP(-LN(2)/2))/(LN(2)/2)*CG110*CJ110*VLOOKUP('Données projet'!$B$12,Paramètres!$A$1:$I$89,3,0)*0.475*44/12</f>
        <v>3.5919087442366402E-3</v>
      </c>
      <c r="CN110" s="22">
        <f t="shared" si="66"/>
        <v>61.908413137551186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</v>
      </c>
      <c r="CT110" s="12">
        <f>IF('Données projet'!$A$140&gt;35,CT109+CS110-DB109,IF(A110&lt;'Données projet'!$A$140,$CQ$205^A110,IF(A110='Données projet'!$A$140,'Données projet'!$B$140,CT109+CS110-DB109)))</f>
        <v>328.99999999999943</v>
      </c>
      <c r="CU110" s="17">
        <f>CT110*VLOOKUP('Données projet'!$B$13,Paramètres!$A$1:$I$89,3,0)*VLOOKUP('Données projet'!$B$13,Paramètres!$A$1:$I$89,5,0)</f>
        <v>297.67919999999947</v>
      </c>
      <c r="CV110" s="13">
        <f t="shared" si="95"/>
        <v>70.689714967168015</v>
      </c>
      <c r="CW110" s="20">
        <f t="shared" si="67"/>
        <v>641.57586023448323</v>
      </c>
      <c r="CX110" s="59">
        <f t="shared" si="68"/>
        <v>934.9091935678166</v>
      </c>
      <c r="CY110" s="59">
        <f ca="1">AVERAGE(OFFSET($CX$3,0,0,'Données projet'!$E$13+1,1))-AVERAGE(OFFSET($H$3,0,0,'Données projet'!$E$13+1,1))</f>
        <v>528.15559695545812</v>
      </c>
      <c r="CZ110" s="59">
        <f t="shared" si="96"/>
        <v>276.26988364830532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23.625247062073324</v>
      </c>
      <c r="DG110" s="21">
        <f>EXP(-LN(2)/25)*DG109+(1-EXP(-LN(2)/25))/(LN(2)/25)*Calculateur!DB110*Calculateur!DD110*VLOOKUP('Données projet'!$B$13,Paramètres!$A$1:$I$89,3,0)*0.475*44/12</f>
        <v>26.090183232093715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49.715430294167035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</v>
      </c>
      <c r="DO110" s="12">
        <f>IF('Données projet'!$A$166&gt;35,DO109+DN110-DW109,IF(A110&lt;'Données projet'!$A$166,$DL$205^A110,IF(A110='Données projet'!$A$166,'Données projet'!$B$166,DO109+DN110-DW109)))</f>
        <v>328.99999999999943</v>
      </c>
      <c r="DP110" s="17">
        <f>DO110*VLOOKUP('Données projet'!$B$14,Paramètres!$A$1:$I$89,3,0)*VLOOKUP('Données projet'!$B$14,Paramètres!$A$1:$I$89,5,0)</f>
        <v>333.60599999999943</v>
      </c>
      <c r="DQ110" s="13">
        <f t="shared" si="97"/>
        <v>78.177449436211234</v>
      </c>
      <c r="DR110" s="20">
        <f t="shared" si="70"/>
        <v>717.18950776806685</v>
      </c>
      <c r="DS110" s="59">
        <f t="shared" si="71"/>
        <v>1010.5228411014002</v>
      </c>
      <c r="DT110" s="59">
        <f ca="1">AVERAGE(OFFSET($DS$3,0,0,'Données projet'!$E$14+1,1))-AVERAGE(OFFSET($H$3,0,0,'Données projet'!$E$14+1,1))</f>
        <v>586.50020405958992</v>
      </c>
      <c r="DU110" s="59">
        <f t="shared" si="98"/>
        <v>304.44184537595294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26.476569983358036</v>
      </c>
      <c r="EB110" s="21">
        <f>EXP(-LN(2)/25)*EB109+(1-EXP(-LN(2)/25))/(LN(2)/25)*Calculateur!DW110*Calculateur!DY110*VLOOKUP('Données projet'!$B$14,Paramètres!$A$1:$I$89,3,0)*0.475*44/12</f>
        <v>29.238998449760199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55.715568433118236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-1.7053025658242404E-13</v>
      </c>
      <c r="EK110" s="17">
        <f>EJ110*VLOOKUP('Données projet'!$B$15,Paramètres!$A$1:$I$89,3,0)*VLOOKUP('Données projet'!$B$15,Paramètres!$A$1:$I$89,5,0)</f>
        <v>-1.6493686416652052E-13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355.72173590705142</v>
      </c>
      <c r="EP110" s="59">
        <f t="shared" si="100"/>
        <v>346.30980704469363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59.734540214881264</v>
      </c>
      <c r="EW110" s="21">
        <f>EXP(-LN(2)/25)*EW109+(1-EXP(-LN(2)/25))/(LN(2)/25)*Calculateur!ER110*Calculateur!ET110*VLOOKUP('Données projet'!$B$15,Paramètres!$A$1:$I$89,3,0)*0.475*44/12</f>
        <v>1.3228972235202692</v>
      </c>
      <c r="EX110" s="21">
        <f>EXP(-LN(2)/2)*EX109+(1-EXP(-LN(2)/2))/(LN(2)/2)*ER110*EU110*VLOOKUP('Données projet'!$B$15,Paramètres!$A$1:$I$89,3,0)*0.475*44/12</f>
        <v>4.3666341596602263E-3</v>
      </c>
      <c r="EY110" s="22">
        <f t="shared" si="75"/>
        <v>61.061804072561195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-1.383341441396624E-13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304.26232113495314</v>
      </c>
      <c r="FK110" s="59">
        <f t="shared" si="102"/>
        <v>297.47246687305056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61.751085083350652</v>
      </c>
      <c r="FR110" s="21">
        <f>EXP(-LN(2)/25)*FR109+(1-EXP(-LN(2)/25))/(LN(2)/25)*Calculateur!FM110*Calculateur!FO110*VLOOKUP('Données projet'!$B$16,Paramètres!$A$1:$I$89,3,0)*0.475*44/12</f>
        <v>1.3675561695505865</v>
      </c>
      <c r="FS110" s="21">
        <f>EXP(-LN(2)/2)*FS109+(1-EXP(-LN(2)/2))/(LN(2)/2)*FM110*FP110*VLOOKUP('Données projet'!$B$16,Paramètres!$A$1:$I$89,3,0)*0.475*44/12</f>
        <v>3.6623383274569728E-3</v>
      </c>
      <c r="FT110" s="22">
        <f t="shared" si="78"/>
        <v>63.1223035912287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-1.4897523215040567E-13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381.72225529388083</v>
      </c>
      <c r="T111" s="59">
        <f t="shared" si="88"/>
        <v>360.05900046417361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101.96943462929585</v>
      </c>
      <c r="AA111" s="21">
        <f>EXP(-LN(2)/25)*AA110+(1-EXP(-LN(2)/25))/(LN(2)/25)*Calculateur!V111*Calculateur!X111*VLOOKUP('Données projet'!$B$9,Paramètres!$A$1:$I$89,3,0)*0.475*44/12</f>
        <v>15.329888953689636</v>
      </c>
      <c r="AB111" s="21">
        <f>EXP(-LN(2)/2)*AB110+(1-EXP(-LN(2)/2))/(LN(2)/2)*V111*Y111*VLOOKUP('Données projet'!$B$9,Paramètres!$A$1:$I$89,3,0)*0.475*44/12</f>
        <v>2.8725628001966234E-12</v>
      </c>
      <c r="AC111" s="22">
        <f t="shared" si="57"/>
        <v>117.29932358298835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</v>
      </c>
      <c r="AI111" s="13">
        <f>IF('Données projet'!$A$62&gt;35,AI110+AH111-AQ110,IF(A111&lt;'Données projet'!$A$62,$AF$205^A111,IF(A111='Données projet'!$A$62,'Données projet'!$B$62,AI110+AH111-AQ110)))</f>
        <v>478.2</v>
      </c>
      <c r="AJ111" s="13">
        <f>AI111*VLOOKUP('Données projet'!$B$10,Paramètres!$A$1:$I$89,3,0)*VLOOKUP('Données projet'!$B$10,Paramètres!$A$1:$I$89,5,0)</f>
        <v>350.61624</v>
      </c>
      <c r="AK111" s="13">
        <f t="shared" si="89"/>
        <v>81.689388459853177</v>
      </c>
      <c r="AL111" s="20">
        <f t="shared" si="58"/>
        <v>752.93230290091105</v>
      </c>
      <c r="AM111" s="59">
        <f t="shared" si="59"/>
        <v>1046.2656362342443</v>
      </c>
      <c r="AN111" s="59">
        <f ca="1">AVERAGE(OFFSET($AM$3,0,0,'Données projet'!$E$10+1,1))-AVERAGE(OFFSET($H$3,0,0,'Données projet'!$E$10+1,1))</f>
        <v>464.3681853739115</v>
      </c>
      <c r="AO111" s="59">
        <f t="shared" si="90"/>
        <v>272.97841038165217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15.763683705567521</v>
      </c>
      <c r="AV111" s="21">
        <f>EXP(-LN(2)/25)*AV110+(1-EXP(-LN(2)/25))/(LN(2)/25)*Calculateur!AQ111*Calculateur!AS111*VLOOKUP('Données projet'!$B$10,Paramètres!$A$1:$I$89,3,0)*0.475*44/12</f>
        <v>24.904003336177226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40.667687041744749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-1.3567387213697657E-13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299.10536994156814</v>
      </c>
      <c r="BJ111" s="59">
        <f t="shared" si="92"/>
        <v>292.57799203101769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59.375949662206871</v>
      </c>
      <c r="BQ111" s="21">
        <f>EXP(-LN(2)/25)*BQ110+(1-EXP(-LN(2)/25))/(LN(2)/25)*Calculateur!BL111*Calculateur!BN111*VLOOKUP('Données projet'!$B$11,Paramètres!$A$1:$I$89,3,0)*0.475*44/12</f>
        <v>1.304580268904926</v>
      </c>
      <c r="BR111" s="21">
        <f>EXP(-LN(2)/2)*BR110+(1-EXP(-LN(2)/2))/(LN(2)/2)*BL111*BO111*VLOOKUP('Données projet'!$B$11,Paramètres!$A$1:$I$89,3,0)*0.475*44/12</f>
        <v>2.5398630304529846E-3</v>
      </c>
      <c r="BS111" s="22">
        <f t="shared" si="63"/>
        <v>60.683069794142256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-1.7053025658242404E-13</v>
      </c>
      <c r="BZ111" s="13">
        <f>BY111*VLOOKUP('Données projet'!$B$12,Paramètres!$A$1:$I$89,3,0)*VLOOKUP('Données projet'!$B$12,Paramètres!$A$1:$I$89,5,0)</f>
        <v>-1.3567387213697657E-13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299.10536994156814</v>
      </c>
      <c r="CE111" s="59">
        <f t="shared" si="94"/>
        <v>292.57799203101769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59.375949662206871</v>
      </c>
      <c r="CL111" s="21">
        <f>EXP(-LN(2)/25)*CL110+(1-EXP(-LN(2)/25))/(LN(2)/25)*Calculateur!CG111*Calculateur!CI111*VLOOKUP('Données projet'!$B$12,Paramètres!$A$1:$I$89,3,0)*0.475*44/12</f>
        <v>1.304580268904926</v>
      </c>
      <c r="CM111" s="21">
        <f>EXP(-LN(2)/2)*CM110+(1-EXP(-LN(2)/2))/(LN(2)/2)*CG111*CJ111*VLOOKUP('Données projet'!$B$12,Paramètres!$A$1:$I$89,3,0)*0.475*44/12</f>
        <v>2.5398630304529846E-3</v>
      </c>
      <c r="CN111" s="22">
        <f t="shared" si="66"/>
        <v>60.683069794142256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</v>
      </c>
      <c r="CT111" s="12">
        <f>IF('Données projet'!$A$140&gt;35,CT110+CS111-DB110,IF(A111&lt;'Données projet'!$A$140,$CQ$205^A111,IF(A111='Données projet'!$A$140,'Données projet'!$B$140,CT110+CS111-DB110)))</f>
        <v>335.99999999999943</v>
      </c>
      <c r="CU111" s="17">
        <f>CT111*VLOOKUP('Données projet'!$B$13,Paramètres!$A$1:$I$89,3,0)*VLOOKUP('Données projet'!$B$13,Paramètres!$A$1:$I$89,5,0)</f>
        <v>304.01279999999946</v>
      </c>
      <c r="CV111" s="13">
        <f t="shared" si="95"/>
        <v>72.017048837085696</v>
      </c>
      <c r="CW111" s="20">
        <f t="shared" si="67"/>
        <v>654.91865339125661</v>
      </c>
      <c r="CX111" s="59">
        <f t="shared" si="68"/>
        <v>948.25198672458987</v>
      </c>
      <c r="CY111" s="59">
        <f ca="1">AVERAGE(OFFSET($CX$3,0,0,'Données projet'!$E$13+1,1))-AVERAGE(OFFSET($H$3,0,0,'Données projet'!$E$13+1,1))</f>
        <v>528.15559695545812</v>
      </c>
      <c r="CZ111" s="59">
        <f t="shared" si="96"/>
        <v>276.26988364830532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23.161970377163907</v>
      </c>
      <c r="DG111" s="21">
        <f>EXP(-LN(2)/25)*DG110+(1-EXP(-LN(2)/25))/(LN(2)/25)*Calculateur!DB111*Calculateur!DD111*VLOOKUP('Données projet'!$B$13,Paramètres!$A$1:$I$89,3,0)*0.475*44/12</f>
        <v>25.376745799589006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48.538716176752914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</v>
      </c>
      <c r="DO111" s="12">
        <f>IF('Données projet'!$A$166&gt;35,DO110+DN111-DW110,IF(A111&lt;'Données projet'!$A$166,$DL$205^A111,IF(A111='Données projet'!$A$166,'Données projet'!$B$166,DO110+DN111-DW110)))</f>
        <v>335.99999999999943</v>
      </c>
      <c r="DP111" s="17">
        <f>DO111*VLOOKUP('Données projet'!$B$14,Paramètres!$A$1:$I$89,3,0)*VLOOKUP('Données projet'!$B$14,Paramètres!$A$1:$I$89,5,0)</f>
        <v>340.70399999999944</v>
      </c>
      <c r="DQ111" s="13">
        <f t="shared" si="97"/>
        <v>79.64537976452938</v>
      </c>
      <c r="DR111" s="20">
        <f t="shared" si="70"/>
        <v>732.10850308988756</v>
      </c>
      <c r="DS111" s="59">
        <f t="shared" si="71"/>
        <v>1025.4418364232208</v>
      </c>
      <c r="DT111" s="59">
        <f ca="1">AVERAGE(OFFSET($DS$3,0,0,'Données projet'!$E$14+1,1))-AVERAGE(OFFSET($H$3,0,0,'Données projet'!$E$14+1,1))</f>
        <v>586.50020405958992</v>
      </c>
      <c r="DU111" s="59">
        <f t="shared" si="98"/>
        <v>304.44184537595294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25.957380595097483</v>
      </c>
      <c r="EB111" s="21">
        <f>EXP(-LN(2)/25)*EB110+(1-EXP(-LN(2)/25))/(LN(2)/25)*Calculateur!DW111*Calculateur!DY111*VLOOKUP('Données projet'!$B$14,Paramètres!$A$1:$I$89,3,0)*0.475*44/12</f>
        <v>28.439456499539403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54.396837094636886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-1.7053025658242404E-13</v>
      </c>
      <c r="EK111" s="17">
        <f>EJ111*VLOOKUP('Données projet'!$B$15,Paramètres!$A$1:$I$89,3,0)*VLOOKUP('Données projet'!$B$15,Paramètres!$A$1:$I$89,5,0)</f>
        <v>-1.6493686416652052E-13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355.72173590705142</v>
      </c>
      <c r="EP111" s="59">
        <f t="shared" si="100"/>
        <v>346.30980704469363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58.563182315739368</v>
      </c>
      <c r="EW111" s="21">
        <f>EXP(-LN(2)/25)*EW110+(1-EXP(-LN(2)/25))/(LN(2)/25)*Calculateur!ER111*Calculateur!ET111*VLOOKUP('Données projet'!$B$15,Paramètres!$A$1:$I$89,3,0)*0.475*44/12</f>
        <v>1.286722529374966</v>
      </c>
      <c r="EX111" s="21">
        <f>EXP(-LN(2)/2)*EX110+(1-EXP(-LN(2)/2))/(LN(2)/2)*ER111*EU111*VLOOKUP('Données projet'!$B$15,Paramètres!$A$1:$I$89,3,0)*0.475*44/12</f>
        <v>3.0876766252565676E-3</v>
      </c>
      <c r="EY111" s="22">
        <f t="shared" si="75"/>
        <v>59.852992521739587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-1.383341441396624E-13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304.26232113495314</v>
      </c>
      <c r="FK111" s="59">
        <f t="shared" si="102"/>
        <v>297.47246687305056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60.540183969308991</v>
      </c>
      <c r="FR111" s="21">
        <f>EXP(-LN(2)/25)*FR110+(1-EXP(-LN(2)/25))/(LN(2)/25)*Calculateur!FM111*Calculateur!FO111*VLOOKUP('Données projet'!$B$16,Paramètres!$A$1:$I$89,3,0)*0.475*44/12</f>
        <v>1.3301602741775722</v>
      </c>
      <c r="FS111" s="21">
        <f>EXP(-LN(2)/2)*FS110+(1-EXP(-LN(2)/2))/(LN(2)/2)*FM111*FP111*VLOOKUP('Données projet'!$B$16,Paramètres!$A$1:$I$89,3,0)*0.475*44/12</f>
        <v>2.5896642663442242E-3</v>
      </c>
      <c r="FT111" s="22">
        <f t="shared" si="78"/>
        <v>61.872933907752909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-1.4897523215040567E-13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381.72225529388083</v>
      </c>
      <c r="T112" s="59">
        <f t="shared" si="88"/>
        <v>360.05900046417361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99.969876211429209</v>
      </c>
      <c r="AA112" s="21">
        <f>EXP(-LN(2)/25)*AA111+(1-EXP(-LN(2)/25))/(LN(2)/25)*Calculateur!V112*Calculateur!X112*VLOOKUP('Données projet'!$B$9,Paramètres!$A$1:$I$89,3,0)*0.475*44/12</f>
        <v>14.91069233408717</v>
      </c>
      <c r="AB112" s="21">
        <f>EXP(-LN(2)/2)*AB111+(1-EXP(-LN(2)/2))/(LN(2)/2)*V112*Y112*VLOOKUP('Données projet'!$B$9,Paramètres!$A$1:$I$89,3,0)*0.475*44/12</f>
        <v>2.03120863540325E-12</v>
      </c>
      <c r="AC112" s="22">
        <f t="shared" si="57"/>
        <v>114.88056854551841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</v>
      </c>
      <c r="AI112" s="13">
        <f>IF('Données projet'!$A$62&gt;35,AI111+AH112-AQ111,IF(A112&lt;'Données projet'!$A$62,$AF$205^A112,IF(A112='Données projet'!$A$62,'Données projet'!$B$62,AI111+AH112-AQ111)))</f>
        <v>485.59999999999997</v>
      </c>
      <c r="AJ112" s="13">
        <f>AI112*VLOOKUP('Données projet'!$B$10,Paramètres!$A$1:$I$89,3,0)*VLOOKUP('Données projet'!$B$10,Paramètres!$A$1:$I$89,5,0)</f>
        <v>356.04191999999995</v>
      </c>
      <c r="AK112" s="13">
        <f t="shared" si="89"/>
        <v>82.805363348808157</v>
      </c>
      <c r="AL112" s="20">
        <f t="shared" si="58"/>
        <v>764.3256851658407</v>
      </c>
      <c r="AM112" s="59">
        <f t="shared" si="59"/>
        <v>1057.659018499174</v>
      </c>
      <c r="AN112" s="59">
        <f ca="1">AVERAGE(OFFSET($AM$3,0,0,'Données projet'!$E$10+1,1))-AVERAGE(OFFSET($H$3,0,0,'Données projet'!$E$10+1,1))</f>
        <v>464.3681853739115</v>
      </c>
      <c r="AO112" s="59">
        <f t="shared" si="90"/>
        <v>272.97841038165217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15.454567482999011</v>
      </c>
      <c r="AV112" s="21">
        <f>EXP(-LN(2)/25)*AV111+(1-EXP(-LN(2)/25))/(LN(2)/25)*Calculateur!AQ112*Calculateur!AS112*VLOOKUP('Données projet'!$B$10,Paramètres!$A$1:$I$89,3,0)*0.475*44/12</f>
        <v>24.223002055304843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39.677569538303857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-1.3567387213697657E-13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299.10536994156814</v>
      </c>
      <c r="BJ112" s="59">
        <f t="shared" si="92"/>
        <v>292.57799203101769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58.211623505084276</v>
      </c>
      <c r="BQ112" s="21">
        <f>EXP(-LN(2)/25)*BQ111+(1-EXP(-LN(2)/25))/(LN(2)/25)*Calculateur!BL112*Calculateur!BN112*VLOOKUP('Données projet'!$B$11,Paramètres!$A$1:$I$89,3,0)*0.475*44/12</f>
        <v>1.2689064528468261</v>
      </c>
      <c r="BR112" s="21">
        <f>EXP(-LN(2)/2)*BR111+(1-EXP(-LN(2)/2))/(LN(2)/2)*BL112*BO112*VLOOKUP('Données projet'!$B$11,Paramètres!$A$1:$I$89,3,0)*0.475*44/12</f>
        <v>1.7959543721183201E-3</v>
      </c>
      <c r="BS112" s="22">
        <f t="shared" si="63"/>
        <v>59.482325912303224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-1.7053025658242404E-13</v>
      </c>
      <c r="BZ112" s="13">
        <f>BY112*VLOOKUP('Données projet'!$B$12,Paramètres!$A$1:$I$89,3,0)*VLOOKUP('Données projet'!$B$12,Paramètres!$A$1:$I$89,5,0)</f>
        <v>-1.3567387213697657E-13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299.10536994156814</v>
      </c>
      <c r="CE112" s="59">
        <f t="shared" si="94"/>
        <v>292.57799203101769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58.211623505084276</v>
      </c>
      <c r="CL112" s="21">
        <f>EXP(-LN(2)/25)*CL111+(1-EXP(-LN(2)/25))/(LN(2)/25)*Calculateur!CG112*Calculateur!CI112*VLOOKUP('Données projet'!$B$12,Paramètres!$A$1:$I$89,3,0)*0.475*44/12</f>
        <v>1.2689064528468261</v>
      </c>
      <c r="CM112" s="21">
        <f>EXP(-LN(2)/2)*CM111+(1-EXP(-LN(2)/2))/(LN(2)/2)*CG112*CJ112*VLOOKUP('Données projet'!$B$12,Paramètres!$A$1:$I$89,3,0)*0.475*44/12</f>
        <v>1.7959543721183201E-3</v>
      </c>
      <c r="CN112" s="22">
        <f t="shared" si="66"/>
        <v>59.482325912303224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</v>
      </c>
      <c r="CT112" s="12">
        <f>IF('Données projet'!$A$140&gt;35,CT111+CS112-DB111,IF(A112&lt;'Données projet'!$A$140,$CQ$205^A112,IF(A112='Données projet'!$A$140,'Données projet'!$B$140,CT111+CS112-DB111)))</f>
        <v>342.99999999999943</v>
      </c>
      <c r="CU112" s="17">
        <f>CT112*VLOOKUP('Données projet'!$B$13,Paramètres!$A$1:$I$89,3,0)*VLOOKUP('Données projet'!$B$13,Paramètres!$A$1:$I$89,5,0)</f>
        <v>310.34639999999945</v>
      </c>
      <c r="CV112" s="13">
        <f t="shared" si="95"/>
        <v>73.341167576152927</v>
      </c>
      <c r="CW112" s="20">
        <f t="shared" si="67"/>
        <v>668.25584686179866</v>
      </c>
      <c r="CX112" s="59">
        <f t="shared" si="68"/>
        <v>961.58918019513203</v>
      </c>
      <c r="CY112" s="59">
        <f ca="1">AVERAGE(OFFSET($CX$3,0,0,'Données projet'!$E$13+1,1))-AVERAGE(OFFSET($H$3,0,0,'Données projet'!$E$13+1,1))</f>
        <v>528.15559695545812</v>
      </c>
      <c r="CZ112" s="59">
        <f t="shared" si="96"/>
        <v>276.26988364830532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22.707778265474687</v>
      </c>
      <c r="DG112" s="21">
        <f>EXP(-LN(2)/25)*DG111+(1-EXP(-LN(2)/25))/(LN(2)/25)*Calculateur!DB112*Calculateur!DD112*VLOOKUP('Données projet'!$B$13,Paramètres!$A$1:$I$89,3,0)*0.475*44/12</f>
        <v>24.682817351194181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47.390595616668868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</v>
      </c>
      <c r="DO112" s="12">
        <f>IF('Données projet'!$A$166&gt;35,DO111+DN112-DW111,IF(A112&lt;'Données projet'!$A$166,$DL$205^A112,IF(A112='Données projet'!$A$166,'Données projet'!$B$166,DO111+DN112-DW111)))</f>
        <v>342.99999999999943</v>
      </c>
      <c r="DP112" s="17">
        <f>DO112*VLOOKUP('Données projet'!$B$14,Paramètres!$A$1:$I$89,3,0)*VLOOKUP('Données projet'!$B$14,Paramètres!$A$1:$I$89,5,0)</f>
        <v>347.80199999999945</v>
      </c>
      <c r="DQ112" s="13">
        <f t="shared" si="97"/>
        <v>81.109754402608502</v>
      </c>
      <c r="DR112" s="20">
        <f t="shared" si="70"/>
        <v>747.02130558454212</v>
      </c>
      <c r="DS112" s="59">
        <f t="shared" si="71"/>
        <v>1040.3546389178755</v>
      </c>
      <c r="DT112" s="59">
        <f ca="1">AVERAGE(OFFSET($DS$3,0,0,'Données projet'!$E$14+1,1))-AVERAGE(OFFSET($H$3,0,0,'Données projet'!$E$14+1,1))</f>
        <v>586.50020405958992</v>
      </c>
      <c r="DU112" s="59">
        <f t="shared" si="98"/>
        <v>304.44184537595294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25.448372194066462</v>
      </c>
      <c r="EB112" s="21">
        <f>EXP(-LN(2)/25)*EB111+(1-EXP(-LN(2)/25))/(LN(2)/25)*Calculateur!DW112*Calculateur!DY112*VLOOKUP('Données projet'!$B$14,Paramètres!$A$1:$I$89,3,0)*0.475*44/12</f>
        <v>27.661778065993481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53.110150260059939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-1.7053025658242404E-13</v>
      </c>
      <c r="EK112" s="17">
        <f>EJ112*VLOOKUP('Données projet'!$B$15,Paramètres!$A$1:$I$89,3,0)*VLOOKUP('Données projet'!$B$15,Paramètres!$A$1:$I$89,5,0)</f>
        <v>-1.6493686416652052E-13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355.72173590705142</v>
      </c>
      <c r="EP112" s="59">
        <f t="shared" si="100"/>
        <v>346.30980704469363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57.41479403054187</v>
      </c>
      <c r="EW112" s="21">
        <f>EXP(-LN(2)/25)*EW111+(1-EXP(-LN(2)/25))/(LN(2)/25)*Calculateur!ER112*Calculateur!ET112*VLOOKUP('Données projet'!$B$15,Paramètres!$A$1:$I$89,3,0)*0.475*44/12</f>
        <v>1.2515370341434107</v>
      </c>
      <c r="EX112" s="21">
        <f>EXP(-LN(2)/2)*EX111+(1-EXP(-LN(2)/2))/(LN(2)/2)*ER112*EU112*VLOOKUP('Données projet'!$B$15,Paramètres!$A$1:$I$89,3,0)*0.475*44/12</f>
        <v>2.1833170798301132E-3</v>
      </c>
      <c r="EY112" s="22">
        <f t="shared" si="75"/>
        <v>58.668514381765114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-1.383341441396624E-13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304.26232113495314</v>
      </c>
      <c r="FK112" s="59">
        <f t="shared" si="102"/>
        <v>297.47246687305056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59.353027887536939</v>
      </c>
      <c r="FR112" s="21">
        <f>EXP(-LN(2)/25)*FR111+(1-EXP(-LN(2)/25))/(LN(2)/25)*Calculateur!FM112*Calculateur!FO112*VLOOKUP('Données projet'!$B$16,Paramètres!$A$1:$I$89,3,0)*0.475*44/12</f>
        <v>1.2937869715300978</v>
      </c>
      <c r="FS112" s="21">
        <f>EXP(-LN(2)/2)*FS111+(1-EXP(-LN(2)/2))/(LN(2)/2)*FM112*FP112*VLOOKUP('Données projet'!$B$16,Paramètres!$A$1:$I$89,3,0)*0.475*44/12</f>
        <v>1.8311691637284866E-3</v>
      </c>
      <c r="FT112" s="22">
        <f t="shared" si="78"/>
        <v>60.648646028230765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-1.4897523215040567E-13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381.72225529388083</v>
      </c>
      <c r="T113" s="59">
        <f t="shared" si="88"/>
        <v>360.05900046417361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98.009527914526728</v>
      </c>
      <c r="AA113" s="21">
        <f>EXP(-LN(2)/25)*AA112+(1-EXP(-LN(2)/25))/(LN(2)/25)*Calculateur!V113*Calculateur!X113*VLOOKUP('Données projet'!$B$9,Paramètres!$A$1:$I$89,3,0)*0.475*44/12</f>
        <v>14.502958668092324</v>
      </c>
      <c r="AB113" s="21">
        <f>EXP(-LN(2)/2)*AB112+(1-EXP(-LN(2)/2))/(LN(2)/2)*V113*Y113*VLOOKUP('Données projet'!$B$9,Paramètres!$A$1:$I$89,3,0)*0.475*44/12</f>
        <v>1.4362814000983117E-12</v>
      </c>
      <c r="AC113" s="22">
        <f t="shared" si="57"/>
        <v>112.51248658262048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493</v>
      </c>
      <c r="AG113" s="12">
        <f>VLOOKUP(A113,'Données projet'!$A$61:$I$81,9,0)</f>
        <v>7.4</v>
      </c>
      <c r="AH113" s="12">
        <f t="array" ref="AH113">INDEX(AG:AG,MIN(IF(ISNUMBER(AG113:AG309),ROW(AG113:AG309),"")))</f>
        <v>7.4</v>
      </c>
      <c r="AI113" s="13">
        <f>IF('Données projet'!$A$62&gt;35,AI112+AH113-AQ112,IF(A113&lt;'Données projet'!$A$62,$AF$205^A113,IF(A113='Données projet'!$A$62,'Données projet'!$B$62,AI112+AH113-AQ112)))</f>
        <v>492.99999999999994</v>
      </c>
      <c r="AJ113" s="13">
        <f>AI113*VLOOKUP('Données projet'!$B$10,Paramètres!$A$1:$I$89,3,0)*VLOOKUP('Données projet'!$B$10,Paramètres!$A$1:$I$89,5,0)</f>
        <v>361.46759999999995</v>
      </c>
      <c r="AK113" s="13">
        <f t="shared" si="89"/>
        <v>83.9193603889222</v>
      </c>
      <c r="AL113" s="20">
        <f t="shared" si="58"/>
        <v>775.71562267737272</v>
      </c>
      <c r="AM113" s="59">
        <f t="shared" si="59"/>
        <v>1069.048956010706</v>
      </c>
      <c r="AN113" s="59">
        <f ca="1">AVERAGE(OFFSET($AM$3,0,0,'Données projet'!$E$10+1,1))-AVERAGE(OFFSET($H$3,0,0,'Données projet'!$E$10+1,1))</f>
        <v>464.3681853739115</v>
      </c>
      <c r="AO113" s="59">
        <f t="shared" si="90"/>
        <v>272.97841038165217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27</v>
      </c>
      <c r="AR113" s="16">
        <f>IF(ISNA(VLOOKUP(A113,'Données projet'!$A$61:$I$81,5,0)),0%,VLOOKUP(A113,'Données projet'!$A$61:$I$81,5,0)*VLOOKUP('Données projet'!$B$10,Paramètres!$A$1:$I$89,7,0))</f>
        <v>0.30099999999999999</v>
      </c>
      <c r="AS113" s="16">
        <f>IF(ISNA(VLOOKUP(A113,'Données projet'!$A$61:$I$81,6,0)),0%,VLOOKUP(A113,'Données projet'!$A$61:$I$81,6,0)*VLOOKUP('Données projet'!$B$10,Paramètres!$A$1:$I$89,7,0))</f>
        <v>4.3000000000000003E-2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21.738697321250001</v>
      </c>
      <c r="AV113" s="21">
        <f>EXP(-LN(2)/25)*AV112+(1-EXP(-LN(2)/25))/(LN(2)/25)*Calculateur!AQ113*Calculateur!AS113*VLOOKUP('Données projet'!$B$10,Paramètres!$A$1:$I$89,3,0)*0.475*44/12</f>
        <v>24.497943965273709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46.236641286523707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-1.3567387213697657E-13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299.10536994156814</v>
      </c>
      <c r="BJ113" s="59">
        <f t="shared" si="92"/>
        <v>292.57799203101769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57.070129073734023</v>
      </c>
      <c r="BQ113" s="21">
        <f>EXP(-LN(2)/25)*BQ112+(1-EXP(-LN(2)/25))/(LN(2)/25)*Calculateur!BL113*Calculateur!BN113*VLOOKUP('Données projet'!$B$11,Paramètres!$A$1:$I$89,3,0)*0.475*44/12</f>
        <v>1.2342081391648394</v>
      </c>
      <c r="BR113" s="21">
        <f>EXP(-LN(2)/2)*BR112+(1-EXP(-LN(2)/2))/(LN(2)/2)*BL113*BO113*VLOOKUP('Données projet'!$B$11,Paramètres!$A$1:$I$89,3,0)*0.475*44/12</f>
        <v>1.2699315152264923E-3</v>
      </c>
      <c r="BS113" s="22">
        <f t="shared" si="63"/>
        <v>58.30560714441409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-1.7053025658242404E-13</v>
      </c>
      <c r="BZ113" s="13">
        <f>BY113*VLOOKUP('Données projet'!$B$12,Paramètres!$A$1:$I$89,3,0)*VLOOKUP('Données projet'!$B$12,Paramètres!$A$1:$I$89,5,0)</f>
        <v>-1.3567387213697657E-13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299.10536994156814</v>
      </c>
      <c r="CE113" s="59">
        <f t="shared" si="94"/>
        <v>292.57799203101769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57.070129073734023</v>
      </c>
      <c r="CL113" s="21">
        <f>EXP(-LN(2)/25)*CL112+(1-EXP(-LN(2)/25))/(LN(2)/25)*Calculateur!CG113*Calculateur!CI113*VLOOKUP('Données projet'!$B$12,Paramètres!$A$1:$I$89,3,0)*0.475*44/12</f>
        <v>1.2342081391648394</v>
      </c>
      <c r="CM113" s="21">
        <f>EXP(-LN(2)/2)*CM112+(1-EXP(-LN(2)/2))/(LN(2)/2)*CG113*CJ113*VLOOKUP('Données projet'!$B$12,Paramètres!$A$1:$I$89,3,0)*0.475*44/12</f>
        <v>1.2699315152264923E-3</v>
      </c>
      <c r="CN113" s="22">
        <f t="shared" si="66"/>
        <v>58.30560714441409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</v>
      </c>
      <c r="CT113" s="12">
        <f>IF('Données projet'!$A$140&gt;35,CT112+CS113-DB112,IF(A113&lt;'Données projet'!$A$140,$CQ$205^A113,IF(A113='Données projet'!$A$140,'Données projet'!$B$140,CT112+CS113-DB112)))</f>
        <v>349.99999999999943</v>
      </c>
      <c r="CU113" s="17">
        <f>CT113*VLOOKUP('Données projet'!$B$13,Paramètres!$A$1:$I$89,3,0)*VLOOKUP('Données projet'!$B$13,Paramètres!$A$1:$I$89,5,0)</f>
        <v>316.6799999999995</v>
      </c>
      <c r="CV113" s="13">
        <f t="shared" si="95"/>
        <v>74.662144360177635</v>
      </c>
      <c r="CW113" s="20">
        <f t="shared" si="67"/>
        <v>681.58756809397516</v>
      </c>
      <c r="CX113" s="59">
        <f t="shared" si="68"/>
        <v>974.92090142730854</v>
      </c>
      <c r="CY113" s="59">
        <f ca="1">AVERAGE(OFFSET($CX$3,0,0,'Données projet'!$E$13+1,1))-AVERAGE(OFFSET($H$3,0,0,'Données projet'!$E$13+1,1))</f>
        <v>528.15559695545812</v>
      </c>
      <c r="CZ113" s="59">
        <f t="shared" si="96"/>
        <v>276.26988364830532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22.262492584065861</v>
      </c>
      <c r="DG113" s="21">
        <f>EXP(-LN(2)/25)*DG112+(1-EXP(-LN(2)/25))/(LN(2)/25)*Calculateur!DB113*Calculateur!DD113*VLOOKUP('Données projet'!$B$13,Paramètres!$A$1:$I$89,3,0)*0.475*44/12</f>
        <v>24.007864412712824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46.270356996778688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</v>
      </c>
      <c r="DO113" s="12">
        <f>IF('Données projet'!$A$166&gt;35,DO112+DN113-DW112,IF(A113&lt;'Données projet'!$A$166,$DL$205^A113,IF(A113='Données projet'!$A$166,'Données projet'!$B$166,DO112+DN113-DW112)))</f>
        <v>349.99999999999943</v>
      </c>
      <c r="DP113" s="17">
        <f>DO113*VLOOKUP('Données projet'!$B$14,Paramètres!$A$1:$I$89,3,0)*VLOOKUP('Données projet'!$B$14,Paramètres!$A$1:$I$89,5,0)</f>
        <v>354.89999999999941</v>
      </c>
      <c r="DQ113" s="13">
        <f t="shared" si="97"/>
        <v>82.570654277328046</v>
      </c>
      <c r="DR113" s="20">
        <f t="shared" si="70"/>
        <v>761.92805619967874</v>
      </c>
      <c r="DS113" s="59">
        <f t="shared" si="71"/>
        <v>1055.2613895330121</v>
      </c>
      <c r="DT113" s="59">
        <f ca="1">AVERAGE(OFFSET($DS$3,0,0,'Données projet'!$E$14+1,1))-AVERAGE(OFFSET($H$3,0,0,'Données projet'!$E$14+1,1))</f>
        <v>586.50020405958992</v>
      </c>
      <c r="DU113" s="59">
        <f t="shared" si="98"/>
        <v>304.44184537595294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24.949345137315188</v>
      </c>
      <c r="EB113" s="21">
        <f>EXP(-LN(2)/25)*EB112+(1-EXP(-LN(2)/25))/(LN(2)/25)*Calculateur!DW113*Calculateur!DY113*VLOOKUP('Données projet'!$B$14,Paramètres!$A$1:$I$89,3,0)*0.475*44/12</f>
        <v>26.905365290109202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51.854710427424394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-1.7053025658242404E-13</v>
      </c>
      <c r="EK113" s="17">
        <f>EJ113*VLOOKUP('Données projet'!$B$15,Paramètres!$A$1:$I$89,3,0)*VLOOKUP('Données projet'!$B$15,Paramètres!$A$1:$I$89,5,0)</f>
        <v>-1.6493686416652052E-13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355.72173590705142</v>
      </c>
      <c r="EP113" s="59">
        <f t="shared" si="100"/>
        <v>346.30980704469363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56.288924939169405</v>
      </c>
      <c r="EW113" s="21">
        <f>EXP(-LN(2)/25)*EW112+(1-EXP(-LN(2)/25))/(LN(2)/25)*Calculateur!ER113*Calculateur!ET113*VLOOKUP('Données projet'!$B$15,Paramètres!$A$1:$I$89,3,0)*0.475*44/12</f>
        <v>1.217313688129287</v>
      </c>
      <c r="EX113" s="21">
        <f>EXP(-LN(2)/2)*EX112+(1-EXP(-LN(2)/2))/(LN(2)/2)*ER113*EU113*VLOOKUP('Données projet'!$B$15,Paramètres!$A$1:$I$89,3,0)*0.475*44/12</f>
        <v>1.5438383126282838E-3</v>
      </c>
      <c r="EY113" s="22">
        <f t="shared" si="75"/>
        <v>57.507782465611321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-1.383341441396624E-13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304.26232113495314</v>
      </c>
      <c r="FK113" s="59">
        <f t="shared" si="102"/>
        <v>297.47246687305056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58.189151212434723</v>
      </c>
      <c r="FR113" s="21">
        <f>EXP(-LN(2)/25)*FR112+(1-EXP(-LN(2)/25))/(LN(2)/25)*Calculateur!FM113*Calculateur!FO113*VLOOKUP('Données projet'!$B$16,Paramètres!$A$1:$I$89,3,0)*0.475*44/12</f>
        <v>1.2584082987563074</v>
      </c>
      <c r="FS113" s="21">
        <f>EXP(-LN(2)/2)*FS112+(1-EXP(-LN(2)/2))/(LN(2)/2)*FM113*FP113*VLOOKUP('Données projet'!$B$16,Paramètres!$A$1:$I$89,3,0)*0.475*44/12</f>
        <v>1.2948321331721123E-3</v>
      </c>
      <c r="FT113" s="22">
        <f t="shared" si="78"/>
        <v>59.4488543433242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-1.4897523215040567E-13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381.72225529388083</v>
      </c>
      <c r="T114" s="59">
        <f t="shared" si="88"/>
        <v>360.05900046417361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96.087620852032117</v>
      </c>
      <c r="AA114" s="21">
        <f>EXP(-LN(2)/25)*AA113+(1-EXP(-LN(2)/25))/(LN(2)/25)*Calculateur!V114*Calculateur!X114*VLOOKUP('Données projet'!$B$9,Paramètres!$A$1:$I$89,3,0)*0.475*44/12</f>
        <v>14.106374500635891</v>
      </c>
      <c r="AB114" s="21">
        <f>EXP(-LN(2)/2)*AB113+(1-EXP(-LN(2)/2))/(LN(2)/2)*V114*Y114*VLOOKUP('Données projet'!$B$9,Paramètres!$A$1:$I$89,3,0)*0.475*44/12</f>
        <v>1.015604317701625E-12</v>
      </c>
      <c r="AC114" s="22">
        <f t="shared" si="57"/>
        <v>110.19399535266902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</v>
      </c>
      <c r="AI114" s="13">
        <f>IF('Données projet'!$A$62&gt;35,AI113+AH114-AQ113,IF(A114&lt;'Données projet'!$A$62,$AF$205^A114,IF(A114='Données projet'!$A$62,'Données projet'!$B$62,AI113+AH114-AQ113)))</f>
        <v>472.99999999999994</v>
      </c>
      <c r="AJ114" s="13">
        <f>AI114*VLOOKUP('Données projet'!$B$10,Paramètres!$A$1:$I$89,3,0)*VLOOKUP('Données projet'!$B$10,Paramètres!$A$1:$I$89,5,0)</f>
        <v>346.80359999999996</v>
      </c>
      <c r="AK114" s="13">
        <f t="shared" si="89"/>
        <v>80.903988258415168</v>
      </c>
      <c r="AL114" s="20">
        <f t="shared" si="58"/>
        <v>744.92404955007294</v>
      </c>
      <c r="AM114" s="59">
        <f t="shared" si="59"/>
        <v>1038.2573828834063</v>
      </c>
      <c r="AN114" s="59">
        <f ca="1">AVERAGE(OFFSET($AM$3,0,0,'Données projet'!$E$10+1,1))-AVERAGE(OFFSET($H$3,0,0,'Données projet'!$E$10+1,1))</f>
        <v>464.3681853739115</v>
      </c>
      <c r="AO114" s="59">
        <f t="shared" si="90"/>
        <v>272.97841038165217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21.312414726076408</v>
      </c>
      <c r="AV114" s="21">
        <f>EXP(-LN(2)/25)*AV113+(1-EXP(-LN(2)/25))/(LN(2)/25)*Calculateur!AQ114*Calculateur!AS114*VLOOKUP('Données projet'!$B$10,Paramètres!$A$1:$I$89,3,0)*0.475*44/12</f>
        <v>23.828046399252418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45.140461125328827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-1.3567387213697657E-13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299.10536994156814</v>
      </c>
      <c r="BJ114" s="59">
        <f t="shared" si="92"/>
        <v>292.57799203101769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55.951018651939698</v>
      </c>
      <c r="BQ114" s="21">
        <f>EXP(-LN(2)/25)*BQ113+(1-EXP(-LN(2)/25))/(LN(2)/25)*Calculateur!BL114*Calculateur!BN114*VLOOKUP('Données projet'!$B$11,Paramètres!$A$1:$I$89,3,0)*0.475*44/12</f>
        <v>1.2004586526951917</v>
      </c>
      <c r="BR114" s="21">
        <f>EXP(-LN(2)/2)*BR113+(1-EXP(-LN(2)/2))/(LN(2)/2)*BL114*BO114*VLOOKUP('Données projet'!$B$11,Paramètres!$A$1:$I$89,3,0)*0.475*44/12</f>
        <v>8.9797718605916005E-4</v>
      </c>
      <c r="BS114" s="22">
        <f t="shared" si="63"/>
        <v>57.152375281820945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-1.7053025658242404E-13</v>
      </c>
      <c r="BZ114" s="13">
        <f>BY114*VLOOKUP('Données projet'!$B$12,Paramètres!$A$1:$I$89,3,0)*VLOOKUP('Données projet'!$B$12,Paramètres!$A$1:$I$89,5,0)</f>
        <v>-1.3567387213697657E-13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299.10536994156814</v>
      </c>
      <c r="CE114" s="59">
        <f t="shared" si="94"/>
        <v>292.57799203101769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55.951018651939698</v>
      </c>
      <c r="CL114" s="21">
        <f>EXP(-LN(2)/25)*CL113+(1-EXP(-LN(2)/25))/(LN(2)/25)*Calculateur!CG114*Calculateur!CI114*VLOOKUP('Données projet'!$B$12,Paramètres!$A$1:$I$89,3,0)*0.475*44/12</f>
        <v>1.2004586526951917</v>
      </c>
      <c r="CM114" s="21">
        <f>EXP(-LN(2)/2)*CM113+(1-EXP(-LN(2)/2))/(LN(2)/2)*CG114*CJ114*VLOOKUP('Données projet'!$B$12,Paramètres!$A$1:$I$89,3,0)*0.475*44/12</f>
        <v>8.9797718605916005E-4</v>
      </c>
      <c r="CN114" s="22">
        <f t="shared" si="66"/>
        <v>57.152375281820945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</v>
      </c>
      <c r="CT114" s="12">
        <f>IF('Données projet'!$A$140&gt;35,CT113+CS114-DB113,IF(A114&lt;'Données projet'!$A$140,$CQ$205^A114,IF(A114='Données projet'!$A$140,'Données projet'!$B$140,CT113+CS114-DB113)))</f>
        <v>356.99999999999943</v>
      </c>
      <c r="CU114" s="17">
        <f>CT114*VLOOKUP('Données projet'!$B$13,Paramètres!$A$1:$I$89,3,0)*VLOOKUP('Données projet'!$B$13,Paramètres!$A$1:$I$89,5,0)</f>
        <v>323.01359999999949</v>
      </c>
      <c r="CV114" s="13">
        <f t="shared" si="95"/>
        <v>75.980049270566028</v>
      </c>
      <c r="CW114" s="20">
        <f t="shared" si="67"/>
        <v>694.91393914623495</v>
      </c>
      <c r="CX114" s="59">
        <f t="shared" si="68"/>
        <v>988.24727247956821</v>
      </c>
      <c r="CY114" s="59">
        <f ca="1">AVERAGE(OFFSET($CX$3,0,0,'Données projet'!$E$13+1,1))-AVERAGE(OFFSET($H$3,0,0,'Données projet'!$E$13+1,1))</f>
        <v>528.15559695545812</v>
      </c>
      <c r="CZ114" s="59">
        <f t="shared" si="96"/>
        <v>276.26988364830532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21.82593868327201</v>
      </c>
      <c r="DG114" s="21">
        <f>EXP(-LN(2)/25)*DG113+(1-EXP(-LN(2)/25))/(LN(2)/25)*Calculateur!DB114*Calculateur!DD114*VLOOKUP('Données projet'!$B$13,Paramètres!$A$1:$I$89,3,0)*0.475*44/12</f>
        <v>23.351368097828473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45.177306781100484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</v>
      </c>
      <c r="DO114" s="12">
        <f>IF('Données projet'!$A$166&gt;35,DO113+DN114-DW113,IF(A114&lt;'Données projet'!$A$166,$DL$205^A114,IF(A114='Données projet'!$A$166,'Données projet'!$B$166,DO113+DN114-DW113)))</f>
        <v>356.99999999999943</v>
      </c>
      <c r="DP114" s="17">
        <f>DO114*VLOOKUP('Données projet'!$B$14,Paramètres!$A$1:$I$89,3,0)*VLOOKUP('Données projet'!$B$14,Paramètres!$A$1:$I$89,5,0)</f>
        <v>361.99799999999948</v>
      </c>
      <c r="DQ114" s="13">
        <f t="shared" si="97"/>
        <v>84.028156893394268</v>
      </c>
      <c r="DR114" s="20">
        <f t="shared" si="70"/>
        <v>776.82888992266089</v>
      </c>
      <c r="DS114" s="59">
        <f t="shared" si="71"/>
        <v>1070.1622232559941</v>
      </c>
      <c r="DT114" s="59">
        <f ca="1">AVERAGE(OFFSET($DS$3,0,0,'Données projet'!$E$14+1,1))-AVERAGE(OFFSET($H$3,0,0,'Données projet'!$E$14+1,1))</f>
        <v>586.50020405958992</v>
      </c>
      <c r="DU114" s="59">
        <f t="shared" si="98"/>
        <v>304.44184537595294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24.460103696770357</v>
      </c>
      <c r="EB114" s="21">
        <f>EXP(-LN(2)/25)*EB113+(1-EXP(-LN(2)/25))/(LN(2)/25)*Calculateur!DW114*Calculateur!DY114*VLOOKUP('Données projet'!$B$14,Paramètres!$A$1:$I$89,3,0)*0.475*44/12</f>
        <v>26.169636661359498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50.629740358129851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-1.7053025658242404E-13</v>
      </c>
      <c r="EK114" s="17">
        <f>EJ114*VLOOKUP('Données projet'!$B$15,Paramètres!$A$1:$I$89,3,0)*VLOOKUP('Données projet'!$B$15,Paramètres!$A$1:$I$89,5,0)</f>
        <v>-1.6493686416652052E-13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355.72173590705142</v>
      </c>
      <c r="EP114" s="59">
        <f t="shared" si="100"/>
        <v>346.30980704469363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55.185133453966415</v>
      </c>
      <c r="EW114" s="21">
        <f>EXP(-LN(2)/25)*EW113+(1-EXP(-LN(2)/25))/(LN(2)/25)*Calculateur!ER114*Calculateur!ET114*VLOOKUP('Données projet'!$B$15,Paramètres!$A$1:$I$89,3,0)*0.475*44/12</f>
        <v>1.1840261813116471</v>
      </c>
      <c r="EX114" s="21">
        <f>EXP(-LN(2)/2)*EX113+(1-EXP(-LN(2)/2))/(LN(2)/2)*ER114*EU114*VLOOKUP('Données projet'!$B$15,Paramètres!$A$1:$I$89,3,0)*0.475*44/12</f>
        <v>1.0916585399150566E-3</v>
      </c>
      <c r="EY114" s="22">
        <f t="shared" si="75"/>
        <v>56.370251293817972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-1.383341441396624E-13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304.26232113495314</v>
      </c>
      <c r="FK114" s="59">
        <f t="shared" si="102"/>
        <v>297.47246687305056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57.048097449036582</v>
      </c>
      <c r="FR114" s="21">
        <f>EXP(-LN(2)/25)*FR113+(1-EXP(-LN(2)/25))/(LN(2)/25)*Calculateur!FM114*Calculateur!FO114*VLOOKUP('Données projet'!$B$16,Paramètres!$A$1:$I$89,3,0)*0.475*44/12</f>
        <v>1.2239970576499999</v>
      </c>
      <c r="FS114" s="21">
        <f>EXP(-LN(2)/2)*FS113+(1-EXP(-LN(2)/2))/(LN(2)/2)*FM114*FP114*VLOOKUP('Données projet'!$B$16,Paramètres!$A$1:$I$89,3,0)*0.475*44/12</f>
        <v>9.1558458186424341E-4</v>
      </c>
      <c r="FT114" s="22">
        <f t="shared" si="78"/>
        <v>58.273010091268446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-1.4897523215040567E-13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381.72225529388083</v>
      </c>
      <c r="T115" s="59">
        <f t="shared" si="88"/>
        <v>360.05900046417361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94.203401214785458</v>
      </c>
      <c r="AA115" s="21">
        <f>EXP(-LN(2)/25)*AA114+(1-EXP(-LN(2)/25))/(LN(2)/25)*Calculateur!V115*Calculateur!X115*VLOOKUP('Données projet'!$B$9,Paramètres!$A$1:$I$89,3,0)*0.475*44/12</f>
        <v>13.720634948094007</v>
      </c>
      <c r="AB115" s="21">
        <f>EXP(-LN(2)/2)*AB114+(1-EXP(-LN(2)/2))/(LN(2)/2)*V115*Y115*VLOOKUP('Données projet'!$B$9,Paramètres!$A$1:$I$89,3,0)*0.475*44/12</f>
        <v>7.1814070004915586E-13</v>
      </c>
      <c r="AC115" s="22">
        <f t="shared" si="57"/>
        <v>107.92403616288018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</v>
      </c>
      <c r="AI115" s="13">
        <f>IF('Données projet'!$A$62&gt;35,AI114+AH115-AQ114,IF(A115&lt;'Données projet'!$A$62,$AF$205^A115,IF(A115='Données projet'!$A$62,'Données projet'!$B$62,AI114+AH115-AQ114)))</f>
        <v>479.99999999999994</v>
      </c>
      <c r="AJ115" s="13">
        <f>AI115*VLOOKUP('Données projet'!$B$10,Paramètres!$A$1:$I$89,3,0)*VLOOKUP('Données projet'!$B$10,Paramètres!$A$1:$I$89,5,0)</f>
        <v>351.93599999999998</v>
      </c>
      <c r="AK115" s="13">
        <f t="shared" si="89"/>
        <v>81.961025673167143</v>
      </c>
      <c r="AL115" s="20">
        <f t="shared" si="58"/>
        <v>755.7039863807662</v>
      </c>
      <c r="AM115" s="59">
        <f t="shared" si="59"/>
        <v>1049.0373197140996</v>
      </c>
      <c r="AN115" s="59">
        <f ca="1">AVERAGE(OFFSET($AM$3,0,0,'Données projet'!$E$10+1,1))-AVERAGE(OFFSET($H$3,0,0,'Données projet'!$E$10+1,1))</f>
        <v>464.3681853739115</v>
      </c>
      <c r="AO115" s="59">
        <f t="shared" si="90"/>
        <v>272.97841038165217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20.894491272587459</v>
      </c>
      <c r="AV115" s="21">
        <f>EXP(-LN(2)/25)*AV114+(1-EXP(-LN(2)/25))/(LN(2)/25)*Calculateur!AQ115*Calculateur!AS115*VLOOKUP('Données projet'!$B$10,Paramètres!$A$1:$I$89,3,0)*0.475*44/12</f>
        <v>23.176467217402362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44.07095848998982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-1.3567387213697657E-13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299.10536994156814</v>
      </c>
      <c r="BJ115" s="59">
        <f t="shared" si="92"/>
        <v>292.57799203101769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54.853853302926801</v>
      </c>
      <c r="BQ115" s="21">
        <f>EXP(-LN(2)/25)*BQ114+(1-EXP(-LN(2)/25))/(LN(2)/25)*Calculateur!BL115*Calculateur!BN115*VLOOKUP('Données projet'!$B$11,Paramètres!$A$1:$I$89,3,0)*0.475*44/12</f>
        <v>1.1676320477078648</v>
      </c>
      <c r="BR115" s="21">
        <f>EXP(-LN(2)/2)*BR114+(1-EXP(-LN(2)/2))/(LN(2)/2)*BL115*BO115*VLOOKUP('Données projet'!$B$11,Paramètres!$A$1:$I$89,3,0)*0.475*44/12</f>
        <v>6.3496575761324615E-4</v>
      </c>
      <c r="BS115" s="22">
        <f t="shared" si="63"/>
        <v>56.022120316392275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-1.7053025658242404E-13</v>
      </c>
      <c r="BZ115" s="13">
        <f>BY115*VLOOKUP('Données projet'!$B$12,Paramètres!$A$1:$I$89,3,0)*VLOOKUP('Données projet'!$B$12,Paramètres!$A$1:$I$89,5,0)</f>
        <v>-1.3567387213697657E-13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299.10536994156814</v>
      </c>
      <c r="CE115" s="59">
        <f t="shared" si="94"/>
        <v>292.57799203101769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54.853853302926801</v>
      </c>
      <c r="CL115" s="21">
        <f>EXP(-LN(2)/25)*CL114+(1-EXP(-LN(2)/25))/(LN(2)/25)*Calculateur!CG115*Calculateur!CI115*VLOOKUP('Données projet'!$B$12,Paramètres!$A$1:$I$89,3,0)*0.475*44/12</f>
        <v>1.1676320477078648</v>
      </c>
      <c r="CM115" s="21">
        <f>EXP(-LN(2)/2)*CM114+(1-EXP(-LN(2)/2))/(LN(2)/2)*CG115*CJ115*VLOOKUP('Données projet'!$B$12,Paramètres!$A$1:$I$89,3,0)*0.475*44/12</f>
        <v>6.3496575761324615E-4</v>
      </c>
      <c r="CN115" s="22">
        <f t="shared" si="66"/>
        <v>56.022120316392275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</v>
      </c>
      <c r="CT115" s="12">
        <f>IF('Données projet'!$A$140&gt;35,CT114+CS115-DB114,IF(A115&lt;'Données projet'!$A$140,$CQ$205^A115,IF(A115='Données projet'!$A$140,'Données projet'!$B$140,CT114+CS115-DB114)))</f>
        <v>363.99999999999943</v>
      </c>
      <c r="CU115" s="17">
        <f>CT115*VLOOKUP('Données projet'!$B$13,Paramètres!$A$1:$I$89,3,0)*VLOOKUP('Données projet'!$B$13,Paramètres!$A$1:$I$89,5,0)</f>
        <v>329.34719999999948</v>
      </c>
      <c r="CV115" s="13">
        <f t="shared" si="95"/>
        <v>77.294949483241425</v>
      </c>
      <c r="CW115" s="20">
        <f t="shared" si="67"/>
        <v>708.2350770166446</v>
      </c>
      <c r="CX115" s="59">
        <f t="shared" si="68"/>
        <v>1001.568410349978</v>
      </c>
      <c r="CY115" s="59">
        <f ca="1">AVERAGE(OFFSET($CX$3,0,0,'Données projet'!$E$13+1,1))-AVERAGE(OFFSET($H$3,0,0,'Données projet'!$E$13+1,1))</f>
        <v>528.15559695545812</v>
      </c>
      <c r="CZ115" s="59">
        <f t="shared" si="96"/>
        <v>276.26988364830532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21.397945338201144</v>
      </c>
      <c r="DG115" s="21">
        <f>EXP(-LN(2)/25)*DG114+(1-EXP(-LN(2)/25))/(LN(2)/25)*Calculateur!DB115*Calculateur!DD115*VLOOKUP('Données projet'!$B$13,Paramètres!$A$1:$I$89,3,0)*0.475*44/12</f>
        <v>22.712823709198275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44.110769047399415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</v>
      </c>
      <c r="DO115" s="12">
        <f>IF('Données projet'!$A$166&gt;35,DO114+DN115-DW114,IF(A115&lt;'Données projet'!$A$166,$DL$205^A115,IF(A115='Données projet'!$A$166,'Données projet'!$B$166,DO114+DN115-DW114)))</f>
        <v>363.99999999999943</v>
      </c>
      <c r="DP115" s="17">
        <f>DO115*VLOOKUP('Données projet'!$B$14,Paramètres!$A$1:$I$89,3,0)*VLOOKUP('Données projet'!$B$14,Paramètres!$A$1:$I$89,5,0)</f>
        <v>369.09599999999944</v>
      </c>
      <c r="DQ115" s="13">
        <f t="shared" si="97"/>
        <v>85.482336542270247</v>
      </c>
      <c r="DR115" s="20">
        <f t="shared" si="70"/>
        <v>791.72393614445298</v>
      </c>
      <c r="DS115" s="59">
        <f t="shared" si="71"/>
        <v>1085.0572694777863</v>
      </c>
      <c r="DT115" s="59">
        <f ca="1">AVERAGE(OFFSET($DS$3,0,0,'Données projet'!$E$14+1,1))-AVERAGE(OFFSET($H$3,0,0,'Données projet'!$E$14+1,1))</f>
        <v>586.50020405958992</v>
      </c>
      <c r="DU115" s="59">
        <f t="shared" si="98"/>
        <v>304.44184537595294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23.980455982466797</v>
      </c>
      <c r="EB115" s="21">
        <f>EXP(-LN(2)/25)*EB114+(1-EXP(-LN(2)/25))/(LN(2)/25)*Calculateur!DW115*Calculateur!DY115*VLOOKUP('Données projet'!$B$14,Paramètres!$A$1:$I$89,3,0)*0.475*44/12</f>
        <v>25.454026570653241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49.434482553120034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-1.7053025658242404E-13</v>
      </c>
      <c r="EK115" s="17">
        <f>EJ115*VLOOKUP('Données projet'!$B$15,Paramètres!$A$1:$I$89,3,0)*VLOOKUP('Données projet'!$B$15,Paramètres!$A$1:$I$89,5,0)</f>
        <v>-1.6493686416652052E-13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355.72173590705142</v>
      </c>
      <c r="EP115" s="59">
        <f t="shared" si="100"/>
        <v>346.30980704469363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54.102986646541929</v>
      </c>
      <c r="EW115" s="21">
        <f>EXP(-LN(2)/25)*EW114+(1-EXP(-LN(2)/25))/(LN(2)/25)*Calculateur!ER115*Calculateur!ET115*VLOOKUP('Données projet'!$B$15,Paramètres!$A$1:$I$89,3,0)*0.475*44/12</f>
        <v>1.1516489231184492</v>
      </c>
      <c r="EX115" s="21">
        <f>EXP(-LN(2)/2)*EX114+(1-EXP(-LN(2)/2))/(LN(2)/2)*ER115*EU115*VLOOKUP('Données projet'!$B$15,Paramètres!$A$1:$I$89,3,0)*0.475*44/12</f>
        <v>7.7191915631414189E-4</v>
      </c>
      <c r="EY115" s="22">
        <f t="shared" si="75"/>
        <v>55.255407488816694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-1.383341441396624E-13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304.26232113495314</v>
      </c>
      <c r="FK115" s="59">
        <f t="shared" si="102"/>
        <v>297.47246687305056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55.929419053964608</v>
      </c>
      <c r="FR115" s="21">
        <f>EXP(-LN(2)/25)*FR114+(1-EXP(-LN(2)/25))/(LN(2)/25)*Calculateur!FM115*Calculateur!FO115*VLOOKUP('Données projet'!$B$16,Paramètres!$A$1:$I$89,3,0)*0.475*44/12</f>
        <v>1.1905267937413528</v>
      </c>
      <c r="FS115" s="21">
        <f>EXP(-LN(2)/2)*FS114+(1-EXP(-LN(2)/2))/(LN(2)/2)*FM115*FP115*VLOOKUP('Données projet'!$B$16,Paramètres!$A$1:$I$89,3,0)*0.475*44/12</f>
        <v>6.4741606658605627E-4</v>
      </c>
      <c r="FT115" s="22">
        <f t="shared" si="78"/>
        <v>57.120593263772548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-1.4897523215040567E-13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381.72225529388083</v>
      </c>
      <c r="T116" s="59">
        <f t="shared" si="88"/>
        <v>360.05900046417361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92.356129975364709</v>
      </c>
      <c r="AA116" s="21">
        <f>EXP(-LN(2)/25)*AA115+(1-EXP(-LN(2)/25))/(LN(2)/25)*Calculateur!V116*Calculateur!X116*VLOOKUP('Données projet'!$B$9,Paramètres!$A$1:$I$89,3,0)*0.475*44/12</f>
        <v>13.345443463901544</v>
      </c>
      <c r="AB116" s="21">
        <f>EXP(-LN(2)/2)*AB115+(1-EXP(-LN(2)/2))/(LN(2)/2)*V116*Y116*VLOOKUP('Données projet'!$B$9,Paramètres!$A$1:$I$89,3,0)*0.475*44/12</f>
        <v>5.0780215885081251E-13</v>
      </c>
      <c r="AC116" s="22">
        <f t="shared" si="57"/>
        <v>105.70157343926677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</v>
      </c>
      <c r="AI116" s="13">
        <f>IF('Données projet'!$A$62&gt;35,AI115+AH116-AQ115,IF(A116&lt;'Données projet'!$A$62,$AF$205^A116,IF(A116='Données projet'!$A$62,'Données projet'!$B$62,AI115+AH116-AQ115)))</f>
        <v>486.99999999999994</v>
      </c>
      <c r="AJ116" s="13">
        <f>AI116*VLOOKUP('Données projet'!$B$10,Paramètres!$A$1:$I$89,3,0)*VLOOKUP('Données projet'!$B$10,Paramètres!$A$1:$I$89,5,0)</f>
        <v>357.06839999999994</v>
      </c>
      <c r="AK116" s="13">
        <f t="shared" si="89"/>
        <v>83.016270221782037</v>
      </c>
      <c r="AL116" s="20">
        <f t="shared" si="58"/>
        <v>766.48080063627015</v>
      </c>
      <c r="AM116" s="59">
        <f t="shared" si="59"/>
        <v>1059.8141339696035</v>
      </c>
      <c r="AN116" s="59">
        <f ca="1">AVERAGE(OFFSET($AM$3,0,0,'Données projet'!$E$10+1,1))-AVERAGE(OFFSET($H$3,0,0,'Données projet'!$E$10+1,1))</f>
        <v>464.3681853739115</v>
      </c>
      <c r="AO116" s="59">
        <f t="shared" si="90"/>
        <v>272.97841038165217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20.484763043113293</v>
      </c>
      <c r="AV116" s="21">
        <f>EXP(-LN(2)/25)*AV115+(1-EXP(-LN(2)/25))/(LN(2)/25)*Calculateur!AQ116*Calculateur!AS116*VLOOKUP('Données projet'!$B$10,Paramètres!$A$1:$I$89,3,0)*0.475*44/12</f>
        <v>22.542705502545054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43.027468545658351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-1.3567387213697657E-13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299.10536994156814</v>
      </c>
      <c r="BJ116" s="59">
        <f t="shared" si="92"/>
        <v>292.57799203101769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53.778202697203263</v>
      </c>
      <c r="BQ116" s="21">
        <f>EXP(-LN(2)/25)*BQ115+(1-EXP(-LN(2)/25))/(LN(2)/25)*Calculateur!BL116*Calculateur!BN116*VLOOKUP('Données projet'!$B$11,Paramètres!$A$1:$I$89,3,0)*0.475*44/12</f>
        <v>1.1357030879601924</v>
      </c>
      <c r="BR116" s="21">
        <f>EXP(-LN(2)/2)*BR115+(1-EXP(-LN(2)/2))/(LN(2)/2)*BL116*BO116*VLOOKUP('Données projet'!$B$11,Paramètres!$A$1:$I$89,3,0)*0.475*44/12</f>
        <v>4.4898859302958002E-4</v>
      </c>
      <c r="BS116" s="22">
        <f t="shared" si="63"/>
        <v>54.914354773756486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-1.7053025658242404E-13</v>
      </c>
      <c r="BZ116" s="13">
        <f>BY116*VLOOKUP('Données projet'!$B$12,Paramètres!$A$1:$I$89,3,0)*VLOOKUP('Données projet'!$B$12,Paramètres!$A$1:$I$89,5,0)</f>
        <v>-1.3567387213697657E-13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299.10536994156814</v>
      </c>
      <c r="CE116" s="59">
        <f t="shared" si="94"/>
        <v>292.57799203101769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53.778202697203263</v>
      </c>
      <c r="CL116" s="21">
        <f>EXP(-LN(2)/25)*CL115+(1-EXP(-LN(2)/25))/(LN(2)/25)*Calculateur!CG116*Calculateur!CI116*VLOOKUP('Données projet'!$B$12,Paramètres!$A$1:$I$89,3,0)*0.475*44/12</f>
        <v>1.1357030879601924</v>
      </c>
      <c r="CM116" s="21">
        <f>EXP(-LN(2)/2)*CM115+(1-EXP(-LN(2)/2))/(LN(2)/2)*CG116*CJ116*VLOOKUP('Données projet'!$B$12,Paramètres!$A$1:$I$89,3,0)*0.475*44/12</f>
        <v>4.4898859302958002E-4</v>
      </c>
      <c r="CN116" s="22">
        <f t="shared" si="66"/>
        <v>54.914354773756486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</v>
      </c>
      <c r="CT116" s="12">
        <f>IF('Données projet'!$A$140&gt;35,CT115+CS116-DB115,IF(A116&lt;'Données projet'!$A$140,$CQ$205^A116,IF(A116='Données projet'!$A$140,'Données projet'!$B$140,CT115+CS116-DB115)))</f>
        <v>370.99999999999943</v>
      </c>
      <c r="CU116" s="17">
        <f>CT116*VLOOKUP('Données projet'!$B$13,Paramètres!$A$1:$I$89,3,0)*VLOOKUP('Données projet'!$B$13,Paramètres!$A$1:$I$89,5,0)</f>
        <v>335.68079999999946</v>
      </c>
      <c r="CV116" s="13">
        <f t="shared" si="95"/>
        <v>78.606909442620307</v>
      </c>
      <c r="CW116" s="20">
        <f t="shared" si="67"/>
        <v>721.55109394589601</v>
      </c>
      <c r="CX116" s="59">
        <f t="shared" si="68"/>
        <v>1014.8844272792294</v>
      </c>
      <c r="CY116" s="59">
        <f ca="1">AVERAGE(OFFSET($CX$3,0,0,'Données projet'!$E$13+1,1))-AVERAGE(OFFSET($H$3,0,0,'Données projet'!$E$13+1,1))</f>
        <v>528.15559695545812</v>
      </c>
      <c r="CZ116" s="59">
        <f t="shared" si="96"/>
        <v>276.26988364830532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20.978344681576949</v>
      </c>
      <c r="DG116" s="21">
        <f>EXP(-LN(2)/25)*DG115+(1-EXP(-LN(2)/25))/(LN(2)/25)*Calculateur!DB116*Calculateur!DD116*VLOOKUP('Données projet'!$B$13,Paramètres!$A$1:$I$89,3,0)*0.475*44/12</f>
        <v>22.09174035045476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43.070085032031713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</v>
      </c>
      <c r="DO116" s="12">
        <f>IF('Données projet'!$A$166&gt;35,DO115+DN116-DW115,IF(A116&lt;'Données projet'!$A$166,$DL$205^A116,IF(A116='Données projet'!$A$166,'Données projet'!$B$166,DO115+DN116-DW115)))</f>
        <v>370.99999999999943</v>
      </c>
      <c r="DP116" s="17">
        <f>DO116*VLOOKUP('Données projet'!$B$14,Paramètres!$A$1:$I$89,3,0)*VLOOKUP('Données projet'!$B$14,Paramètres!$A$1:$I$89,5,0)</f>
        <v>376.19399999999945</v>
      </c>
      <c r="DQ116" s="13">
        <f t="shared" si="97"/>
        <v>86.93326449458003</v>
      </c>
      <c r="DR116" s="20">
        <f t="shared" si="70"/>
        <v>806.61331899472589</v>
      </c>
      <c r="DS116" s="59">
        <f t="shared" si="71"/>
        <v>1099.9466523280591</v>
      </c>
      <c r="DT116" s="59">
        <f ca="1">AVERAGE(OFFSET($DS$3,0,0,'Données projet'!$E$14+1,1))-AVERAGE(OFFSET($H$3,0,0,'Données projet'!$E$14+1,1))</f>
        <v>586.50020405958992</v>
      </c>
      <c r="DU116" s="59">
        <f t="shared" si="98"/>
        <v>304.44184537595294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23.510213867284513</v>
      </c>
      <c r="EB116" s="21">
        <f>EXP(-LN(2)/25)*EB115+(1-EXP(-LN(2)/25))/(LN(2)/25)*Calculateur!DW116*Calculateur!DY116*VLOOKUP('Données projet'!$B$14,Paramètres!$A$1:$I$89,3,0)*0.475*44/12</f>
        <v>24.757984875509646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48.268198742794155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-1.7053025658242404E-13</v>
      </c>
      <c r="EK116" s="17">
        <f>EJ116*VLOOKUP('Données projet'!$B$15,Paramètres!$A$1:$I$89,3,0)*VLOOKUP('Données projet'!$B$15,Paramètres!$A$1:$I$89,5,0)</f>
        <v>-1.6493686416652052E-13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355.72173590705142</v>
      </c>
      <c r="EP116" s="59">
        <f t="shared" si="100"/>
        <v>346.30980704469363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53.04206007796666</v>
      </c>
      <c r="EW116" s="21">
        <f>EXP(-LN(2)/25)*EW115+(1-EXP(-LN(2)/25))/(LN(2)/25)*Calculateur!ER116*Calculateur!ET116*VLOOKUP('Données projet'!$B$15,Paramètres!$A$1:$I$89,3,0)*0.475*44/12</f>
        <v>1.1201570227531905</v>
      </c>
      <c r="EX116" s="21">
        <f>EXP(-LN(2)/2)*EX115+(1-EXP(-LN(2)/2))/(LN(2)/2)*ER116*EU116*VLOOKUP('Données projet'!$B$15,Paramètres!$A$1:$I$89,3,0)*0.475*44/12</f>
        <v>5.4582926995752829E-4</v>
      </c>
      <c r="EY116" s="22">
        <f t="shared" si="75"/>
        <v>54.16276292998981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-1.383341441396624E-13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304.26232113495314</v>
      </c>
      <c r="FK116" s="59">
        <f t="shared" si="102"/>
        <v>297.47246687305056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54.832677259893551</v>
      </c>
      <c r="FR116" s="21">
        <f>EXP(-LN(2)/25)*FR115+(1-EXP(-LN(2)/25))/(LN(2)/25)*Calculateur!FM116*Calculateur!FO116*VLOOKUP('Données projet'!$B$16,Paramètres!$A$1:$I$89,3,0)*0.475*44/12</f>
        <v>1.1579717759594124</v>
      </c>
      <c r="FS116" s="21">
        <f>EXP(-LN(2)/2)*FS115+(1-EXP(-LN(2)/2))/(LN(2)/2)*FM116*FP116*VLOOKUP('Données projet'!$B$16,Paramètres!$A$1:$I$89,3,0)*0.475*44/12</f>
        <v>4.5779229093212182E-4</v>
      </c>
      <c r="FT116" s="22">
        <f t="shared" si="78"/>
        <v>55.991106828143892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-1.4897523215040567E-13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381.72225529388083</v>
      </c>
      <c r="T117" s="59">
        <f t="shared" si="88"/>
        <v>360.05900046417361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90.545082598224795</v>
      </c>
      <c r="AA117" s="21">
        <f>EXP(-LN(2)/25)*AA116+(1-EXP(-LN(2)/25))/(LN(2)/25)*Calculateur!V117*Calculateur!X117*VLOOKUP('Données projet'!$B$9,Paramètres!$A$1:$I$89,3,0)*0.475*44/12</f>
        <v>12.980511610574785</v>
      </c>
      <c r="AB117" s="21">
        <f>EXP(-LN(2)/2)*AB116+(1-EXP(-LN(2)/2))/(LN(2)/2)*V117*Y117*VLOOKUP('Données projet'!$B$9,Paramètres!$A$1:$I$89,3,0)*0.475*44/12</f>
        <v>3.5907035002457793E-13</v>
      </c>
      <c r="AC117" s="22">
        <f t="shared" si="57"/>
        <v>103.52559420879993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</v>
      </c>
      <c r="AI117" s="13">
        <f>IF('Données projet'!$A$62&gt;35,AI116+AH117-AQ116,IF(A117&lt;'Données projet'!$A$62,$AF$205^A117,IF(A117='Données projet'!$A$62,'Données projet'!$B$62,AI116+AH117-AQ116)))</f>
        <v>493.99999999999994</v>
      </c>
      <c r="AJ117" s="13">
        <f>AI117*VLOOKUP('Données projet'!$B$10,Paramètres!$A$1:$I$89,3,0)*VLOOKUP('Données projet'!$B$10,Paramètres!$A$1:$I$89,5,0)</f>
        <v>362.20079999999996</v>
      </c>
      <c r="AK117" s="13">
        <f t="shared" si="89"/>
        <v>84.069750651993814</v>
      </c>
      <c r="AL117" s="20">
        <f t="shared" si="58"/>
        <v>777.25454238555574</v>
      </c>
      <c r="AM117" s="59">
        <f t="shared" si="59"/>
        <v>1070.5878757188891</v>
      </c>
      <c r="AN117" s="59">
        <f ca="1">AVERAGE(OFFSET($AM$3,0,0,'Données projet'!$E$10+1,1))-AVERAGE(OFFSET($H$3,0,0,'Données projet'!$E$10+1,1))</f>
        <v>464.3681853739115</v>
      </c>
      <c r="AO117" s="59">
        <f t="shared" si="90"/>
        <v>272.97841038165217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20.08306933430957</v>
      </c>
      <c r="AV117" s="21">
        <f>EXP(-LN(2)/25)*AV116+(1-EXP(-LN(2)/25))/(LN(2)/25)*Calculateur!AQ117*Calculateur!AS117*VLOOKUP('Données projet'!$B$10,Paramètres!$A$1:$I$89,3,0)*0.475*44/12</f>
        <v>21.926274035108598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42.009343369418168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-1.3567387213697657E-13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299.10536994156814</v>
      </c>
      <c r="BJ117" s="59">
        <f t="shared" si="92"/>
        <v>292.57799203101769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52.723644943775874</v>
      </c>
      <c r="BQ117" s="21">
        <f>EXP(-LN(2)/25)*BQ116+(1-EXP(-LN(2)/25))/(LN(2)/25)*Calculateur!BL117*Calculateur!BN117*VLOOKUP('Données projet'!$B$11,Paramètres!$A$1:$I$89,3,0)*0.475*44/12</f>
        <v>1.1046472272958912</v>
      </c>
      <c r="BR117" s="21">
        <f>EXP(-LN(2)/2)*BR116+(1-EXP(-LN(2)/2))/(LN(2)/2)*BL117*BO117*VLOOKUP('Données projet'!$B$11,Paramètres!$A$1:$I$89,3,0)*0.475*44/12</f>
        <v>3.1748287880662307E-4</v>
      </c>
      <c r="BS117" s="22">
        <f t="shared" si="63"/>
        <v>53.828609653950572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-1.7053025658242404E-13</v>
      </c>
      <c r="BZ117" s="13">
        <f>BY117*VLOOKUP('Données projet'!$B$12,Paramètres!$A$1:$I$89,3,0)*VLOOKUP('Données projet'!$B$12,Paramètres!$A$1:$I$89,5,0)</f>
        <v>-1.3567387213697657E-13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299.10536994156814</v>
      </c>
      <c r="CE117" s="59">
        <f t="shared" si="94"/>
        <v>292.57799203101769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52.723644943775874</v>
      </c>
      <c r="CL117" s="21">
        <f>EXP(-LN(2)/25)*CL116+(1-EXP(-LN(2)/25))/(LN(2)/25)*Calculateur!CG117*Calculateur!CI117*VLOOKUP('Données projet'!$B$12,Paramètres!$A$1:$I$89,3,0)*0.475*44/12</f>
        <v>1.1046472272958912</v>
      </c>
      <c r="CM117" s="21">
        <f>EXP(-LN(2)/2)*CM116+(1-EXP(-LN(2)/2))/(LN(2)/2)*CG117*CJ117*VLOOKUP('Données projet'!$B$12,Paramètres!$A$1:$I$89,3,0)*0.475*44/12</f>
        <v>3.1748287880662307E-4</v>
      </c>
      <c r="CN117" s="22">
        <f t="shared" si="66"/>
        <v>53.828609653950572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378</v>
      </c>
      <c r="CR117" s="12">
        <f>VLOOKUP(A117,'Données projet'!$A$139:$I$159,9,0)</f>
        <v>7</v>
      </c>
      <c r="CS117" s="12">
        <f t="array" ref="CS117">INDEX(CR:CR,MIN(IF(ISNUMBER(CR117:CR313),ROW(CR117:CR313),"")))</f>
        <v>7</v>
      </c>
      <c r="CT117" s="12">
        <f>IF('Données projet'!$A$140&gt;35,CT116+CS117-DB116,IF(A117&lt;'Données projet'!$A$140,$CQ$205^A117,IF(A117='Données projet'!$A$140,'Données projet'!$B$140,CT116+CS117-DB116)))</f>
        <v>377.99999999999943</v>
      </c>
      <c r="CU117" s="17">
        <f>CT117*VLOOKUP('Données projet'!$B$13,Paramètres!$A$1:$I$89,3,0)*VLOOKUP('Données projet'!$B$13,Paramètres!$A$1:$I$89,5,0)</f>
        <v>342.01439999999951</v>
      </c>
      <c r="CV117" s="13">
        <f t="shared" si="95"/>
        <v>79.915991022086487</v>
      </c>
      <c r="CW117" s="20">
        <f t="shared" si="67"/>
        <v>734.86209769679965</v>
      </c>
      <c r="CX117" s="59">
        <f t="shared" si="68"/>
        <v>1028.195431030133</v>
      </c>
      <c r="CY117" s="59">
        <f ca="1">AVERAGE(OFFSET($CX$3,0,0,'Données projet'!$E$13+1,1))-AVERAGE(OFFSET($H$3,0,0,'Données projet'!$E$13+1,1))</f>
        <v>528.15559695545812</v>
      </c>
      <c r="CZ117" s="59">
        <f t="shared" si="96"/>
        <v>276.26988364830532</v>
      </c>
      <c r="DA117" s="15">
        <f>IF(ISNA(VLOOKUP(A117,'Données projet'!$A$139:$I$159,3,0)),0,VLOOKUP(A117,'Données projet'!$A$139:$I$159,3,0))</f>
        <v>10</v>
      </c>
      <c r="DB117" s="15">
        <f>IF(ISNA(VLOOKUP(A117,'Données projet'!$A$139:$I$159,4,0)),0,VLOOKUP(A117,'Données projet'!$A$139:$I$159,4,0))</f>
        <v>43</v>
      </c>
      <c r="DC117" s="16">
        <f>IF(ISNA(VLOOKUP(A117,'Données projet'!$A$139:$I$159,5,0)),0%,VLOOKUP(A117,'Données projet'!$A$139:$I$159,5,0)*VLOOKUP('Données projet'!$B$13,Paramètres!$A$1:$I$89,7,0))</f>
        <v>0.30099999999999999</v>
      </c>
      <c r="DD117" s="16">
        <f>IF(ISNA(VLOOKUP(A117,'Données projet'!$A$139:$I$159,6,0)),0%,VLOOKUP(A117,'Données projet'!$A$139:$I$159,6,0)*VLOOKUP('Données projet'!$B$13,Paramètres!$A$1:$I$89,7,0))</f>
        <v>4.3000000000000003E-2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33.51294384295052</v>
      </c>
      <c r="DG117" s="21">
        <f>EXP(-LN(2)/25)*DG116+(1-EXP(-LN(2)/25))/(LN(2)/25)*Calculateur!DB117*Calculateur!DD117*VLOOKUP('Données projet'!$B$13,Paramètres!$A$1:$I$89,3,0)*0.475*44/12</f>
        <v>23.329783189052836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56.842727032003353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378</v>
      </c>
      <c r="DM117" s="12">
        <f>VLOOKUP(A117,'Données projet'!$A$165:$I$185,9,0)</f>
        <v>7</v>
      </c>
      <c r="DN117" s="12">
        <f t="array" ref="DN117">INDEX(DM:DM,MIN(IF(ISNUMBER(DM117:DM313),ROW(DM117:DM313),"")))</f>
        <v>7</v>
      </c>
      <c r="DO117" s="12">
        <f>IF('Données projet'!$A$166&gt;35,DO116+DN117-DW116,IF(A117&lt;'Données projet'!$A$166,$DL$205^A117,IF(A117='Données projet'!$A$166,'Données projet'!$B$166,DO116+DN117-DW116)))</f>
        <v>377.99999999999943</v>
      </c>
      <c r="DP117" s="17">
        <f>DO117*VLOOKUP('Données projet'!$B$14,Paramètres!$A$1:$I$89,3,0)*VLOOKUP('Données projet'!$B$14,Paramètres!$A$1:$I$89,5,0)</f>
        <v>383.29199999999946</v>
      </c>
      <c r="DQ117" s="13">
        <f t="shared" si="97"/>
        <v>88.381009177581234</v>
      </c>
      <c r="DR117" s="20">
        <f t="shared" si="70"/>
        <v>821.497157650953</v>
      </c>
      <c r="DS117" s="59">
        <f t="shared" si="71"/>
        <v>1114.8304909842864</v>
      </c>
      <c r="DT117" s="59">
        <f ca="1">AVERAGE(OFFSET($DS$3,0,0,'Données projet'!$E$14+1,1))-AVERAGE(OFFSET($H$3,0,0,'Données projet'!$E$14+1,1))</f>
        <v>586.50020405958992</v>
      </c>
      <c r="DU117" s="59">
        <f t="shared" si="98"/>
        <v>304.44184537595294</v>
      </c>
      <c r="DV117" s="15">
        <f>IF(ISNA(VLOOKUP(A117,'Données projet'!$A$165:$I$185,3,0)),0,VLOOKUP(A117,'Données projet'!$A$165:$I$185,3,0))</f>
        <v>10</v>
      </c>
      <c r="DW117" s="15">
        <f>IF(ISNA(VLOOKUP(A117,'Données projet'!$A$165:$I$185,4,0)),0,VLOOKUP(A117,'Données projet'!$A$165:$I$185,4,0))</f>
        <v>43</v>
      </c>
      <c r="DX117" s="16">
        <f>IF(ISNA(VLOOKUP(A117,'Données projet'!$A$165:$I$185,5,0)),0%,VLOOKUP(A117,'Données projet'!$A$165:$I$185,5,0)*VLOOKUP('Données projet'!$B$14,Paramètres!$A$1:$I$89,7,0))</f>
        <v>0.30099999999999999</v>
      </c>
      <c r="DY117" s="16">
        <f>IF(ISNA(VLOOKUP(A117,'Données projet'!$A$165:$I$185,6,0)),0%,VLOOKUP(A117,'Données projet'!$A$165:$I$185,6,0)*VLOOKUP('Données projet'!$B$14,Paramètres!$A$1:$I$89,7,0))</f>
        <v>4.3000000000000003E-2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37.557609479168683</v>
      </c>
      <c r="EB117" s="21">
        <f>EXP(-LN(2)/25)*EB116+(1-EXP(-LN(2)/25))/(LN(2)/25)*Calculateur!DW117*Calculateur!DY117*VLOOKUP('Données projet'!$B$14,Paramètres!$A$1:$I$89,3,0)*0.475*44/12</f>
        <v>26.145446677386797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63.703056156555476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-1.7053025658242404E-13</v>
      </c>
      <c r="EK117" s="17">
        <f>EJ117*VLOOKUP('Données projet'!$B$15,Paramètres!$A$1:$I$89,3,0)*VLOOKUP('Données projet'!$B$15,Paramètres!$A$1:$I$89,5,0)</f>
        <v>-1.6493686416652052E-13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355.72173590705142</v>
      </c>
      <c r="EP117" s="59">
        <f t="shared" si="100"/>
        <v>346.30980704469363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52.001937632299843</v>
      </c>
      <c r="EW117" s="21">
        <f>EXP(-LN(2)/25)*EW116+(1-EXP(-LN(2)/25))/(LN(2)/25)*Calculateur!ER117*Calculateur!ET117*VLOOKUP('Données projet'!$B$15,Paramètres!$A$1:$I$89,3,0)*0.475*44/12</f>
        <v>1.0895262700595068</v>
      </c>
      <c r="EX117" s="21">
        <f>EXP(-LN(2)/2)*EX116+(1-EXP(-LN(2)/2))/(LN(2)/2)*ER117*EU117*VLOOKUP('Données projet'!$B$15,Paramètres!$A$1:$I$89,3,0)*0.475*44/12</f>
        <v>3.8595957815707095E-4</v>
      </c>
      <c r="EY117" s="22">
        <f t="shared" si="75"/>
        <v>53.091849861937511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-1.383341441396624E-13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304.26232113495314</v>
      </c>
      <c r="FK117" s="59">
        <f t="shared" si="102"/>
        <v>297.47246687305056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53.757441903457782</v>
      </c>
      <c r="FR117" s="21">
        <f>EXP(-LN(2)/25)*FR116+(1-EXP(-LN(2)/25))/(LN(2)/25)*Calculateur!FM117*Calculateur!FO117*VLOOKUP('Données projet'!$B$16,Paramètres!$A$1:$I$89,3,0)*0.475*44/12</f>
        <v>1.126306976850713</v>
      </c>
      <c r="FS117" s="21">
        <f>EXP(-LN(2)/2)*FS116+(1-EXP(-LN(2)/2))/(LN(2)/2)*FM117*FP117*VLOOKUP('Données projet'!$B$16,Paramètres!$A$1:$I$89,3,0)*0.475*44/12</f>
        <v>3.2370803329302819E-4</v>
      </c>
      <c r="FT117" s="22">
        <f t="shared" si="78"/>
        <v>54.884072588341787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-1.4897523215040567E-13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381.72225529388083</v>
      </c>
      <c r="T118" s="59">
        <f t="shared" si="88"/>
        <v>360.05900046417361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88.769548755520773</v>
      </c>
      <c r="AA118" s="21">
        <f>EXP(-LN(2)/25)*AA117+(1-EXP(-LN(2)/25))/(LN(2)/25)*Calculateur!V118*Calculateur!X118*VLOOKUP('Données projet'!$B$9,Paramètres!$A$1:$I$89,3,0)*0.475*44/12</f>
        <v>12.62555883796818</v>
      </c>
      <c r="AB118" s="21">
        <f>EXP(-LN(2)/2)*AB117+(1-EXP(-LN(2)/2))/(LN(2)/2)*V118*Y118*VLOOKUP('Données projet'!$B$9,Paramètres!$A$1:$I$89,3,0)*0.475*44/12</f>
        <v>2.5390107942540625E-13</v>
      </c>
      <c r="AC118" s="22">
        <f t="shared" si="57"/>
        <v>101.39510759348921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501</v>
      </c>
      <c r="AG118" s="12">
        <f>VLOOKUP(A118,'Données projet'!$A$61:$I$81,9,0)</f>
        <v>7</v>
      </c>
      <c r="AH118" s="12">
        <f t="array" ref="AH118">INDEX(AG:AG,MIN(IF(ISNUMBER(AG118:AG314),ROW(AG118:AG314),"")))</f>
        <v>7</v>
      </c>
      <c r="AI118" s="13">
        <f>IF('Données projet'!$A$62&gt;35,AI117+AH118-AQ117,IF(A118&lt;'Données projet'!$A$62,$AF$205^A118,IF(A118='Données projet'!$A$62,'Données projet'!$B$62,AI117+AH118-AQ117)))</f>
        <v>500.99999999999994</v>
      </c>
      <c r="AJ118" s="13">
        <f>AI118*VLOOKUP('Données projet'!$B$10,Paramètres!$A$1:$I$89,3,0)*VLOOKUP('Données projet'!$B$10,Paramètres!$A$1:$I$89,5,0)</f>
        <v>367.33319999999998</v>
      </c>
      <c r="AK118" s="13">
        <f t="shared" si="89"/>
        <v>85.121494850031411</v>
      </c>
      <c r="AL118" s="20">
        <f t="shared" si="58"/>
        <v>788.02526019713798</v>
      </c>
      <c r="AM118" s="59">
        <f t="shared" si="59"/>
        <v>1081.3585935304714</v>
      </c>
      <c r="AN118" s="59">
        <f ca="1">AVERAGE(OFFSET($AM$3,0,0,'Données projet'!$E$10+1,1))-AVERAGE(OFFSET($H$3,0,0,'Données projet'!$E$10+1,1))</f>
        <v>464.3681853739115</v>
      </c>
      <c r="AO118" s="59">
        <f t="shared" si="90"/>
        <v>272.97841038165217</v>
      </c>
      <c r="AP118" s="15" t="str">
        <f>IF(ISNA(VLOOKUP(A118,'Données projet'!$A$61:$I$81,3,0)),0,VLOOKUP(A118,'Données projet'!$A$61:$I$81,3,0))</f>
        <v>CR</v>
      </c>
      <c r="AQ118" s="15">
        <f>IF(ISNA(VLOOKUP(A118,'Données projet'!$A$61:$I$81,4,0)),0,VLOOKUP(A118,'Données projet'!$A$61:$I$81,4,0))</f>
        <v>501</v>
      </c>
      <c r="AR118" s="16">
        <f>IF(ISNA(VLOOKUP(A118,'Données projet'!$A$61:$I$81,5,0)),0%,VLOOKUP(A118,'Données projet'!$A$61:$I$81,5,0)*VLOOKUP('Données projet'!$B$10,Paramètres!$A$1:$I$89,7,0))</f>
        <v>0.30099999999999999</v>
      </c>
      <c r="AS118" s="16">
        <f>IF(ISNA(VLOOKUP(A118,'Données projet'!$A$61:$I$81,6,0)),0%,VLOOKUP(A118,'Données projet'!$A$61:$I$81,6,0)*VLOOKUP('Données projet'!$B$10,Paramètres!$A$1:$I$89,7,0))</f>
        <v>4.3000000000000003E-2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141.91812017186152</v>
      </c>
      <c r="AV118" s="21">
        <f>EXP(-LN(2)/25)*AV117+(1-EXP(-LN(2)/25))/(LN(2)/25)*Calculateur!AQ118*Calculateur!AS118*VLOOKUP('Données projet'!$B$10,Paramètres!$A$1:$I$89,3,0)*0.475*44/12</f>
        <v>38.719214054741869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180.6373342266034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-1.3567387213697657E-13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299.10536994156814</v>
      </c>
      <c r="BJ118" s="59">
        <f t="shared" si="92"/>
        <v>292.57799203101769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51.689766424676485</v>
      </c>
      <c r="BQ118" s="21">
        <f>EXP(-LN(2)/25)*BQ117+(1-EXP(-LN(2)/25))/(LN(2)/25)*Calculateur!BL118*Calculateur!BN118*VLOOKUP('Données projet'!$B$11,Paramètres!$A$1:$I$89,3,0)*0.475*44/12</f>
        <v>1.074440590774612</v>
      </c>
      <c r="BR118" s="21">
        <f>EXP(-LN(2)/2)*BR117+(1-EXP(-LN(2)/2))/(LN(2)/2)*BL118*BO118*VLOOKUP('Données projet'!$B$11,Paramètres!$A$1:$I$89,3,0)*0.475*44/12</f>
        <v>2.2449429651479001E-4</v>
      </c>
      <c r="BS118" s="22">
        <f t="shared" si="63"/>
        <v>52.764431509747617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-1.7053025658242404E-13</v>
      </c>
      <c r="BZ118" s="13">
        <f>BY118*VLOOKUP('Données projet'!$B$12,Paramètres!$A$1:$I$89,3,0)*VLOOKUP('Données projet'!$B$12,Paramètres!$A$1:$I$89,5,0)</f>
        <v>-1.3567387213697657E-13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299.10536994156814</v>
      </c>
      <c r="CE118" s="59">
        <f t="shared" si="94"/>
        <v>292.57799203101769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51.689766424676485</v>
      </c>
      <c r="CL118" s="21">
        <f>EXP(-LN(2)/25)*CL117+(1-EXP(-LN(2)/25))/(LN(2)/25)*Calculateur!CG118*Calculateur!CI118*VLOOKUP('Données projet'!$B$12,Paramètres!$A$1:$I$89,3,0)*0.475*44/12</f>
        <v>1.074440590774612</v>
      </c>
      <c r="CM118" s="21">
        <f>EXP(-LN(2)/2)*CM117+(1-EXP(-LN(2)/2))/(LN(2)/2)*CG118*CJ118*VLOOKUP('Données projet'!$B$12,Paramètres!$A$1:$I$89,3,0)*0.475*44/12</f>
        <v>2.2449429651479001E-4</v>
      </c>
      <c r="CN118" s="22">
        <f t="shared" si="66"/>
        <v>52.764431509747617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6.8888888888888893</v>
      </c>
      <c r="CT118" s="12">
        <f>IF('Données projet'!$A$140&gt;35,CT117+CS118-DB117,IF(A118&lt;'Données projet'!$A$140,$CQ$205^A118,IF(A118='Données projet'!$A$140,'Données projet'!$B$140,CT117+CS118-DB117)))</f>
        <v>341.88888888888835</v>
      </c>
      <c r="CU118" s="17">
        <f>CT118*VLOOKUP('Données projet'!$B$13,Paramètres!$A$1:$I$89,3,0)*VLOOKUP('Données projet'!$B$13,Paramètres!$A$1:$I$89,5,0)</f>
        <v>309.34106666666617</v>
      </c>
      <c r="CV118" s="13">
        <f t="shared" si="95"/>
        <v>73.131201628191135</v>
      </c>
      <c r="CW118" s="20">
        <f t="shared" si="67"/>
        <v>666.13920061354315</v>
      </c>
      <c r="CX118" s="59">
        <f t="shared" si="68"/>
        <v>959.47253394687641</v>
      </c>
      <c r="CY118" s="59">
        <f ca="1">AVERAGE(OFFSET($CX$3,0,0,'Données projet'!$E$13+1,1))-AVERAGE(OFFSET($H$3,0,0,'Données projet'!$E$13+1,1))</f>
        <v>528.15559695545812</v>
      </c>
      <c r="CZ118" s="59">
        <f t="shared" si="96"/>
        <v>276.26988364830532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32.855775455067636</v>
      </c>
      <c r="DG118" s="21">
        <f>EXP(-LN(2)/25)*DG117+(1-EXP(-LN(2)/25))/(LN(2)/25)*Calculateur!DB118*Calculateur!DD118*VLOOKUP('Données projet'!$B$13,Paramètres!$A$1:$I$89,3,0)*0.475*44/12</f>
        <v>22.691829040888209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55.547604495955845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6.8888888888888893</v>
      </c>
      <c r="DO118" s="12">
        <f>IF('Données projet'!$A$166&gt;35,DO117+DN118-DW117,IF(A118&lt;'Données projet'!$A$166,$DL$205^A118,IF(A118='Données projet'!$A$166,'Données projet'!$B$166,DO117+DN118-DW117)))</f>
        <v>341.88888888888835</v>
      </c>
      <c r="DP118" s="17">
        <f>DO118*VLOOKUP('Données projet'!$B$14,Paramètres!$A$1:$I$89,3,0)*VLOOKUP('Données projet'!$B$14,Paramètres!$A$1:$I$89,5,0)</f>
        <v>346.67533333333279</v>
      </c>
      <c r="DQ118" s="13">
        <f t="shared" si="97"/>
        <v>80.877548030185963</v>
      </c>
      <c r="DR118" s="20">
        <f t="shared" si="70"/>
        <v>744.65460170812833</v>
      </c>
      <c r="DS118" s="59">
        <f t="shared" si="71"/>
        <v>1037.9879350414617</v>
      </c>
      <c r="DT118" s="59">
        <f ca="1">AVERAGE(OFFSET($DS$3,0,0,'Données projet'!$E$14+1,1))-AVERAGE(OFFSET($H$3,0,0,'Données projet'!$E$14+1,1))</f>
        <v>586.50020405958992</v>
      </c>
      <c r="DU118" s="59">
        <f t="shared" si="98"/>
        <v>304.44184537595294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36.821127665162003</v>
      </c>
      <c r="EB118" s="21">
        <f>EXP(-LN(2)/25)*EB117+(1-EXP(-LN(2)/25))/(LN(2)/25)*Calculateur!DW118*Calculateur!DY118*VLOOKUP('Données projet'!$B$14,Paramètres!$A$1:$I$89,3,0)*0.475*44/12</f>
        <v>25.43049806306437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62.251625728226372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-1.7053025658242404E-13</v>
      </c>
      <c r="EK118" s="17">
        <f>EJ118*VLOOKUP('Données projet'!$B$15,Paramètres!$A$1:$I$89,3,0)*VLOOKUP('Données projet'!$B$15,Paramètres!$A$1:$I$89,5,0)</f>
        <v>-1.6493686416652052E-13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355.72173590705142</v>
      </c>
      <c r="EP118" s="59">
        <f t="shared" si="100"/>
        <v>346.30980704469363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50.982211353380499</v>
      </c>
      <c r="EW118" s="21">
        <f>EXP(-LN(2)/25)*EW117+(1-EXP(-LN(2)/25))/(LN(2)/25)*Calculateur!ER118*Calculateur!ET118*VLOOKUP('Données projet'!$B$15,Paramètres!$A$1:$I$89,3,0)*0.475*44/12</f>
        <v>1.0597331169090332</v>
      </c>
      <c r="EX118" s="21">
        <f>EXP(-LN(2)/2)*EX117+(1-EXP(-LN(2)/2))/(LN(2)/2)*ER118*EU118*VLOOKUP('Données projet'!$B$15,Paramètres!$A$1:$I$89,3,0)*0.475*44/12</f>
        <v>2.7291463497876415E-4</v>
      </c>
      <c r="EY118" s="22">
        <f t="shared" si="75"/>
        <v>52.042217384924513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-1.383341441396624E-13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304.26232113495314</v>
      </c>
      <c r="FK118" s="59">
        <f t="shared" si="102"/>
        <v>297.47246687305056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52.703291256532907</v>
      </c>
      <c r="FR118" s="21">
        <f>EXP(-LN(2)/25)*FR117+(1-EXP(-LN(2)/25))/(LN(2)/25)*Calculateur!FM118*Calculateur!FO118*VLOOKUP('Données projet'!$B$16,Paramètres!$A$1:$I$89,3,0)*0.475*44/12</f>
        <v>1.0955080533388206</v>
      </c>
      <c r="FS118" s="21">
        <f>EXP(-LN(2)/2)*FS117+(1-EXP(-LN(2)/2))/(LN(2)/2)*FM118*FP118*VLOOKUP('Données projet'!$B$16,Paramètres!$A$1:$I$89,3,0)*0.475*44/12</f>
        <v>2.2889614546606093E-4</v>
      </c>
      <c r="FT118" s="22">
        <f t="shared" si="78"/>
        <v>53.799028206017191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-1.4897523215040567E-13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381.72225529388083</v>
      </c>
      <c r="T119" s="59">
        <f t="shared" si="88"/>
        <v>360.05900046417361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87.028832048503475</v>
      </c>
      <c r="AA119" s="21">
        <f>EXP(-LN(2)/25)*AA118+(1-EXP(-LN(2)/25))/(LN(2)/25)*Calculateur!V119*Calculateur!X119*VLOOKUP('Données projet'!$B$9,Paramètres!$A$1:$I$89,3,0)*0.475*44/12</f>
        <v>12.280312267594656</v>
      </c>
      <c r="AB119" s="21">
        <f>EXP(-LN(2)/2)*AB118+(1-EXP(-LN(2)/2))/(LN(2)/2)*V119*Y119*VLOOKUP('Données projet'!$B$9,Paramètres!$A$1:$I$89,3,0)*0.475*44/12</f>
        <v>1.7953517501228897E-13</v>
      </c>
      <c r="AC119" s="22">
        <f t="shared" si="57"/>
        <v>99.309144316098312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-4.1677594708744434E-14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464.3681853739115</v>
      </c>
      <c r="AO119" s="59">
        <f t="shared" si="90"/>
        <v>272.97841038165217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139.13519239679738</v>
      </c>
      <c r="AV119" s="21">
        <f>EXP(-LN(2)/25)*AV118+(1-EXP(-LN(2)/25))/(LN(2)/25)*Calculateur!AQ119*Calculateur!AS119*VLOOKUP('Données projet'!$B$10,Paramètres!$A$1:$I$89,3,0)*0.475*44/12</f>
        <v>37.660435110259982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176.79562750705736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-1.3567387213697657E-13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299.10536994156814</v>
      </c>
      <c r="BJ119" s="59">
        <f t="shared" si="92"/>
        <v>292.57799203101769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50.676161632732999</v>
      </c>
      <c r="BQ119" s="21">
        <f>EXP(-LN(2)/25)*BQ118+(1-EXP(-LN(2)/25))/(LN(2)/25)*Calculateur!BL119*Calculateur!BN119*VLOOKUP('Données projet'!$B$11,Paramètres!$A$1:$I$89,3,0)*0.475*44/12</f>
        <v>1.0450599563175051</v>
      </c>
      <c r="BR119" s="21">
        <f>EXP(-LN(2)/2)*BR118+(1-EXP(-LN(2)/2))/(LN(2)/2)*BL119*BO119*VLOOKUP('Données projet'!$B$11,Paramètres!$A$1:$I$89,3,0)*0.475*44/12</f>
        <v>1.5874143940331154E-4</v>
      </c>
      <c r="BS119" s="22">
        <f t="shared" si="63"/>
        <v>51.721380330489907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-1.7053025658242404E-13</v>
      </c>
      <c r="BZ119" s="13">
        <f>BY119*VLOOKUP('Données projet'!$B$12,Paramètres!$A$1:$I$89,3,0)*VLOOKUP('Données projet'!$B$12,Paramètres!$A$1:$I$89,5,0)</f>
        <v>-1.3567387213697657E-13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299.10536994156814</v>
      </c>
      <c r="CE119" s="59">
        <f t="shared" si="94"/>
        <v>292.57799203101769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50.676161632732999</v>
      </c>
      <c r="CL119" s="21">
        <f>EXP(-LN(2)/25)*CL118+(1-EXP(-LN(2)/25))/(LN(2)/25)*Calculateur!CG119*Calculateur!CI119*VLOOKUP('Données projet'!$B$12,Paramètres!$A$1:$I$89,3,0)*0.475*44/12</f>
        <v>1.0450599563175051</v>
      </c>
      <c r="CM119" s="21">
        <f>EXP(-LN(2)/2)*CM118+(1-EXP(-LN(2)/2))/(LN(2)/2)*CG119*CJ119*VLOOKUP('Données projet'!$B$12,Paramètres!$A$1:$I$89,3,0)*0.475*44/12</f>
        <v>1.5874143940331154E-4</v>
      </c>
      <c r="CN119" s="22">
        <f t="shared" si="66"/>
        <v>51.721380330489907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6.8888888888888893</v>
      </c>
      <c r="CT119" s="12">
        <f>IF('Données projet'!$A$140&gt;35,CT118+CS119-DB118,IF(A119&lt;'Données projet'!$A$140,$CQ$205^A119,IF(A119='Données projet'!$A$140,'Données projet'!$B$140,CT118+CS119-DB118)))</f>
        <v>348.77777777777726</v>
      </c>
      <c r="CU119" s="17">
        <f>CT119*VLOOKUP('Données projet'!$B$13,Paramètres!$A$1:$I$89,3,0)*VLOOKUP('Données projet'!$B$13,Paramètres!$A$1:$I$89,5,0)</f>
        <v>315.5741333333329</v>
      </c>
      <c r="CV119" s="13">
        <f t="shared" si="95"/>
        <v>74.431720913378854</v>
      </c>
      <c r="CW119" s="20">
        <f t="shared" si="67"/>
        <v>679.26019614635629</v>
      </c>
      <c r="CX119" s="59">
        <f t="shared" si="68"/>
        <v>972.59352947968955</v>
      </c>
      <c r="CY119" s="59">
        <f ca="1">AVERAGE(OFFSET($CX$3,0,0,'Données projet'!$E$13+1,1))-AVERAGE(OFFSET($H$3,0,0,'Données projet'!$E$13+1,1))</f>
        <v>528.15559695545812</v>
      </c>
      <c r="CZ119" s="59">
        <f t="shared" si="96"/>
        <v>276.26988364830532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32.211493738437994</v>
      </c>
      <c r="DG119" s="21">
        <f>EXP(-LN(2)/25)*DG118+(1-EXP(-LN(2)/25))/(LN(2)/25)*Calculateur!DB119*Calculateur!DD119*VLOOKUP('Données projet'!$B$13,Paramètres!$A$1:$I$89,3,0)*0.475*44/12</f>
        <v>22.071319782453696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54.282813520891693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6.8888888888888893</v>
      </c>
      <c r="DO119" s="12">
        <f>IF('Données projet'!$A$166&gt;35,DO118+DN119-DW118,IF(A119&lt;'Données projet'!$A$166,$DL$205^A119,IF(A119='Données projet'!$A$166,'Données projet'!$B$166,DO118+DN119-DW118)))</f>
        <v>348.77777777777726</v>
      </c>
      <c r="DP119" s="17">
        <f>DO119*VLOOKUP('Données projet'!$B$14,Paramètres!$A$1:$I$89,3,0)*VLOOKUP('Données projet'!$B$14,Paramètres!$A$1:$I$89,5,0)</f>
        <v>353.6606666666662</v>
      </c>
      <c r="DQ119" s="13">
        <f t="shared" si="97"/>
        <v>82.315823466800779</v>
      </c>
      <c r="DR119" s="20">
        <f t="shared" si="70"/>
        <v>759.32572031578832</v>
      </c>
      <c r="DS119" s="59">
        <f t="shared" si="71"/>
        <v>1052.6590536491217</v>
      </c>
      <c r="DT119" s="59">
        <f ca="1">AVERAGE(OFFSET($DS$3,0,0,'Données projet'!$E$14+1,1))-AVERAGE(OFFSET($H$3,0,0,'Données projet'!$E$14+1,1))</f>
        <v>586.50020405958992</v>
      </c>
      <c r="DU119" s="59">
        <f t="shared" si="98"/>
        <v>304.44184537595294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36.099087810318444</v>
      </c>
      <c r="EB119" s="21">
        <f>EXP(-LN(2)/25)*EB118+(1-EXP(-LN(2)/25))/(LN(2)/25)*Calculateur!DW119*Calculateur!DY119*VLOOKUP('Données projet'!$B$14,Paramètres!$A$1:$I$89,3,0)*0.475*44/12</f>
        <v>24.735099756198103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60.834187566516547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-1.7053025658242404E-13</v>
      </c>
      <c r="EK119" s="17">
        <f>EJ119*VLOOKUP('Données projet'!$B$15,Paramètres!$A$1:$I$89,3,0)*VLOOKUP('Données projet'!$B$15,Paramètres!$A$1:$I$89,5,0)</f>
        <v>-1.6493686416652052E-13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355.72173590705142</v>
      </c>
      <c r="EP119" s="59">
        <f t="shared" si="100"/>
        <v>346.30980704469363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49.982481284819151</v>
      </c>
      <c r="EW119" s="21">
        <f>EXP(-LN(2)/25)*EW118+(1-EXP(-LN(2)/25))/(LN(2)/25)*Calculateur!ER119*Calculateur!ET119*VLOOKUP('Données projet'!$B$15,Paramètres!$A$1:$I$89,3,0)*0.475*44/12</f>
        <v>1.0307546590982131</v>
      </c>
      <c r="EX119" s="21">
        <f>EXP(-LN(2)/2)*EX118+(1-EXP(-LN(2)/2))/(LN(2)/2)*ER119*EU119*VLOOKUP('Données projet'!$B$15,Paramètres!$A$1:$I$89,3,0)*0.475*44/12</f>
        <v>1.9297978907853547E-4</v>
      </c>
      <c r="EY119" s="22">
        <f t="shared" si="75"/>
        <v>51.013428923706442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-1.383341441396624E-13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304.26232113495314</v>
      </c>
      <c r="FK119" s="59">
        <f t="shared" si="102"/>
        <v>297.47246687305056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51.669811860825824</v>
      </c>
      <c r="FR119" s="21">
        <f>EXP(-LN(2)/25)*FR118+(1-EXP(-LN(2)/25))/(LN(2)/25)*Calculateur!FM119*Calculateur!FO119*VLOOKUP('Données projet'!$B$16,Paramètres!$A$1:$I$89,3,0)*0.475*44/12</f>
        <v>1.065551328010006</v>
      </c>
      <c r="FS119" s="21">
        <f>EXP(-LN(2)/2)*FS118+(1-EXP(-LN(2)/2))/(LN(2)/2)*FM119*FP119*VLOOKUP('Données projet'!$B$16,Paramètres!$A$1:$I$89,3,0)*0.475*44/12</f>
        <v>1.6185401664651412E-4</v>
      </c>
      <c r="FT119" s="22">
        <f t="shared" si="78"/>
        <v>52.73552504285248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-1.4897523215040567E-13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381.72225529388083</v>
      </c>
      <c r="T120" s="59">
        <f t="shared" si="88"/>
        <v>360.05900046417361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85.322249734378431</v>
      </c>
      <c r="AA120" s="21">
        <f>EXP(-LN(2)/25)*AA119+(1-EXP(-LN(2)/25))/(LN(2)/25)*Calculateur!V120*Calculateur!X120*VLOOKUP('Données projet'!$B$9,Paramètres!$A$1:$I$89,3,0)*0.475*44/12</f>
        <v>11.944506482843725</v>
      </c>
      <c r="AB120" s="21">
        <f>EXP(-LN(2)/2)*AB119+(1-EXP(-LN(2)/2))/(LN(2)/2)*V120*Y120*VLOOKUP('Données projet'!$B$9,Paramètres!$A$1:$I$89,3,0)*0.475*44/12</f>
        <v>1.2695053971270313E-13</v>
      </c>
      <c r="AC120" s="22">
        <f t="shared" si="57"/>
        <v>97.26675621722228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-4.1677594708744434E-14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464.3681853739115</v>
      </c>
      <c r="AO120" s="59">
        <f t="shared" si="90"/>
        <v>272.97841038165217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136.4068361379839</v>
      </c>
      <c r="AV120" s="21">
        <f>EXP(-LN(2)/25)*AV119+(1-EXP(-LN(2)/25))/(LN(2)/25)*Calculateur!AQ120*Calculateur!AS120*VLOOKUP('Données projet'!$B$10,Paramètres!$A$1:$I$89,3,0)*0.475*44/12</f>
        <v>36.630608531693717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173.03744466967763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-1.3567387213697657E-13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299.10536994156814</v>
      </c>
      <c r="BJ120" s="59">
        <f t="shared" si="92"/>
        <v>292.57799203101769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49.682433012521649</v>
      </c>
      <c r="BQ120" s="21">
        <f>EXP(-LN(2)/25)*BQ119+(1-EXP(-LN(2)/25))/(LN(2)/25)*Calculateur!BL120*Calculateur!BN120*VLOOKUP('Données projet'!$B$11,Paramètres!$A$1:$I$89,3,0)*0.475*44/12</f>
        <v>1.0164827368546885</v>
      </c>
      <c r="BR120" s="21">
        <f>EXP(-LN(2)/2)*BR119+(1-EXP(-LN(2)/2))/(LN(2)/2)*BL120*BO120*VLOOKUP('Données projet'!$B$11,Paramètres!$A$1:$I$89,3,0)*0.475*44/12</f>
        <v>1.1224714825739501E-4</v>
      </c>
      <c r="BS120" s="22">
        <f t="shared" si="63"/>
        <v>50.699027996524599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-1.7053025658242404E-13</v>
      </c>
      <c r="BZ120" s="13">
        <f>BY120*VLOOKUP('Données projet'!$B$12,Paramètres!$A$1:$I$89,3,0)*VLOOKUP('Données projet'!$B$12,Paramètres!$A$1:$I$89,5,0)</f>
        <v>-1.3567387213697657E-13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299.10536994156814</v>
      </c>
      <c r="CE120" s="59">
        <f t="shared" si="94"/>
        <v>292.57799203101769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49.682433012521649</v>
      </c>
      <c r="CL120" s="21">
        <f>EXP(-LN(2)/25)*CL119+(1-EXP(-LN(2)/25))/(LN(2)/25)*Calculateur!CG120*Calculateur!CI120*VLOOKUP('Données projet'!$B$12,Paramètres!$A$1:$I$89,3,0)*0.475*44/12</f>
        <v>1.0164827368546885</v>
      </c>
      <c r="CM120" s="21">
        <f>EXP(-LN(2)/2)*CM119+(1-EXP(-LN(2)/2))/(LN(2)/2)*CG120*CJ120*VLOOKUP('Données projet'!$B$12,Paramètres!$A$1:$I$89,3,0)*0.475*44/12</f>
        <v>1.1224714825739501E-4</v>
      </c>
      <c r="CN120" s="22">
        <f t="shared" si="66"/>
        <v>50.699027996524599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6.8888888888888893</v>
      </c>
      <c r="CT120" s="12">
        <f>IF('Données projet'!$A$140&gt;35,CT119+CS120-DB119,IF(A120&lt;'Données projet'!$A$140,$CQ$205^A120,IF(A120='Données projet'!$A$140,'Données projet'!$B$140,CT119+CS120-DB119)))</f>
        <v>355.66666666666617</v>
      </c>
      <c r="CU120" s="17">
        <f>CT120*VLOOKUP('Données projet'!$B$13,Paramètres!$A$1:$I$89,3,0)*VLOOKUP('Données projet'!$B$13,Paramètres!$A$1:$I$89,5,0)</f>
        <v>321.80719999999957</v>
      </c>
      <c r="CV120" s="13">
        <f t="shared" si="95"/>
        <v>75.729253434901665</v>
      </c>
      <c r="CW120" s="20">
        <f t="shared" si="67"/>
        <v>692.37598973245292</v>
      </c>
      <c r="CX120" s="59">
        <f t="shared" si="68"/>
        <v>985.70932306578629</v>
      </c>
      <c r="CY120" s="59">
        <f ca="1">AVERAGE(OFFSET($CX$3,0,0,'Données projet'!$E$13+1,1))-AVERAGE(OFFSET($H$3,0,0,'Données projet'!$E$13+1,1))</f>
        <v>528.15559695545812</v>
      </c>
      <c r="CZ120" s="59">
        <f t="shared" si="96"/>
        <v>276.26988364830532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31.57984599329842</v>
      </c>
      <c r="DG120" s="21">
        <f>EXP(-LN(2)/25)*DG119+(1-EXP(-LN(2)/25))/(LN(2)/25)*Calculateur!DB120*Calculateur!DD120*VLOOKUP('Données projet'!$B$13,Paramètres!$A$1:$I$89,3,0)*0.475*44/12</f>
        <v>21.467778382322237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53.047624375620657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6.8888888888888893</v>
      </c>
      <c r="DO120" s="12">
        <f>IF('Données projet'!$A$166&gt;35,DO119+DN120-DW119,IF(A120&lt;'Données projet'!$A$166,$DL$205^A120,IF(A120='Données projet'!$A$166,'Données projet'!$B$166,DO119+DN120-DW119)))</f>
        <v>355.66666666666617</v>
      </c>
      <c r="DP120" s="17">
        <f>DO120*VLOOKUP('Données projet'!$B$14,Paramètres!$A$1:$I$89,3,0)*VLOOKUP('Données projet'!$B$14,Paramètres!$A$1:$I$89,5,0)</f>
        <v>360.6459999999995</v>
      </c>
      <c r="DQ120" s="13">
        <f t="shared" si="97"/>
        <v>83.750795769918682</v>
      </c>
      <c r="DR120" s="20">
        <f t="shared" si="70"/>
        <v>773.99108596594078</v>
      </c>
      <c r="DS120" s="59">
        <f t="shared" si="71"/>
        <v>1067.324419299274</v>
      </c>
      <c r="DT120" s="59">
        <f ca="1">AVERAGE(OFFSET($DS$3,0,0,'Données projet'!$E$14+1,1))-AVERAGE(OFFSET($H$3,0,0,'Données projet'!$E$14+1,1))</f>
        <v>586.50020405958992</v>
      </c>
      <c r="DU120" s="59">
        <f t="shared" si="98"/>
        <v>304.44184537595294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35.391206716627543</v>
      </c>
      <c r="EB120" s="21">
        <f>EXP(-LN(2)/25)*EB119+(1-EXP(-LN(2)/25))/(LN(2)/25)*Calculateur!DW120*Calculateur!DY120*VLOOKUP('Données projet'!$B$14,Paramètres!$A$1:$I$89,3,0)*0.475*44/12</f>
        <v>24.058717152602501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59.449923869230048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-1.7053025658242404E-13</v>
      </c>
      <c r="EK120" s="17">
        <f>EJ120*VLOOKUP('Données projet'!$B$15,Paramètres!$A$1:$I$89,3,0)*VLOOKUP('Données projet'!$B$15,Paramètres!$A$1:$I$89,5,0)</f>
        <v>-1.6493686416652052E-13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355.72173590705142</v>
      </c>
      <c r="EP120" s="59">
        <f t="shared" si="100"/>
        <v>346.30980704469363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49.002355313127161</v>
      </c>
      <c r="EW120" s="21">
        <f>EXP(-LN(2)/25)*EW119+(1-EXP(-LN(2)/25))/(LN(2)/25)*Calculateur!ER120*Calculateur!ET120*VLOOKUP('Données projet'!$B$15,Paramètres!$A$1:$I$89,3,0)*0.475*44/12</f>
        <v>1.0025686187401408</v>
      </c>
      <c r="EX120" s="21">
        <f>EXP(-LN(2)/2)*EX119+(1-EXP(-LN(2)/2))/(LN(2)/2)*ER120*EU120*VLOOKUP('Données projet'!$B$15,Paramètres!$A$1:$I$89,3,0)*0.475*44/12</f>
        <v>1.3645731748938207E-4</v>
      </c>
      <c r="EY120" s="22">
        <f t="shared" si="75"/>
        <v>50.005060389184791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-1.383341441396624E-13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304.26232113495314</v>
      </c>
      <c r="FK120" s="59">
        <f t="shared" si="102"/>
        <v>297.47246687305056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50.656598365708369</v>
      </c>
      <c r="FR120" s="21">
        <f>EXP(-LN(2)/25)*FR119+(1-EXP(-LN(2)/25))/(LN(2)/25)*Calculateur!FM120*Calculateur!FO120*VLOOKUP('Données projet'!$B$16,Paramètres!$A$1:$I$89,3,0)*0.475*44/12</f>
        <v>1.0364137709106633</v>
      </c>
      <c r="FS120" s="21">
        <f>EXP(-LN(2)/2)*FS119+(1-EXP(-LN(2)/2))/(LN(2)/2)*FM120*FP120*VLOOKUP('Données projet'!$B$16,Paramètres!$A$1:$I$89,3,0)*0.475*44/12</f>
        <v>1.1444807273303049E-4</v>
      </c>
      <c r="FT120" s="22">
        <f t="shared" si="78"/>
        <v>51.693126584691768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-1.4897523215040567E-13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381.72225529388083</v>
      </c>
      <c r="T121" s="59">
        <f t="shared" si="88"/>
        <v>360.05900046417361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83.649132458520938</v>
      </c>
      <c r="AA121" s="21">
        <f>EXP(-LN(2)/25)*AA120+(1-EXP(-LN(2)/25))/(LN(2)/25)*Calculateur!V121*Calculateur!X121*VLOOKUP('Données projet'!$B$9,Paramètres!$A$1:$I$89,3,0)*0.475*44/12</f>
        <v>11.617883324936066</v>
      </c>
      <c r="AB121" s="21">
        <f>EXP(-LN(2)/2)*AB120+(1-EXP(-LN(2)/2))/(LN(2)/2)*V121*Y121*VLOOKUP('Données projet'!$B$9,Paramètres!$A$1:$I$89,3,0)*0.475*44/12</f>
        <v>8.9767587506144483E-14</v>
      </c>
      <c r="AC121" s="22">
        <f t="shared" si="57"/>
        <v>95.267015783457083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-4.1677594708744434E-14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464.3681853739115</v>
      </c>
      <c r="AO121" s="59">
        <f t="shared" si="90"/>
        <v>272.97841038165217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133.73198128127277</v>
      </c>
      <c r="AV121" s="21">
        <f>EXP(-LN(2)/25)*AV120+(1-EXP(-LN(2)/25))/(LN(2)/25)*Calculateur!AQ121*Calculateur!AS121*VLOOKUP('Données projet'!$B$10,Paramètres!$A$1:$I$89,3,0)*0.475*44/12</f>
        <v>35.628942615074571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169.36092389634734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-1.3567387213697657E-13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299.10536994156814</v>
      </c>
      <c r="BJ121" s="59">
        <f t="shared" si="92"/>
        <v>292.57799203101769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48.708190804438033</v>
      </c>
      <c r="BQ121" s="21">
        <f>EXP(-LN(2)/25)*BQ120+(1-EXP(-LN(2)/25))/(LN(2)/25)*Calculateur!BL121*Calculateur!BN121*VLOOKUP('Données projet'!$B$11,Paramètres!$A$1:$I$89,3,0)*0.475*44/12</f>
        <v>0.98868696296089309</v>
      </c>
      <c r="BR121" s="21">
        <f>EXP(-LN(2)/2)*BR120+(1-EXP(-LN(2)/2))/(LN(2)/2)*BL121*BO121*VLOOKUP('Données projet'!$B$11,Paramètres!$A$1:$I$89,3,0)*0.475*44/12</f>
        <v>7.9370719701655769E-5</v>
      </c>
      <c r="BS121" s="22">
        <f t="shared" si="63"/>
        <v>49.696957138118627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-1.7053025658242404E-13</v>
      </c>
      <c r="BZ121" s="13">
        <f>BY121*VLOOKUP('Données projet'!$B$12,Paramètres!$A$1:$I$89,3,0)*VLOOKUP('Données projet'!$B$12,Paramètres!$A$1:$I$89,5,0)</f>
        <v>-1.3567387213697657E-13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299.10536994156814</v>
      </c>
      <c r="CE121" s="59">
        <f t="shared" si="94"/>
        <v>292.57799203101769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48.708190804438033</v>
      </c>
      <c r="CL121" s="21">
        <f>EXP(-LN(2)/25)*CL120+(1-EXP(-LN(2)/25))/(LN(2)/25)*Calculateur!CG121*Calculateur!CI121*VLOOKUP('Données projet'!$B$12,Paramètres!$A$1:$I$89,3,0)*0.475*44/12</f>
        <v>0.98868696296089309</v>
      </c>
      <c r="CM121" s="21">
        <f>EXP(-LN(2)/2)*CM120+(1-EXP(-LN(2)/2))/(LN(2)/2)*CG121*CJ121*VLOOKUP('Données projet'!$B$12,Paramètres!$A$1:$I$89,3,0)*0.475*44/12</f>
        <v>7.9370719701655769E-5</v>
      </c>
      <c r="CN121" s="22">
        <f t="shared" si="66"/>
        <v>49.696957138118627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6.8888888888888893</v>
      </c>
      <c r="CT121" s="12">
        <f>IF('Données projet'!$A$140&gt;35,CT120+CS121-DB120,IF(A121&lt;'Données projet'!$A$140,$CQ$205^A121,IF(A121='Données projet'!$A$140,'Données projet'!$B$140,CT120+CS121-DB120)))</f>
        <v>362.55555555555509</v>
      </c>
      <c r="CU121" s="17">
        <f>CT121*VLOOKUP('Données projet'!$B$13,Paramètres!$A$1:$I$89,3,0)*VLOOKUP('Données projet'!$B$13,Paramètres!$A$1:$I$89,5,0)</f>
        <v>328.04026666666624</v>
      </c>
      <c r="CV121" s="13">
        <f t="shared" si="95"/>
        <v>77.023863712411838</v>
      </c>
      <c r="CW121" s="20">
        <f t="shared" si="67"/>
        <v>705.48669374356086</v>
      </c>
      <c r="CX121" s="59">
        <f t="shared" si="68"/>
        <v>998.82002707689412</v>
      </c>
      <c r="CY121" s="59">
        <f ca="1">AVERAGE(OFFSET($CX$3,0,0,'Données projet'!$E$13+1,1))-AVERAGE(OFFSET($H$3,0,0,'Données projet'!$E$13+1,1))</f>
        <v>528.15559695545812</v>
      </c>
      <c r="CZ121" s="59">
        <f t="shared" si="96"/>
        <v>276.26988364830532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30.960584475173949</v>
      </c>
      <c r="DG121" s="21">
        <f>EXP(-LN(2)/25)*DG120+(1-EXP(-LN(2)/25))/(LN(2)/25)*Calculateur!DB121*Calculateur!DD121*VLOOKUP('Données projet'!$B$13,Paramètres!$A$1:$I$89,3,0)*0.475*44/12</f>
        <v>20.880740853516237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51.841325328690189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6.8888888888888893</v>
      </c>
      <c r="DO121" s="12">
        <f>IF('Données projet'!$A$166&gt;35,DO120+DN121-DW120,IF(A121&lt;'Données projet'!$A$166,$DL$205^A121,IF(A121='Données projet'!$A$166,'Données projet'!$B$166,DO120+DN121-DW120)))</f>
        <v>362.55555555555509</v>
      </c>
      <c r="DP121" s="17">
        <f>DO121*VLOOKUP('Données projet'!$B$14,Paramètres!$A$1:$I$89,3,0)*VLOOKUP('Données projet'!$B$14,Paramètres!$A$1:$I$89,5,0)</f>
        <v>367.63133333333286</v>
      </c>
      <c r="DQ121" s="13">
        <f t="shared" si="97"/>
        <v>85.182536293369054</v>
      </c>
      <c r="DR121" s="20">
        <f t="shared" si="70"/>
        <v>788.65082293317255</v>
      </c>
      <c r="DS121" s="59">
        <f t="shared" si="71"/>
        <v>1081.9841562665058</v>
      </c>
      <c r="DT121" s="59">
        <f ca="1">AVERAGE(OFFSET($DS$3,0,0,'Données projet'!$E$14+1,1))-AVERAGE(OFFSET($H$3,0,0,'Données projet'!$E$14+1,1))</f>
        <v>586.50020405958992</v>
      </c>
      <c r="DU121" s="59">
        <f t="shared" si="98"/>
        <v>304.44184537595294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34.697206739419087</v>
      </c>
      <c r="EB121" s="21">
        <f>EXP(-LN(2)/25)*EB120+(1-EXP(-LN(2)/25))/(LN(2)/25)*Calculateur!DW121*Calculateur!DY121*VLOOKUP('Données projet'!$B$14,Paramètres!$A$1:$I$89,3,0)*0.475*44/12</f>
        <v>23.400830266871637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58.098037006290724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-1.7053025658242404E-13</v>
      </c>
      <c r="EK121" s="17">
        <f>EJ121*VLOOKUP('Données projet'!$B$15,Paramètres!$A$1:$I$89,3,0)*VLOOKUP('Données projet'!$B$15,Paramètres!$A$1:$I$89,5,0)</f>
        <v>-1.6493686416652052E-13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355.72173590705142</v>
      </c>
      <c r="EP121" s="59">
        <f t="shared" si="100"/>
        <v>346.30980704469363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48.041449013922232</v>
      </c>
      <c r="EW121" s="21">
        <f>EXP(-LN(2)/25)*EW120+(1-EXP(-LN(2)/25))/(LN(2)/25)*Calculateur!ER121*Calculateur!ET121*VLOOKUP('Données projet'!$B$15,Paramètres!$A$1:$I$89,3,0)*0.475*44/12</f>
        <v>0.97515332713789937</v>
      </c>
      <c r="EX121" s="21">
        <f>EXP(-LN(2)/2)*EX120+(1-EXP(-LN(2)/2))/(LN(2)/2)*ER121*EU121*VLOOKUP('Données projet'!$B$15,Paramètres!$A$1:$I$89,3,0)*0.475*44/12</f>
        <v>9.6489894539267737E-5</v>
      </c>
      <c r="EY121" s="22">
        <f t="shared" si="75"/>
        <v>49.016698830954667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-1.383341441396624E-13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304.26232113495314</v>
      </c>
      <c r="FK121" s="59">
        <f t="shared" si="102"/>
        <v>297.47246687305056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49.663253369230958</v>
      </c>
      <c r="FR121" s="21">
        <f>EXP(-LN(2)/25)*FR120+(1-EXP(-LN(2)/25))/(LN(2)/25)*Calculateur!FM121*Calculateur!FO121*VLOOKUP('Données projet'!$B$16,Paramètres!$A$1:$I$89,3,0)*0.475*44/12</f>
        <v>1.0080729818424798</v>
      </c>
      <c r="FS121" s="21">
        <f>EXP(-LN(2)/2)*FS120+(1-EXP(-LN(2)/2))/(LN(2)/2)*FM121*FP121*VLOOKUP('Données projet'!$B$16,Paramètres!$A$1:$I$89,3,0)*0.475*44/12</f>
        <v>8.0927008323257075E-5</v>
      </c>
      <c r="FT121" s="22">
        <f t="shared" si="78"/>
        <v>50.671407278081766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-1.4897523215040567E-13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381.72225529388083</v>
      </c>
      <c r="T122" s="59">
        <f t="shared" si="88"/>
        <v>360.05900046417361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82.008823991942251</v>
      </c>
      <c r="AA122" s="21">
        <f>EXP(-LN(2)/25)*AA121+(1-EXP(-LN(2)/25))/(LN(2)/25)*Calculateur!V122*Calculateur!X122*VLOOKUP('Données projet'!$B$9,Paramètres!$A$1:$I$89,3,0)*0.475*44/12</f>
        <v>11.300191694457759</v>
      </c>
      <c r="AB122" s="21">
        <f>EXP(-LN(2)/2)*AB121+(1-EXP(-LN(2)/2))/(LN(2)/2)*V122*Y122*VLOOKUP('Données projet'!$B$9,Paramètres!$A$1:$I$89,3,0)*0.475*44/12</f>
        <v>6.3475269856351563E-14</v>
      </c>
      <c r="AC122" s="22">
        <f t="shared" si="57"/>
        <v>93.309015686400073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-4.1677594708744434E-14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464.3681853739115</v>
      </c>
      <c r="AO122" s="59">
        <f t="shared" si="90"/>
        <v>272.97841038165217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131.10957869680138</v>
      </c>
      <c r="AV122" s="21">
        <f>EXP(-LN(2)/25)*AV121+(1-EXP(-LN(2)/25))/(LN(2)/25)*Calculateur!AQ122*Calculateur!AS122*VLOOKUP('Données projet'!$B$10,Paramètres!$A$1:$I$89,3,0)*0.475*44/12</f>
        <v>34.654667305620698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165.76424600242208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-1.3567387213697657E-13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299.10536994156814</v>
      </c>
      <c r="BJ122" s="59">
        <f t="shared" si="92"/>
        <v>292.57799203101769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47.753052891825867</v>
      </c>
      <c r="BQ122" s="21">
        <f>EXP(-LN(2)/25)*BQ121+(1-EXP(-LN(2)/25))/(LN(2)/25)*Calculateur!BL122*Calculateur!BN122*VLOOKUP('Données projet'!$B$11,Paramètres!$A$1:$I$89,3,0)*0.475*44/12</f>
        <v>0.96165126596593975</v>
      </c>
      <c r="BR122" s="21">
        <f>EXP(-LN(2)/2)*BR121+(1-EXP(-LN(2)/2))/(LN(2)/2)*BL122*BO122*VLOOKUP('Données projet'!$B$11,Paramètres!$A$1:$I$89,3,0)*0.475*44/12</f>
        <v>5.6123574128697503E-5</v>
      </c>
      <c r="BS122" s="22">
        <f t="shared" si="63"/>
        <v>48.714760281365933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-1.7053025658242404E-13</v>
      </c>
      <c r="BZ122" s="13">
        <f>BY122*VLOOKUP('Données projet'!$B$12,Paramètres!$A$1:$I$89,3,0)*VLOOKUP('Données projet'!$B$12,Paramètres!$A$1:$I$89,5,0)</f>
        <v>-1.3567387213697657E-13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299.10536994156814</v>
      </c>
      <c r="CE122" s="59">
        <f t="shared" si="94"/>
        <v>292.57799203101769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47.753052891825867</v>
      </c>
      <c r="CL122" s="21">
        <f>EXP(-LN(2)/25)*CL121+(1-EXP(-LN(2)/25))/(LN(2)/25)*Calculateur!CG122*Calculateur!CI122*VLOOKUP('Données projet'!$B$12,Paramètres!$A$1:$I$89,3,0)*0.475*44/12</f>
        <v>0.96165126596593975</v>
      </c>
      <c r="CM122" s="21">
        <f>EXP(-LN(2)/2)*CM121+(1-EXP(-LN(2)/2))/(LN(2)/2)*CG122*CJ122*VLOOKUP('Données projet'!$B$12,Paramètres!$A$1:$I$89,3,0)*0.475*44/12</f>
        <v>5.6123574128697503E-5</v>
      </c>
      <c r="CN122" s="22">
        <f t="shared" si="66"/>
        <v>48.714760281365933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6.8888888888888893</v>
      </c>
      <c r="CT122" s="12">
        <f>IF('Données projet'!$A$140&gt;35,CT121+CS122-DB121,IF(A122&lt;'Données projet'!$A$140,$CQ$205^A122,IF(A122='Données projet'!$A$140,'Données projet'!$B$140,CT121+CS122-DB121)))</f>
        <v>369.444444444444</v>
      </c>
      <c r="CU122" s="17">
        <f>CT122*VLOOKUP('Données projet'!$B$13,Paramètres!$A$1:$I$89,3,0)*VLOOKUP('Données projet'!$B$13,Paramètres!$A$1:$I$89,5,0)</f>
        <v>334.27333333333291</v>
      </c>
      <c r="CV122" s="13">
        <f t="shared" si="95"/>
        <v>78.315613673397451</v>
      </c>
      <c r="CW122" s="20">
        <f t="shared" si="67"/>
        <v>718.59241603672206</v>
      </c>
      <c r="CX122" s="59">
        <f t="shared" si="68"/>
        <v>1011.9257493700554</v>
      </c>
      <c r="CY122" s="59">
        <f ca="1">AVERAGE(OFFSET($CX$3,0,0,'Données projet'!$E$13+1,1))-AVERAGE(OFFSET($H$3,0,0,'Données projet'!$E$13+1,1))</f>
        <v>528.15559695545812</v>
      </c>
      <c r="CZ122" s="59">
        <f t="shared" si="96"/>
        <v>276.26988364830532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30.353466297707669</v>
      </c>
      <c r="DG122" s="21">
        <f>EXP(-LN(2)/25)*DG121+(1-EXP(-LN(2)/25))/(LN(2)/25)*Calculateur!DB122*Calculateur!DD122*VLOOKUP('Données projet'!$B$13,Paramètres!$A$1:$I$89,3,0)*0.475*44/12</f>
        <v>20.309755896806397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50.663222194514063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6.8888888888888893</v>
      </c>
      <c r="DO122" s="12">
        <f>IF('Données projet'!$A$166&gt;35,DO121+DN122-DW121,IF(A122&lt;'Données projet'!$A$166,$DL$205^A122,IF(A122='Données projet'!$A$166,'Données projet'!$B$166,DO121+DN122-DW121)))</f>
        <v>369.444444444444</v>
      </c>
      <c r="DP122" s="17">
        <f>DO122*VLOOKUP('Données projet'!$B$14,Paramètres!$A$1:$I$89,3,0)*VLOOKUP('Données projet'!$B$14,Paramètres!$A$1:$I$89,5,0)</f>
        <v>374.61666666666622</v>
      </c>
      <c r="DQ122" s="13">
        <f t="shared" si="97"/>
        <v>86.611113524244615</v>
      </c>
      <c r="DR122" s="20">
        <f t="shared" si="70"/>
        <v>803.30505049916974</v>
      </c>
      <c r="DS122" s="59">
        <f t="shared" si="71"/>
        <v>1096.638383832503</v>
      </c>
      <c r="DT122" s="59">
        <f ca="1">AVERAGE(OFFSET($DS$3,0,0,'Données projet'!$E$14+1,1))-AVERAGE(OFFSET($H$3,0,0,'Données projet'!$E$14+1,1))</f>
        <v>586.50020405958992</v>
      </c>
      <c r="DU122" s="59">
        <f t="shared" si="98"/>
        <v>304.44184537595294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34.016815678465498</v>
      </c>
      <c r="EB122" s="21">
        <f>EXP(-LN(2)/25)*EB121+(1-EXP(-LN(2)/25))/(LN(2)/25)*Calculateur!DW122*Calculateur!DY122*VLOOKUP('Données projet'!$B$14,Paramètres!$A$1:$I$89,3,0)*0.475*44/12</f>
        <v>22.76093333262785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56.777749011093348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-1.7053025658242404E-13</v>
      </c>
      <c r="EK122" s="17">
        <f>EJ122*VLOOKUP('Données projet'!$B$15,Paramètres!$A$1:$I$89,3,0)*VLOOKUP('Données projet'!$B$15,Paramètres!$A$1:$I$89,5,0)</f>
        <v>-1.6493686416652052E-13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355.72173590705142</v>
      </c>
      <c r="EP122" s="59">
        <f t="shared" si="100"/>
        <v>346.30980704469363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47.099385501149747</v>
      </c>
      <c r="EW122" s="21">
        <f>EXP(-LN(2)/25)*EW121+(1-EXP(-LN(2)/25))/(LN(2)/25)*Calculateur!ER122*Calculateur!ET122*VLOOKUP('Données projet'!$B$15,Paramètres!$A$1:$I$89,3,0)*0.475*44/12</f>
        <v>0.94848770812622873</v>
      </c>
      <c r="EX122" s="21">
        <f>EXP(-LN(2)/2)*EX121+(1-EXP(-LN(2)/2))/(LN(2)/2)*ER122*EU122*VLOOKUP('Données projet'!$B$15,Paramètres!$A$1:$I$89,3,0)*0.475*44/12</f>
        <v>6.8228658744691036E-5</v>
      </c>
      <c r="EY122" s="22">
        <f t="shared" si="75"/>
        <v>48.047941437934725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-1.383341441396624E-13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304.26232113495314</v>
      </c>
      <c r="FK122" s="59">
        <f t="shared" si="102"/>
        <v>297.47246687305056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48.689387262253845</v>
      </c>
      <c r="FR122" s="21">
        <f>EXP(-LN(2)/25)*FR121+(1-EXP(-LN(2)/25))/(LN(2)/25)*Calculateur!FM122*Calculateur!FO122*VLOOKUP('Données projet'!$B$16,Paramètres!$A$1:$I$89,3,0)*0.475*44/12</f>
        <v>0.98050717314174307</v>
      </c>
      <c r="FS122" s="21">
        <f>EXP(-LN(2)/2)*FS121+(1-EXP(-LN(2)/2))/(LN(2)/2)*FM122*FP122*VLOOKUP('Données projet'!$B$16,Paramètres!$A$1:$I$89,3,0)*0.475*44/12</f>
        <v>5.7224036366515254E-5</v>
      </c>
      <c r="FT122" s="22">
        <f t="shared" si="78"/>
        <v>49.669951659431959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-1.4897523215040567E-13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381.72225529388083</v>
      </c>
      <c r="T123" s="59">
        <f t="shared" si="88"/>
        <v>360.05900046417361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80.400680973903789</v>
      </c>
      <c r="AA123" s="21">
        <f>EXP(-LN(2)/25)*AA122+(1-EXP(-LN(2)/25))/(LN(2)/25)*Calculateur!V123*Calculateur!X123*VLOOKUP('Données projet'!$B$9,Paramètres!$A$1:$I$89,3,0)*0.475*44/12</f>
        <v>10.991187358321557</v>
      </c>
      <c r="AB123" s="21">
        <f>EXP(-LN(2)/2)*AB122+(1-EXP(-LN(2)/2))/(LN(2)/2)*V123*Y123*VLOOKUP('Données projet'!$B$9,Paramètres!$A$1:$I$89,3,0)*0.475*44/12</f>
        <v>4.4883793753072241E-14</v>
      </c>
      <c r="AC123" s="22">
        <f t="shared" si="57"/>
        <v>91.391868332225386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-4.1677594708744434E-14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464.3681853739115</v>
      </c>
      <c r="AO123" s="59">
        <f t="shared" si="90"/>
        <v>272.97841038165217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128.53859982750384</v>
      </c>
      <c r="AV123" s="21">
        <f>EXP(-LN(2)/25)*AV122+(1-EXP(-LN(2)/25))/(LN(2)/25)*Calculateur!AQ123*Calculateur!AS123*VLOOKUP('Données projet'!$B$10,Paramètres!$A$1:$I$89,3,0)*0.475*44/12</f>
        <v>33.707033605738751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162.2456334332426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-1.3567387213697657E-13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299.10536994156814</v>
      </c>
      <c r="BJ123" s="59">
        <f t="shared" si="92"/>
        <v>292.57799203101769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46.816644651103424</v>
      </c>
      <c r="BQ123" s="21">
        <f>EXP(-LN(2)/25)*BQ122+(1-EXP(-LN(2)/25))/(LN(2)/25)*Calculateur!BL123*Calculateur!BN123*VLOOKUP('Données projet'!$B$11,Paramètres!$A$1:$I$89,3,0)*0.475*44/12</f>
        <v>0.93535486152705893</v>
      </c>
      <c r="BR123" s="21">
        <f>EXP(-LN(2)/2)*BR122+(1-EXP(-LN(2)/2))/(LN(2)/2)*BL123*BO123*VLOOKUP('Données projet'!$B$11,Paramètres!$A$1:$I$89,3,0)*0.475*44/12</f>
        <v>3.9685359850827884E-5</v>
      </c>
      <c r="BS123" s="22">
        <f t="shared" si="63"/>
        <v>47.752039197990335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-1.7053025658242404E-13</v>
      </c>
      <c r="BZ123" s="13">
        <f>BY123*VLOOKUP('Données projet'!$B$12,Paramètres!$A$1:$I$89,3,0)*VLOOKUP('Données projet'!$B$12,Paramètres!$A$1:$I$89,5,0)</f>
        <v>-1.3567387213697657E-13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299.10536994156814</v>
      </c>
      <c r="CE123" s="59">
        <f t="shared" si="94"/>
        <v>292.57799203101769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46.816644651103424</v>
      </c>
      <c r="CL123" s="21">
        <f>EXP(-LN(2)/25)*CL122+(1-EXP(-LN(2)/25))/(LN(2)/25)*Calculateur!CG123*Calculateur!CI123*VLOOKUP('Données projet'!$B$12,Paramètres!$A$1:$I$89,3,0)*0.475*44/12</f>
        <v>0.93535486152705893</v>
      </c>
      <c r="CM123" s="21">
        <f>EXP(-LN(2)/2)*CM122+(1-EXP(-LN(2)/2))/(LN(2)/2)*CG123*CJ123*VLOOKUP('Données projet'!$B$12,Paramètres!$A$1:$I$89,3,0)*0.475*44/12</f>
        <v>3.9685359850827884E-5</v>
      </c>
      <c r="CN123" s="22">
        <f t="shared" si="66"/>
        <v>47.752039197990335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6.8888888888888893</v>
      </c>
      <c r="CT123" s="12">
        <f>IF('Données projet'!$A$140&gt;35,CT122+CS123-DB122,IF(A123&lt;'Données projet'!$A$140,$CQ$205^A123,IF(A123='Données projet'!$A$140,'Données projet'!$B$140,CT122+CS123-DB122)))</f>
        <v>376.33333333333292</v>
      </c>
      <c r="CU123" s="17">
        <f>CT123*VLOOKUP('Données projet'!$B$13,Paramètres!$A$1:$I$89,3,0)*VLOOKUP('Données projet'!$B$13,Paramètres!$A$1:$I$89,5,0)</f>
        <v>340.50639999999964</v>
      </c>
      <c r="CV123" s="13">
        <f t="shared" si="95"/>
        <v>79.604562803685241</v>
      </c>
      <c r="CW123" s="20">
        <f t="shared" si="67"/>
        <v>731.6932602164178</v>
      </c>
      <c r="CX123" s="59">
        <f t="shared" si="68"/>
        <v>1025.0265935497512</v>
      </c>
      <c r="CY123" s="59">
        <f ca="1">AVERAGE(OFFSET($CX$3,0,0,'Données projet'!$E$13+1,1))-AVERAGE(OFFSET($H$3,0,0,'Données projet'!$E$13+1,1))</f>
        <v>528.15559695545812</v>
      </c>
      <c r="CZ123" s="59">
        <f t="shared" si="96"/>
        <v>276.26988364830532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29.758253337395978</v>
      </c>
      <c r="DG123" s="21">
        <f>EXP(-LN(2)/25)*DG122+(1-EXP(-LN(2)/25))/(LN(2)/25)*Calculateur!DB123*Calculateur!DD123*VLOOKUP('Données projet'!$B$13,Paramètres!$A$1:$I$89,3,0)*0.475*44/12</f>
        <v>19.754384553764581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49.512637891160558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6.8888888888888893</v>
      </c>
      <c r="DO123" s="12">
        <f>IF('Données projet'!$A$166&gt;35,DO122+DN123-DW122,IF(A123&lt;'Données projet'!$A$166,$DL$205^A123,IF(A123='Données projet'!$A$166,'Données projet'!$B$166,DO122+DN123-DW122)))</f>
        <v>376.33333333333292</v>
      </c>
      <c r="DP123" s="17">
        <f>DO123*VLOOKUP('Données projet'!$B$14,Paramètres!$A$1:$I$89,3,0)*VLOOKUP('Données projet'!$B$14,Paramètres!$A$1:$I$89,5,0)</f>
        <v>381.60199999999958</v>
      </c>
      <c r="DQ123" s="13">
        <f t="shared" si="97"/>
        <v>88.03659324934641</v>
      </c>
      <c r="DR123" s="20">
        <f t="shared" si="70"/>
        <v>817.95388324261091</v>
      </c>
      <c r="DS123" s="59">
        <f t="shared" si="71"/>
        <v>1111.2872165759443</v>
      </c>
      <c r="DT123" s="59">
        <f ca="1">AVERAGE(OFFSET($DS$3,0,0,'Données projet'!$E$14+1,1))-AVERAGE(OFFSET($H$3,0,0,'Données projet'!$E$14+1,1))</f>
        <v>586.50020405958992</v>
      </c>
      <c r="DU123" s="59">
        <f t="shared" si="98"/>
        <v>304.44184537595294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33.349766671219641</v>
      </c>
      <c r="EB123" s="21">
        <f>EXP(-LN(2)/25)*EB122+(1-EXP(-LN(2)/25))/(LN(2)/25)*Calculateur!DW123*Calculateur!DY123*VLOOKUP('Données projet'!$B$14,Paramètres!$A$1:$I$89,3,0)*0.475*44/12</f>
        <v>22.138534413701677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55.488301084921318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-1.7053025658242404E-13</v>
      </c>
      <c r="EK123" s="17">
        <f>EJ123*VLOOKUP('Données projet'!$B$15,Paramètres!$A$1:$I$89,3,0)*VLOOKUP('Données projet'!$B$15,Paramètres!$A$1:$I$89,5,0)</f>
        <v>-1.6493686416652052E-13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355.72173590705142</v>
      </c>
      <c r="EP123" s="59">
        <f t="shared" si="100"/>
        <v>346.30980704469363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46.175795279260726</v>
      </c>
      <c r="EW123" s="21">
        <f>EXP(-LN(2)/25)*EW122+(1-EXP(-LN(2)/25))/(LN(2)/25)*Calculateur!ER123*Calculateur!ET123*VLOOKUP('Données projet'!$B$15,Paramètres!$A$1:$I$89,3,0)*0.475*44/12</f>
        <v>0.92255126186871628</v>
      </c>
      <c r="EX123" s="21">
        <f>EXP(-LN(2)/2)*EX122+(1-EXP(-LN(2)/2))/(LN(2)/2)*ER123*EU123*VLOOKUP('Données projet'!$B$15,Paramètres!$A$1:$I$89,3,0)*0.475*44/12</f>
        <v>4.8244947269633868E-5</v>
      </c>
      <c r="EY123" s="22">
        <f t="shared" si="75"/>
        <v>47.098394786076717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-1.383341441396624E-13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304.26232113495314</v>
      </c>
      <c r="FK123" s="59">
        <f t="shared" si="102"/>
        <v>297.47246687305056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47.734618075634884</v>
      </c>
      <c r="FR123" s="21">
        <f>EXP(-LN(2)/25)*FR122+(1-EXP(-LN(2)/25))/(LN(2)/25)*Calculateur!FM123*Calculateur!FO123*VLOOKUP('Données projet'!$B$16,Paramètres!$A$1:$I$89,3,0)*0.475*44/12</f>
        <v>0.95369515292955087</v>
      </c>
      <c r="FS123" s="21">
        <f>EXP(-LN(2)/2)*FS122+(1-EXP(-LN(2)/2))/(LN(2)/2)*FM123*FP123*VLOOKUP('Données projet'!$B$16,Paramètres!$A$1:$I$89,3,0)*0.475*44/12</f>
        <v>4.0463504161628544E-5</v>
      </c>
      <c r="FT123" s="22">
        <f t="shared" si="78"/>
        <v>48.688353692068596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-1.4897523215040567E-13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381.72225529388083</v>
      </c>
      <c r="T124" s="59">
        <f t="shared" si="88"/>
        <v>360.05900046417361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78.824072659578675</v>
      </c>
      <c r="AA124" s="21">
        <f>EXP(-LN(2)/25)*AA123+(1-EXP(-LN(2)/25))/(LN(2)/25)*Calculateur!V124*Calculateur!X124*VLOOKUP('Données projet'!$B$9,Paramètres!$A$1:$I$89,3,0)*0.475*44/12</f>
        <v>10.690632762006832</v>
      </c>
      <c r="AB124" s="21">
        <f>EXP(-LN(2)/2)*AB123+(1-EXP(-LN(2)/2))/(LN(2)/2)*V124*Y124*VLOOKUP('Données projet'!$B$9,Paramètres!$A$1:$I$89,3,0)*0.475*44/12</f>
        <v>3.1737634928175782E-14</v>
      </c>
      <c r="AC124" s="22">
        <f t="shared" si="57"/>
        <v>89.514705421585532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-4.1677594708744434E-14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464.3681853739115</v>
      </c>
      <c r="AO124" s="59">
        <f t="shared" si="90"/>
        <v>272.97841038165217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126.01803628569095</v>
      </c>
      <c r="AV124" s="21">
        <f>EXP(-LN(2)/25)*AV123+(1-EXP(-LN(2)/25))/(LN(2)/25)*Calculateur!AQ124*Calculateur!AS124*VLOOKUP('Données projet'!$B$10,Paramètres!$A$1:$I$89,3,0)*0.475*44/12</f>
        <v>32.785312999213964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158.80334928490493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-1.3567387213697657E-13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299.10536994156814</v>
      </c>
      <c r="BJ124" s="59">
        <f t="shared" si="92"/>
        <v>292.57799203101769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45.898598804828914</v>
      </c>
      <c r="BQ124" s="21">
        <f>EXP(-LN(2)/25)*BQ123+(1-EXP(-LN(2)/25))/(LN(2)/25)*Calculateur!BL124*Calculateur!BN124*VLOOKUP('Données projet'!$B$11,Paramètres!$A$1:$I$89,3,0)*0.475*44/12</f>
        <v>0.90977753365042713</v>
      </c>
      <c r="BR124" s="21">
        <f>EXP(-LN(2)/2)*BR123+(1-EXP(-LN(2)/2))/(LN(2)/2)*BL124*BO124*VLOOKUP('Données projet'!$B$11,Paramètres!$A$1:$I$89,3,0)*0.475*44/12</f>
        <v>2.8061787064348751E-5</v>
      </c>
      <c r="BS124" s="22">
        <f t="shared" si="63"/>
        <v>46.808404400266404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-1.7053025658242404E-13</v>
      </c>
      <c r="BZ124" s="13">
        <f>BY124*VLOOKUP('Données projet'!$B$12,Paramètres!$A$1:$I$89,3,0)*VLOOKUP('Données projet'!$B$12,Paramètres!$A$1:$I$89,5,0)</f>
        <v>-1.3567387213697657E-13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299.10536994156814</v>
      </c>
      <c r="CE124" s="59">
        <f t="shared" si="94"/>
        <v>292.57799203101769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45.898598804828914</v>
      </c>
      <c r="CL124" s="21">
        <f>EXP(-LN(2)/25)*CL123+(1-EXP(-LN(2)/25))/(LN(2)/25)*Calculateur!CG124*Calculateur!CI124*VLOOKUP('Données projet'!$B$12,Paramètres!$A$1:$I$89,3,0)*0.475*44/12</f>
        <v>0.90977753365042713</v>
      </c>
      <c r="CM124" s="21">
        <f>EXP(-LN(2)/2)*CM123+(1-EXP(-LN(2)/2))/(LN(2)/2)*CG124*CJ124*VLOOKUP('Données projet'!$B$12,Paramètres!$A$1:$I$89,3,0)*0.475*44/12</f>
        <v>2.8061787064348751E-5</v>
      </c>
      <c r="CN124" s="22">
        <f t="shared" si="66"/>
        <v>46.808404400266404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6.8888888888888893</v>
      </c>
      <c r="CT124" s="12">
        <f>IF('Données projet'!$A$140&gt;35,CT123+CS124-DB123,IF(A124&lt;'Données projet'!$A$140,$CQ$205^A124,IF(A124='Données projet'!$A$140,'Données projet'!$B$140,CT123+CS124-DB123)))</f>
        <v>383.22222222222183</v>
      </c>
      <c r="CU124" s="17">
        <f>CT124*VLOOKUP('Données projet'!$B$13,Paramètres!$A$1:$I$89,3,0)*VLOOKUP('Données projet'!$B$13,Paramètres!$A$1:$I$89,5,0)</f>
        <v>346.73946666666632</v>
      </c>
      <c r="CV124" s="13">
        <f t="shared" si="95"/>
        <v>80.890768286611575</v>
      </c>
      <c r="CW124" s="20">
        <f t="shared" si="67"/>
        <v>744.78932587695897</v>
      </c>
      <c r="CX124" s="59">
        <f t="shared" si="68"/>
        <v>1038.1226592102923</v>
      </c>
      <c r="CY124" s="59">
        <f ca="1">AVERAGE(OFFSET($CX$3,0,0,'Données projet'!$E$13+1,1))-AVERAGE(OFFSET($H$3,0,0,'Données projet'!$E$13+1,1))</f>
        <v>528.15559695545812</v>
      </c>
      <c r="CZ124" s="59">
        <f t="shared" si="96"/>
        <v>276.26988364830532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29.174712140191943</v>
      </c>
      <c r="DG124" s="21">
        <f>EXP(-LN(2)/25)*DG123+(1-EXP(-LN(2)/25))/(LN(2)/25)*Calculateur!DB124*Calculateur!DD124*VLOOKUP('Données projet'!$B$13,Paramètres!$A$1:$I$89,3,0)*0.475*44/12</f>
        <v>19.214199869303954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48.388912009495897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6.8888888888888893</v>
      </c>
      <c r="DO124" s="12">
        <f>IF('Données projet'!$A$166&gt;35,DO123+DN124-DW123,IF(A124&lt;'Données projet'!$A$166,$DL$205^A124,IF(A124='Données projet'!$A$166,'Données projet'!$B$166,DO123+DN124-DW123)))</f>
        <v>383.22222222222183</v>
      </c>
      <c r="DP124" s="17">
        <f>DO124*VLOOKUP('Données projet'!$B$14,Paramètres!$A$1:$I$89,3,0)*VLOOKUP('Données projet'!$B$14,Paramètres!$A$1:$I$89,5,0)</f>
        <v>388.58733333333299</v>
      </c>
      <c r="DQ124" s="13">
        <f t="shared" si="97"/>
        <v>89.459038709096291</v>
      </c>
      <c r="DR124" s="20">
        <f t="shared" si="70"/>
        <v>832.59743130723098</v>
      </c>
      <c r="DS124" s="59">
        <f t="shared" si="71"/>
        <v>1125.9307646405643</v>
      </c>
      <c r="DT124" s="59">
        <f ca="1">AVERAGE(OFFSET($DS$3,0,0,'Données projet'!$E$14+1,1))-AVERAGE(OFFSET($H$3,0,0,'Données projet'!$E$14+1,1))</f>
        <v>586.50020405958992</v>
      </c>
      <c r="DU124" s="59">
        <f t="shared" si="98"/>
        <v>304.44184537595294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32.695798088146148</v>
      </c>
      <c r="EB124" s="21">
        <f>EXP(-LN(2)/25)*EB123+(1-EXP(-LN(2)/25))/(LN(2)/25)*Calculateur!DW124*Calculateur!DY124*VLOOKUP('Données projet'!$B$14,Paramètres!$A$1:$I$89,3,0)*0.475*44/12</f>
        <v>21.53315502594408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54.228953114090231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-1.7053025658242404E-13</v>
      </c>
      <c r="EK124" s="17">
        <f>EJ124*VLOOKUP('Données projet'!$B$15,Paramètres!$A$1:$I$89,3,0)*VLOOKUP('Données projet'!$B$15,Paramètres!$A$1:$I$89,5,0)</f>
        <v>-1.6493686416652052E-13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355.72173590705142</v>
      </c>
      <c r="EP124" s="59">
        <f t="shared" si="100"/>
        <v>346.30980704469363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45.270316098288532</v>
      </c>
      <c r="EW124" s="21">
        <f>EXP(-LN(2)/25)*EW123+(1-EXP(-LN(2)/25))/(LN(2)/25)*Calculateur!ER124*Calculateur!ET124*VLOOKUP('Données projet'!$B$15,Paramètres!$A$1:$I$89,3,0)*0.475*44/12</f>
        <v>0.89732404909805386</v>
      </c>
      <c r="EX124" s="21">
        <f>EXP(-LN(2)/2)*EX123+(1-EXP(-LN(2)/2))/(LN(2)/2)*ER124*EU124*VLOOKUP('Données projet'!$B$15,Paramètres!$A$1:$I$89,3,0)*0.475*44/12</f>
        <v>3.4114329372345518E-5</v>
      </c>
      <c r="EY124" s="22">
        <f t="shared" si="75"/>
        <v>46.167674261715959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-1.383341441396624E-13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304.26232113495314</v>
      </c>
      <c r="FK124" s="59">
        <f t="shared" si="102"/>
        <v>297.47246687305056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46.798571330413822</v>
      </c>
      <c r="FR124" s="21">
        <f>EXP(-LN(2)/25)*FR123+(1-EXP(-LN(2)/25))/(LN(2)/25)*Calculateur!FM124*Calculateur!FO124*VLOOKUP('Données projet'!$B$16,Paramètres!$A$1:$I$89,3,0)*0.475*44/12</f>
        <v>0.92761630882004387</v>
      </c>
      <c r="FS124" s="21">
        <f>EXP(-LN(2)/2)*FS123+(1-EXP(-LN(2)/2))/(LN(2)/2)*FM124*FP124*VLOOKUP('Données projet'!$B$16,Paramètres!$A$1:$I$89,3,0)*0.475*44/12</f>
        <v>2.861201818325763E-5</v>
      </c>
      <c r="FT124" s="22">
        <f t="shared" si="78"/>
        <v>47.726216251252048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-1.4897523215040567E-13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381.72225529388083</v>
      </c>
      <c r="T125" s="59">
        <f t="shared" si="88"/>
        <v>360.05900046417361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77.278380672661356</v>
      </c>
      <c r="AA125" s="21">
        <f>EXP(-LN(2)/25)*AA124+(1-EXP(-LN(2)/25))/(LN(2)/25)*Calculateur!V125*Calculateur!X125*VLOOKUP('Données projet'!$B$9,Paramètres!$A$1:$I$89,3,0)*0.475*44/12</f>
        <v>10.398296846933812</v>
      </c>
      <c r="AB125" s="21">
        <f>EXP(-LN(2)/2)*AB124+(1-EXP(-LN(2)/2))/(LN(2)/2)*V125*Y125*VLOOKUP('Données projet'!$B$9,Paramètres!$A$1:$I$89,3,0)*0.475*44/12</f>
        <v>2.2441896876536121E-14</v>
      </c>
      <c r="AC125" s="22">
        <f t="shared" si="57"/>
        <v>87.676677519595202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-4.1677594708744434E-14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464.3681853739115</v>
      </c>
      <c r="AO125" s="59">
        <f t="shared" si="90"/>
        <v>272.97841038165217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123.54689945754106</v>
      </c>
      <c r="AV125" s="21">
        <f>EXP(-LN(2)/25)*AV124+(1-EXP(-LN(2)/25))/(LN(2)/25)*Calculateur!AQ125*Calculateur!AS125*VLOOKUP('Données projet'!$B$10,Paramètres!$A$1:$I$89,3,0)*0.475*44/12</f>
        <v>31.88879689114578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155.43569634868683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-1.3567387213697657E-13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299.10536994156814</v>
      </c>
      <c r="BJ125" s="59">
        <f t="shared" si="92"/>
        <v>292.57799203101769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44.998555277647178</v>
      </c>
      <c r="BQ125" s="21">
        <f>EXP(-LN(2)/25)*BQ124+(1-EXP(-LN(2)/25))/(LN(2)/25)*Calculateur!BL125*Calculateur!BN125*VLOOKUP('Données projet'!$B$11,Paramètres!$A$1:$I$89,3,0)*0.475*44/12</f>
        <v>0.884899619149635</v>
      </c>
      <c r="BR125" s="21">
        <f>EXP(-LN(2)/2)*BR124+(1-EXP(-LN(2)/2))/(LN(2)/2)*BL125*BO125*VLOOKUP('Données projet'!$B$11,Paramètres!$A$1:$I$89,3,0)*0.475*44/12</f>
        <v>1.9842679925413942E-5</v>
      </c>
      <c r="BS125" s="22">
        <f t="shared" si="63"/>
        <v>45.883474739476739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-1.7053025658242404E-13</v>
      </c>
      <c r="BZ125" s="13">
        <f>BY125*VLOOKUP('Données projet'!$B$12,Paramètres!$A$1:$I$89,3,0)*VLOOKUP('Données projet'!$B$12,Paramètres!$A$1:$I$89,5,0)</f>
        <v>-1.3567387213697657E-13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299.10536994156814</v>
      </c>
      <c r="CE125" s="59">
        <f t="shared" si="94"/>
        <v>292.57799203101769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44.998555277647178</v>
      </c>
      <c r="CL125" s="21">
        <f>EXP(-LN(2)/25)*CL124+(1-EXP(-LN(2)/25))/(LN(2)/25)*Calculateur!CG125*Calculateur!CI125*VLOOKUP('Données projet'!$B$12,Paramètres!$A$1:$I$89,3,0)*0.475*44/12</f>
        <v>0.884899619149635</v>
      </c>
      <c r="CM125" s="21">
        <f>EXP(-LN(2)/2)*CM124+(1-EXP(-LN(2)/2))/(LN(2)/2)*CG125*CJ125*VLOOKUP('Données projet'!$B$12,Paramètres!$A$1:$I$89,3,0)*0.475*44/12</f>
        <v>1.9842679925413942E-5</v>
      </c>
      <c r="CN125" s="22">
        <f t="shared" si="66"/>
        <v>45.883474739476739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6.8888888888888893</v>
      </c>
      <c r="CT125" s="12">
        <f>IF('Données projet'!$A$140&gt;35,CT124+CS125-DB124,IF(A125&lt;'Données projet'!$A$140,$CQ$205^A125,IF(A125='Données projet'!$A$140,'Données projet'!$B$140,CT124+CS125-DB124)))</f>
        <v>390.11111111111074</v>
      </c>
      <c r="CU125" s="17">
        <f>CT125*VLOOKUP('Données projet'!$B$13,Paramètres!$A$1:$I$89,3,0)*VLOOKUP('Données projet'!$B$13,Paramètres!$A$1:$I$89,5,0)</f>
        <v>352.97253333333299</v>
      </c>
      <c r="CV125" s="13">
        <f t="shared" si="95"/>
        <v>82.174285131904085</v>
      </c>
      <c r="CW125" s="20">
        <f t="shared" si="67"/>
        <v>757.88070882695445</v>
      </c>
      <c r="CX125" s="59">
        <f t="shared" si="68"/>
        <v>1051.2140421602878</v>
      </c>
      <c r="CY125" s="59">
        <f ca="1">AVERAGE(OFFSET($CX$3,0,0,'Données projet'!$E$13+1,1))-AVERAGE(OFFSET($H$3,0,0,'Données projet'!$E$13+1,1))</f>
        <v>528.15559695545812</v>
      </c>
      <c r="CZ125" s="59">
        <f t="shared" si="96"/>
        <v>276.26988364830532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28.602613829940093</v>
      </c>
      <c r="DG125" s="21">
        <f>EXP(-LN(2)/25)*DG124+(1-EXP(-LN(2)/25))/(LN(2)/25)*Calculateur!DB125*Calculateur!DD125*VLOOKUP('Données projet'!$B$13,Paramètres!$A$1:$I$89,3,0)*0.475*44/12</f>
        <v>18.688786563446982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47.291400393387079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6.8888888888888893</v>
      </c>
      <c r="DO125" s="12">
        <f>IF('Données projet'!$A$166&gt;35,DO124+DN125-DW124,IF(A125&lt;'Données projet'!$A$166,$DL$205^A125,IF(A125='Données projet'!$A$166,'Données projet'!$B$166,DO124+DN125-DW124)))</f>
        <v>390.11111111111074</v>
      </c>
      <c r="DP125" s="17">
        <f>DO125*VLOOKUP('Données projet'!$B$14,Paramètres!$A$1:$I$89,3,0)*VLOOKUP('Données projet'!$B$14,Paramètres!$A$1:$I$89,5,0)</f>
        <v>395.57266666666635</v>
      </c>
      <c r="DQ125" s="13">
        <f t="shared" si="97"/>
        <v>90.878510740069586</v>
      </c>
      <c r="DR125" s="20">
        <f t="shared" si="70"/>
        <v>847.23580065006502</v>
      </c>
      <c r="DS125" s="59">
        <f t="shared" si="71"/>
        <v>1140.5691339833984</v>
      </c>
      <c r="DT125" s="59">
        <f ca="1">AVERAGE(OFFSET($DS$3,0,0,'Données projet'!$E$14+1,1))-AVERAGE(OFFSET($H$3,0,0,'Données projet'!$E$14+1,1))</f>
        <v>586.50020405958992</v>
      </c>
      <c r="DU125" s="59">
        <f t="shared" si="98"/>
        <v>304.44184537595294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32.054653430105283</v>
      </c>
      <c r="EB125" s="21">
        <f>EXP(-LN(2)/25)*EB124+(1-EXP(-LN(2)/25))/(LN(2)/25)*Calculateur!DW125*Calculateur!DY125*VLOOKUP('Données projet'!$B$14,Paramètres!$A$1:$I$89,3,0)*0.475*44/12</f>
        <v>20.944329769380232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52.998983199485515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-1.7053025658242404E-13</v>
      </c>
      <c r="EK125" s="17">
        <f>EJ125*VLOOKUP('Données projet'!$B$15,Paramètres!$A$1:$I$89,3,0)*VLOOKUP('Données projet'!$B$15,Paramètres!$A$1:$I$89,5,0)</f>
        <v>-1.6493686416652052E-13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355.72173590705142</v>
      </c>
      <c r="EP125" s="59">
        <f t="shared" si="100"/>
        <v>346.30980704469363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44.382592811767438</v>
      </c>
      <c r="EW125" s="21">
        <f>EXP(-LN(2)/25)*EW124+(1-EXP(-LN(2)/25))/(LN(2)/25)*Calculateur!ER125*Calculateur!ET125*VLOOKUP('Données projet'!$B$15,Paramètres!$A$1:$I$89,3,0)*0.475*44/12</f>
        <v>0.87278667578724667</v>
      </c>
      <c r="EX125" s="21">
        <f>EXP(-LN(2)/2)*EX124+(1-EXP(-LN(2)/2))/(LN(2)/2)*ER125*EU125*VLOOKUP('Données projet'!$B$15,Paramètres!$A$1:$I$89,3,0)*0.475*44/12</f>
        <v>2.4122473634816934E-5</v>
      </c>
      <c r="EY125" s="22">
        <f t="shared" si="75"/>
        <v>45.255403610028317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-1.383341441396624E-13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304.26232113495314</v>
      </c>
      <c r="FK125" s="59">
        <f t="shared" si="102"/>
        <v>297.47246687305056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45.880879890934402</v>
      </c>
      <c r="FR125" s="21">
        <f>EXP(-LN(2)/25)*FR124+(1-EXP(-LN(2)/25))/(LN(2)/25)*Calculateur!FM125*Calculateur!FO125*VLOOKUP('Données projet'!$B$16,Paramètres!$A$1:$I$89,3,0)*0.475*44/12</f>
        <v>0.90225059207413816</v>
      </c>
      <c r="FS125" s="21">
        <f>EXP(-LN(2)/2)*FS124+(1-EXP(-LN(2)/2))/(LN(2)/2)*FM125*FP125*VLOOKUP('Données projet'!$B$16,Paramètres!$A$1:$I$89,3,0)*0.475*44/12</f>
        <v>2.0231752080814272E-5</v>
      </c>
      <c r="FT125" s="22">
        <f t="shared" si="78"/>
        <v>46.783150714760623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-1.4897523215040567E-13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381.72225529388083</v>
      </c>
      <c r="T126" s="59">
        <f t="shared" si="88"/>
        <v>360.05900046417361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75.762998762828474</v>
      </c>
      <c r="AA126" s="21">
        <f>EXP(-LN(2)/25)*AA125+(1-EXP(-LN(2)/25))/(LN(2)/25)*Calculateur!V126*Calculateur!X126*VLOOKUP('Données projet'!$B$9,Paramètres!$A$1:$I$89,3,0)*0.475*44/12</f>
        <v>10.113954872831741</v>
      </c>
      <c r="AB126" s="21">
        <f>EXP(-LN(2)/2)*AB125+(1-EXP(-LN(2)/2))/(LN(2)/2)*V126*Y126*VLOOKUP('Données projet'!$B$9,Paramètres!$A$1:$I$89,3,0)*0.475*44/12</f>
        <v>1.5868817464087891E-14</v>
      </c>
      <c r="AC126" s="22">
        <f t="shared" si="57"/>
        <v>85.876953635660229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-4.1677594708744434E-14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464.3681853739115</v>
      </c>
      <c r="AO126" s="59">
        <f t="shared" si="90"/>
        <v>272.97841038165217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121.12422011534655</v>
      </c>
      <c r="AV126" s="21">
        <f>EXP(-LN(2)/25)*AV125+(1-EXP(-LN(2)/25))/(LN(2)/25)*Calculateur!AQ126*Calculateur!AS126*VLOOKUP('Données projet'!$B$10,Paramètres!$A$1:$I$89,3,0)*0.475*44/12</f>
        <v>31.016796063198452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152.14101617854499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-1.3567387213697657E-13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299.10536994156814</v>
      </c>
      <c r="BJ126" s="59">
        <f t="shared" si="92"/>
        <v>292.57799203101769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44.116161055061127</v>
      </c>
      <c r="BQ126" s="21">
        <f>EXP(-LN(2)/25)*BQ125+(1-EXP(-LN(2)/25))/(LN(2)/25)*Calculateur!BL126*Calculateur!BN126*VLOOKUP('Données projet'!$B$11,Paramètres!$A$1:$I$89,3,0)*0.475*44/12</f>
        <v>0.8607019925291397</v>
      </c>
      <c r="BR126" s="21">
        <f>EXP(-LN(2)/2)*BR125+(1-EXP(-LN(2)/2))/(LN(2)/2)*BL126*BO126*VLOOKUP('Données projet'!$B$11,Paramètres!$A$1:$I$89,3,0)*0.475*44/12</f>
        <v>1.4030893532174376E-5</v>
      </c>
      <c r="BS126" s="22">
        <f t="shared" si="63"/>
        <v>44.976877078483795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-1.7053025658242404E-13</v>
      </c>
      <c r="BZ126" s="13">
        <f>BY126*VLOOKUP('Données projet'!$B$12,Paramètres!$A$1:$I$89,3,0)*VLOOKUP('Données projet'!$B$12,Paramètres!$A$1:$I$89,5,0)</f>
        <v>-1.3567387213697657E-13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299.10536994156814</v>
      </c>
      <c r="CE126" s="59">
        <f t="shared" si="94"/>
        <v>292.57799203101769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44.116161055061127</v>
      </c>
      <c r="CL126" s="21">
        <f>EXP(-LN(2)/25)*CL125+(1-EXP(-LN(2)/25))/(LN(2)/25)*Calculateur!CG126*Calculateur!CI126*VLOOKUP('Données projet'!$B$12,Paramètres!$A$1:$I$89,3,0)*0.475*44/12</f>
        <v>0.8607019925291397</v>
      </c>
      <c r="CM126" s="21">
        <f>EXP(-LN(2)/2)*CM125+(1-EXP(-LN(2)/2))/(LN(2)/2)*CG126*CJ126*VLOOKUP('Données projet'!$B$12,Paramètres!$A$1:$I$89,3,0)*0.475*44/12</f>
        <v>1.4030893532174376E-5</v>
      </c>
      <c r="CN126" s="22">
        <f t="shared" si="66"/>
        <v>44.976877078483795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397</v>
      </c>
      <c r="CR126" s="12">
        <f>VLOOKUP(A126,'Données projet'!$A$139:$I$159,9,0)</f>
        <v>6.8888888888888893</v>
      </c>
      <c r="CS126" s="12">
        <f t="array" ref="CS126">INDEX(CR:CR,MIN(IF(ISNUMBER(CR126:CR322),ROW(CR126:CR322),"")))</f>
        <v>6.8888888888888893</v>
      </c>
      <c r="CT126" s="12">
        <f>IF('Données projet'!$A$140&gt;35,CT125+CS126-DB125,IF(A126&lt;'Données projet'!$A$140,$CQ$205^A126,IF(A126='Données projet'!$A$140,'Données projet'!$B$140,CT125+CS126-DB125)))</f>
        <v>396.99999999999966</v>
      </c>
      <c r="CU126" s="17">
        <f>CT126*VLOOKUP('Données projet'!$B$13,Paramètres!$A$1:$I$89,3,0)*VLOOKUP('Données projet'!$B$13,Paramètres!$A$1:$I$89,5,0)</f>
        <v>359.20559999999966</v>
      </c>
      <c r="CV126" s="13">
        <f t="shared" si="95"/>
        <v>83.455166295200186</v>
      </c>
      <c r="CW126" s="20">
        <f t="shared" si="67"/>
        <v>770.96750129747295</v>
      </c>
      <c r="CX126" s="59">
        <f t="shared" si="68"/>
        <v>1064.3008346308063</v>
      </c>
      <c r="CY126" s="59">
        <f ca="1">AVERAGE(OFFSET($CX$3,0,0,'Données projet'!$E$13+1,1))-AVERAGE(OFFSET($H$3,0,0,'Données projet'!$E$13+1,1))</f>
        <v>528.15559695545812</v>
      </c>
      <c r="CZ126" s="59">
        <f t="shared" si="96"/>
        <v>276.26988364830532</v>
      </c>
      <c r="DA126" s="15">
        <f>IF(ISNA(VLOOKUP(A126,'Données projet'!$A$139:$I$159,3,0)),0,VLOOKUP(A126,'Données projet'!$A$139:$I$159,3,0))</f>
        <v>11</v>
      </c>
      <c r="DB126" s="15">
        <f>IF(ISNA(VLOOKUP(A126,'Données projet'!$A$139:$I$159,4,0)),0,VLOOKUP(A126,'Données projet'!$A$139:$I$159,4,0))</f>
        <v>41</v>
      </c>
      <c r="DC126" s="16">
        <f>IF(ISNA(VLOOKUP(A126,'Données projet'!$A$139:$I$159,5,0)),0%,VLOOKUP(A126,'Données projet'!$A$139:$I$159,5,0)*VLOOKUP('Données projet'!$B$13,Paramètres!$A$1:$I$89,7,0))</f>
        <v>0.30099999999999999</v>
      </c>
      <c r="DD126" s="16">
        <f>IF(ISNA(VLOOKUP(A126,'Données projet'!$A$139:$I$159,6,0)),0%,VLOOKUP(A126,'Données projet'!$A$139:$I$159,6,0)*VLOOKUP('Données projet'!$B$13,Paramètres!$A$1:$I$89,7,0))</f>
        <v>4.3000000000000003E-2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40.385567504819605</v>
      </c>
      <c r="DG126" s="21">
        <f>EXP(-LN(2)/25)*DG125+(1-EXP(-LN(2)/25))/(LN(2)/25)*Calculateur!DB126*Calculateur!DD126*VLOOKUP('Données projet'!$B$13,Paramètres!$A$1:$I$89,3,0)*0.475*44/12</f>
        <v>19.934202299270144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60.319769804089745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397</v>
      </c>
      <c r="DM126" s="12">
        <f>VLOOKUP(A126,'Données projet'!$A$165:$I$185,9,0)</f>
        <v>6.8888888888888893</v>
      </c>
      <c r="DN126" s="12">
        <f t="array" ref="DN126">INDEX(DM:DM,MIN(IF(ISNUMBER(DM126:DM322),ROW(DM126:DM322),"")))</f>
        <v>6.8888888888888893</v>
      </c>
      <c r="DO126" s="12">
        <f>IF('Données projet'!$A$166&gt;35,DO125+DN126-DW125,IF(A126&lt;'Données projet'!$A$166,$DL$205^A126,IF(A126='Données projet'!$A$166,'Données projet'!$B$166,DO125+DN126-DW125)))</f>
        <v>396.99999999999966</v>
      </c>
      <c r="DP126" s="17">
        <f>DO126*VLOOKUP('Données projet'!$B$14,Paramètres!$A$1:$I$89,3,0)*VLOOKUP('Données projet'!$B$14,Paramètres!$A$1:$I$89,5,0)</f>
        <v>402.55799999999965</v>
      </c>
      <c r="DQ126" s="13">
        <f t="shared" si="97"/>
        <v>92.295067907174953</v>
      </c>
      <c r="DR126" s="20">
        <f t="shared" si="70"/>
        <v>861.86909327166234</v>
      </c>
      <c r="DS126" s="59">
        <f t="shared" si="71"/>
        <v>1155.2024266049957</v>
      </c>
      <c r="DT126" s="59">
        <f ca="1">AVERAGE(OFFSET($DS$3,0,0,'Données projet'!$E$14+1,1))-AVERAGE(OFFSET($H$3,0,0,'Données projet'!$E$14+1,1))</f>
        <v>586.50020405958992</v>
      </c>
      <c r="DU126" s="59">
        <f t="shared" si="98"/>
        <v>304.44184537595294</v>
      </c>
      <c r="DV126" s="15">
        <f>IF(ISNA(VLOOKUP(A126,'Données projet'!$A$165:$I$185,3,0)),0,VLOOKUP(A126,'Données projet'!$A$165:$I$185,3,0))</f>
        <v>11</v>
      </c>
      <c r="DW126" s="15">
        <f>IF(ISNA(VLOOKUP(A126,'Données projet'!$A$165:$I$185,4,0)),0,VLOOKUP(A126,'Données projet'!$A$165:$I$185,4,0))</f>
        <v>41</v>
      </c>
      <c r="DX126" s="16">
        <f>IF(ISNA(VLOOKUP(A126,'Données projet'!$A$165:$I$185,5,0)),0%,VLOOKUP(A126,'Données projet'!$A$165:$I$185,5,0)*VLOOKUP('Données projet'!$B$14,Paramètres!$A$1:$I$89,7,0))</f>
        <v>0.30099999999999999</v>
      </c>
      <c r="DY126" s="16">
        <f>IF(ISNA(VLOOKUP(A126,'Données projet'!$A$165:$I$185,6,0)),0%,VLOOKUP(A126,'Données projet'!$A$165:$I$185,6,0)*VLOOKUP('Données projet'!$B$14,Paramètres!$A$1:$I$89,7,0))</f>
        <v>4.3000000000000003E-2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45.259687720918535</v>
      </c>
      <c r="EB126" s="21">
        <f>EXP(-LN(2)/25)*EB125+(1-EXP(-LN(2)/25))/(LN(2)/25)*Calculateur!DW126*Calculateur!DY126*VLOOKUP('Données projet'!$B$14,Paramètres!$A$1:$I$89,3,0)*0.475*44/12</f>
        <v>22.340054300906189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67.599742021824724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-1.7053025658242404E-13</v>
      </c>
      <c r="EK126" s="17">
        <f>EJ126*VLOOKUP('Données projet'!$B$15,Paramètres!$A$1:$I$89,3,0)*VLOOKUP('Données projet'!$B$15,Paramètres!$A$1:$I$89,5,0)</f>
        <v>-1.6493686416652052E-13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355.72173590705142</v>
      </c>
      <c r="EP126" s="59">
        <f t="shared" si="100"/>
        <v>346.30980704469363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43.512277237437281</v>
      </c>
      <c r="EW126" s="21">
        <f>EXP(-LN(2)/25)*EW125+(1-EXP(-LN(2)/25))/(LN(2)/25)*Calculateur!ER126*Calculateur!ET126*VLOOKUP('Données projet'!$B$15,Paramètres!$A$1:$I$89,3,0)*0.475*44/12</f>
        <v>0.84892027823998795</v>
      </c>
      <c r="EX126" s="21">
        <f>EXP(-LN(2)/2)*EX125+(1-EXP(-LN(2)/2))/(LN(2)/2)*ER126*EU126*VLOOKUP('Données projet'!$B$15,Paramètres!$A$1:$I$89,3,0)*0.475*44/12</f>
        <v>1.7057164686172759E-5</v>
      </c>
      <c r="EY126" s="22">
        <f t="shared" si="75"/>
        <v>44.361214572841952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-1.383341441396624E-13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304.26232113495314</v>
      </c>
      <c r="FK126" s="59">
        <f t="shared" si="102"/>
        <v>297.47246687305056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44.981183820846667</v>
      </c>
      <c r="FR126" s="21">
        <f>EXP(-LN(2)/25)*FR125+(1-EXP(-LN(2)/25))/(LN(2)/25)*Calculateur!FM126*Calculateur!FO126*VLOOKUP('Données projet'!$B$16,Paramètres!$A$1:$I$89,3,0)*0.475*44/12</f>
        <v>0.87757850218657429</v>
      </c>
      <c r="FS126" s="21">
        <f>EXP(-LN(2)/2)*FS125+(1-EXP(-LN(2)/2))/(LN(2)/2)*FM126*FP126*VLOOKUP('Données projet'!$B$16,Paramètres!$A$1:$I$89,3,0)*0.475*44/12</f>
        <v>1.4306009091628815E-5</v>
      </c>
      <c r="FT126" s="22">
        <f t="shared" si="78"/>
        <v>45.858776629042332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-1.4897523215040567E-13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381.72225529388083</v>
      </c>
      <c r="T127" s="59">
        <f t="shared" si="88"/>
        <v>360.05900046417361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74.27733256795571</v>
      </c>
      <c r="AA127" s="21">
        <f>EXP(-LN(2)/25)*AA126+(1-EXP(-LN(2)/25))/(LN(2)/25)*Calculateur!V127*Calculateur!X127*VLOOKUP('Données projet'!$B$9,Paramètres!$A$1:$I$89,3,0)*0.475*44/12</f>
        <v>9.8373882449643855</v>
      </c>
      <c r="AB127" s="21">
        <f>EXP(-LN(2)/2)*AB126+(1-EXP(-LN(2)/2))/(LN(2)/2)*V127*Y127*VLOOKUP('Données projet'!$B$9,Paramètres!$A$1:$I$89,3,0)*0.475*44/12</f>
        <v>1.122094843826806E-14</v>
      </c>
      <c r="AC127" s="22">
        <f t="shared" si="57"/>
        <v>84.114720812920112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-4.1677594708744434E-14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464.3681853739115</v>
      </c>
      <c r="AO127" s="59">
        <f t="shared" si="90"/>
        <v>272.97841038165217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118.74904803736398</v>
      </c>
      <c r="AV127" s="21">
        <f>EXP(-LN(2)/25)*AV126+(1-EXP(-LN(2)/25))/(LN(2)/25)*Calculateur!AQ127*Calculateur!AS127*VLOOKUP('Données projet'!$B$10,Paramètres!$A$1:$I$89,3,0)*0.475*44/12</f>
        <v>30.168640143747876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148.91768818111186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-1.3567387213697657E-13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299.10536994156814</v>
      </c>
      <c r="BJ127" s="59">
        <f t="shared" si="92"/>
        <v>292.57799203101769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43.251070044972657</v>
      </c>
      <c r="BQ127" s="21">
        <f>EXP(-LN(2)/25)*BQ126+(1-EXP(-LN(2)/25))/(LN(2)/25)*Calculateur!BL127*Calculateur!BN127*VLOOKUP('Données projet'!$B$11,Paramètres!$A$1:$I$89,3,0)*0.475*44/12</f>
        <v>0.83716605128107979</v>
      </c>
      <c r="BR127" s="21">
        <f>EXP(-LN(2)/2)*BR126+(1-EXP(-LN(2)/2))/(LN(2)/2)*BL127*BO127*VLOOKUP('Données projet'!$B$11,Paramètres!$A$1:$I$89,3,0)*0.475*44/12</f>
        <v>9.9213399627069711E-6</v>
      </c>
      <c r="BS127" s="22">
        <f t="shared" si="63"/>
        <v>44.088246017593697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-1.7053025658242404E-13</v>
      </c>
      <c r="BZ127" s="13">
        <f>BY127*VLOOKUP('Données projet'!$B$12,Paramètres!$A$1:$I$89,3,0)*VLOOKUP('Données projet'!$B$12,Paramètres!$A$1:$I$89,5,0)</f>
        <v>-1.3567387213697657E-13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299.10536994156814</v>
      </c>
      <c r="CE127" s="59">
        <f t="shared" si="94"/>
        <v>292.57799203101769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43.251070044972657</v>
      </c>
      <c r="CL127" s="21">
        <f>EXP(-LN(2)/25)*CL126+(1-EXP(-LN(2)/25))/(LN(2)/25)*Calculateur!CG127*Calculateur!CI127*VLOOKUP('Données projet'!$B$12,Paramètres!$A$1:$I$89,3,0)*0.475*44/12</f>
        <v>0.83716605128107979</v>
      </c>
      <c r="CM127" s="21">
        <f>EXP(-LN(2)/2)*CM126+(1-EXP(-LN(2)/2))/(LN(2)/2)*CG127*CJ127*VLOOKUP('Données projet'!$B$12,Paramètres!$A$1:$I$89,3,0)*0.475*44/12</f>
        <v>9.9213399627069711E-6</v>
      </c>
      <c r="CN127" s="22">
        <f t="shared" si="66"/>
        <v>44.088246017593697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7</v>
      </c>
      <c r="CT127" s="12">
        <f>IF('Données projet'!$A$140&gt;35,CT126+CS127-DB126,IF(A127&lt;'Données projet'!$A$140,$CQ$205^A127,IF(A127='Données projet'!$A$140,'Données projet'!$B$140,CT126+CS127-DB126)))</f>
        <v>362.99999999999966</v>
      </c>
      <c r="CU127" s="17">
        <f>CT127*VLOOKUP('Données projet'!$B$13,Paramètres!$A$1:$I$89,3,0)*VLOOKUP('Données projet'!$B$13,Paramètres!$A$1:$I$89,5,0)</f>
        <v>328.44239999999968</v>
      </c>
      <c r="CV127" s="13">
        <f t="shared" si="95"/>
        <v>77.107288085743335</v>
      </c>
      <c r="CW127" s="20">
        <f t="shared" si="67"/>
        <v>706.33237341600227</v>
      </c>
      <c r="CX127" s="59">
        <f t="shared" si="68"/>
        <v>999.66570674933564</v>
      </c>
      <c r="CY127" s="59">
        <f ca="1">AVERAGE(OFFSET($CX$3,0,0,'Données projet'!$E$13+1,1))-AVERAGE(OFFSET($H$3,0,0,'Données projet'!$E$13+1,1))</f>
        <v>528.15559695545812</v>
      </c>
      <c r="CZ127" s="59">
        <f t="shared" si="96"/>
        <v>276.26988364830532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39.593631158813984</v>
      </c>
      <c r="DG127" s="21">
        <f>EXP(-LN(2)/25)*DG126+(1-EXP(-LN(2)/25))/(LN(2)/25)*Calculateur!DB127*Calculateur!DD127*VLOOKUP('Données projet'!$B$13,Paramètres!$A$1:$I$89,3,0)*0.475*44/12</f>
        <v>19.389100489102464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58.982731647916452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</v>
      </c>
      <c r="DO127" s="12">
        <f>IF('Données projet'!$A$166&gt;35,DO126+DN127-DW126,IF(A127&lt;'Données projet'!$A$166,$DL$205^A127,IF(A127='Données projet'!$A$166,'Données projet'!$B$166,DO126+DN127-DW126)))</f>
        <v>362.99999999999966</v>
      </c>
      <c r="DP127" s="17">
        <f>DO127*VLOOKUP('Données projet'!$B$14,Paramètres!$A$1:$I$89,3,0)*VLOOKUP('Données projet'!$B$14,Paramètres!$A$1:$I$89,5,0)</f>
        <v>368.08199999999971</v>
      </c>
      <c r="DQ127" s="13">
        <f t="shared" si="97"/>
        <v>85.274797306599979</v>
      </c>
      <c r="DR127" s="20">
        <f t="shared" si="70"/>
        <v>789.59642197566109</v>
      </c>
      <c r="DS127" s="59">
        <f t="shared" si="71"/>
        <v>1082.9297553089943</v>
      </c>
      <c r="DT127" s="59">
        <f ca="1">AVERAGE(OFFSET($DS$3,0,0,'Données projet'!$E$14+1,1))-AVERAGE(OFFSET($H$3,0,0,'Données projet'!$E$14+1,1))</f>
        <v>586.50020405958992</v>
      </c>
      <c r="DU127" s="59">
        <f t="shared" si="98"/>
        <v>304.44184537595294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44.372172850394996</v>
      </c>
      <c r="EB127" s="21">
        <f>EXP(-LN(2)/25)*EB126+(1-EXP(-LN(2)/25))/(LN(2)/25)*Calculateur!DW127*Calculateur!DY127*VLOOKUP('Données projet'!$B$14,Paramètres!$A$1:$I$89,3,0)*0.475*44/12</f>
        <v>21.729164341235514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66.101337191630506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-1.7053025658242404E-13</v>
      </c>
      <c r="EK127" s="17">
        <f>EJ127*VLOOKUP('Données projet'!$B$15,Paramètres!$A$1:$I$89,3,0)*VLOOKUP('Données projet'!$B$15,Paramètres!$A$1:$I$89,5,0)</f>
        <v>-1.6493686416652052E-13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355.72173590705142</v>
      </c>
      <c r="EP127" s="59">
        <f t="shared" si="100"/>
        <v>346.30980704469363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42.659028020679656</v>
      </c>
      <c r="EW127" s="21">
        <f>EXP(-LN(2)/25)*EW126+(1-EXP(-LN(2)/25))/(LN(2)/25)*Calculateur!ER127*Calculateur!ET127*VLOOKUP('Données projet'!$B$15,Paramètres!$A$1:$I$89,3,0)*0.475*44/12</f>
        <v>0.82570650858873829</v>
      </c>
      <c r="EX127" s="21">
        <f>EXP(-LN(2)/2)*EX126+(1-EXP(-LN(2)/2))/(LN(2)/2)*ER127*EU127*VLOOKUP('Données projet'!$B$15,Paramètres!$A$1:$I$89,3,0)*0.475*44/12</f>
        <v>1.2061236817408467E-5</v>
      </c>
      <c r="EY127" s="22">
        <f t="shared" si="75"/>
        <v>43.48474659050521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-1.383341441396624E-13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304.26232113495314</v>
      </c>
      <c r="FK127" s="59">
        <f t="shared" si="102"/>
        <v>297.47246687305056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44.099130241932933</v>
      </c>
      <c r="FR127" s="21">
        <f>EXP(-LN(2)/25)*FR126+(1-EXP(-LN(2)/25))/(LN(2)/25)*Calculateur!FM127*Calculateur!FO127*VLOOKUP('Données projet'!$B$16,Paramètres!$A$1:$I$89,3,0)*0.475*44/12</f>
        <v>0.85358107189443477</v>
      </c>
      <c r="FS127" s="21">
        <f>EXP(-LN(2)/2)*FS126+(1-EXP(-LN(2)/2))/(LN(2)/2)*FM127*FP127*VLOOKUP('Données projet'!$B$16,Paramètres!$A$1:$I$89,3,0)*0.475*44/12</f>
        <v>1.0115876040407136E-5</v>
      </c>
      <c r="FT127" s="22">
        <f t="shared" si="78"/>
        <v>44.952721429703402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-1.4897523215040567E-13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381.72225529388083</v>
      </c>
      <c r="T128" s="59">
        <f t="shared" si="88"/>
        <v>360.05900046417361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72.820799380997499</v>
      </c>
      <c r="AA128" s="21">
        <f>EXP(-LN(2)/25)*AA127+(1-EXP(-LN(2)/25))/(LN(2)/25)*Calculateur!V128*Calculateur!X128*VLOOKUP('Données projet'!$B$9,Paramètres!$A$1:$I$89,3,0)*0.475*44/12</f>
        <v>9.5683843460800695</v>
      </c>
      <c r="AB128" s="21">
        <f>EXP(-LN(2)/2)*AB127+(1-EXP(-LN(2)/2))/(LN(2)/2)*V128*Y128*VLOOKUP('Données projet'!$B$9,Paramètres!$A$1:$I$89,3,0)*0.475*44/12</f>
        <v>7.9344087320439454E-15</v>
      </c>
      <c r="AC128" s="22">
        <f t="shared" si="57"/>
        <v>82.38918372707758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-4.1677594708744434E-14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464.3681853739115</v>
      </c>
      <c r="AO128" s="59">
        <f t="shared" si="90"/>
        <v>272.97841038165217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116.42045163511872</v>
      </c>
      <c r="AV128" s="21">
        <f>EXP(-LN(2)/25)*AV127+(1-EXP(-LN(2)/25))/(LN(2)/25)*Calculateur!AQ128*Calculateur!AS128*VLOOKUP('Données projet'!$B$10,Paramètres!$A$1:$I$89,3,0)*0.475*44/12</f>
        <v>29.343677092517257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145.76412872763598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-1.3567387213697657E-13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299.10536994156814</v>
      </c>
      <c r="BJ128" s="59">
        <f t="shared" si="92"/>
        <v>292.57799203101769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42.402942941938605</v>
      </c>
      <c r="BQ128" s="21">
        <f>EXP(-LN(2)/25)*BQ127+(1-EXP(-LN(2)/25))/(LN(2)/25)*Calculateur!BL128*Calculateur!BN128*VLOOKUP('Données projet'!$B$11,Paramètres!$A$1:$I$89,3,0)*0.475*44/12</f>
        <v>0.81427370158414936</v>
      </c>
      <c r="BR128" s="21">
        <f>EXP(-LN(2)/2)*BR127+(1-EXP(-LN(2)/2))/(LN(2)/2)*BL128*BO128*VLOOKUP('Données projet'!$B$11,Paramètres!$A$1:$I$89,3,0)*0.475*44/12</f>
        <v>7.0154467660871879E-6</v>
      </c>
      <c r="BS128" s="22">
        <f t="shared" si="63"/>
        <v>43.217223658969523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-1.7053025658242404E-13</v>
      </c>
      <c r="BZ128" s="13">
        <f>BY128*VLOOKUP('Données projet'!$B$12,Paramètres!$A$1:$I$89,3,0)*VLOOKUP('Données projet'!$B$12,Paramètres!$A$1:$I$89,5,0)</f>
        <v>-1.3567387213697657E-13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299.10536994156814</v>
      </c>
      <c r="CE128" s="59">
        <f t="shared" si="94"/>
        <v>292.57799203101769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42.402942941938605</v>
      </c>
      <c r="CL128" s="21">
        <f>EXP(-LN(2)/25)*CL127+(1-EXP(-LN(2)/25))/(LN(2)/25)*Calculateur!CG128*Calculateur!CI128*VLOOKUP('Données projet'!$B$12,Paramètres!$A$1:$I$89,3,0)*0.475*44/12</f>
        <v>0.81427370158414936</v>
      </c>
      <c r="CM128" s="21">
        <f>EXP(-LN(2)/2)*CM127+(1-EXP(-LN(2)/2))/(LN(2)/2)*CG128*CJ128*VLOOKUP('Données projet'!$B$12,Paramètres!$A$1:$I$89,3,0)*0.475*44/12</f>
        <v>7.0154467660871879E-6</v>
      </c>
      <c r="CN128" s="22">
        <f t="shared" si="66"/>
        <v>43.217223658969523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7</v>
      </c>
      <c r="CT128" s="12">
        <f>IF('Données projet'!$A$140&gt;35,CT127+CS128-DB127,IF(A128&lt;'Données projet'!$A$140,$CQ$205^A128,IF(A128='Données projet'!$A$140,'Données projet'!$B$140,CT127+CS128-DB127)))</f>
        <v>369.99999999999966</v>
      </c>
      <c r="CU128" s="17">
        <f>CT128*VLOOKUP('Données projet'!$B$13,Paramètres!$A$1:$I$89,3,0)*VLOOKUP('Données projet'!$B$13,Paramètres!$A$1:$I$89,5,0)</f>
        <v>334.77599999999967</v>
      </c>
      <c r="CV128" s="13">
        <f t="shared" si="95"/>
        <v>78.419664234834713</v>
      </c>
      <c r="CW128" s="20">
        <f t="shared" si="67"/>
        <v>719.6491152090033</v>
      </c>
      <c r="CX128" s="59">
        <f t="shared" si="68"/>
        <v>1012.9824485423367</v>
      </c>
      <c r="CY128" s="59">
        <f ca="1">AVERAGE(OFFSET($CX$3,0,0,'Données projet'!$E$13+1,1))-AVERAGE(OFFSET($H$3,0,0,'Données projet'!$E$13+1,1))</f>
        <v>528.15559695545812</v>
      </c>
      <c r="CZ128" s="59">
        <f t="shared" si="96"/>
        <v>276.26988364830532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38.817224201520062</v>
      </c>
      <c r="DG128" s="21">
        <f>EXP(-LN(2)/25)*DG127+(1-EXP(-LN(2)/25))/(LN(2)/25)*Calculateur!DB128*Calculateur!DD128*VLOOKUP('Données projet'!$B$13,Paramètres!$A$1:$I$89,3,0)*0.475*44/12</f>
        <v>18.858904516599477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57.676128718119543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7</v>
      </c>
      <c r="DO128" s="12">
        <f>IF('Données projet'!$A$166&gt;35,DO127+DN128-DW127,IF(A128&lt;'Données projet'!$A$166,$DL$205^A128,IF(A128='Données projet'!$A$166,'Données projet'!$B$166,DO127+DN128-DW127)))</f>
        <v>369.99999999999966</v>
      </c>
      <c r="DP128" s="17">
        <f>DO128*VLOOKUP('Données projet'!$B$14,Paramètres!$A$1:$I$89,3,0)*VLOOKUP('Données projet'!$B$14,Paramètres!$A$1:$I$89,5,0)</f>
        <v>375.17999999999967</v>
      </c>
      <c r="DQ128" s="13">
        <f t="shared" si="97"/>
        <v>86.726185533084305</v>
      </c>
      <c r="DR128" s="20">
        <f t="shared" si="70"/>
        <v>804.48660647012127</v>
      </c>
      <c r="DS128" s="59">
        <f t="shared" si="71"/>
        <v>1097.8199398034546</v>
      </c>
      <c r="DT128" s="59">
        <f ca="1">AVERAGE(OFFSET($DS$3,0,0,'Données projet'!$E$14+1,1))-AVERAGE(OFFSET($H$3,0,0,'Données projet'!$E$14+1,1))</f>
        <v>586.50020405958992</v>
      </c>
      <c r="DU128" s="59">
        <f t="shared" si="98"/>
        <v>304.44184537595294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43.502061605151809</v>
      </c>
      <c r="EB128" s="21">
        <f>EXP(-LN(2)/25)*EB127+(1-EXP(-LN(2)/25))/(LN(2)/25)*Calculateur!DW128*Calculateur!DY128*VLOOKUP('Données projet'!$B$14,Paramètres!$A$1:$I$89,3,0)*0.475*44/12</f>
        <v>21.134979199637339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64.637040804789152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-1.7053025658242404E-13</v>
      </c>
      <c r="EK128" s="17">
        <f>EJ128*VLOOKUP('Données projet'!$B$15,Paramètres!$A$1:$I$89,3,0)*VLOOKUP('Données projet'!$B$15,Paramètres!$A$1:$I$89,5,0)</f>
        <v>-1.6493686416652052E-13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355.72173590705142</v>
      </c>
      <c r="EP128" s="59">
        <f t="shared" si="100"/>
        <v>346.30980704469363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41.822510500632013</v>
      </c>
      <c r="EW128" s="21">
        <f>EXP(-LN(2)/25)*EW127+(1-EXP(-LN(2)/25))/(LN(2)/25)*Calculateur!ER128*Calculateur!ET128*VLOOKUP('Données projet'!$B$15,Paramètres!$A$1:$I$89,3,0)*0.475*44/12</f>
        <v>0.80312752068936111</v>
      </c>
      <c r="EX128" s="21">
        <f>EXP(-LN(2)/2)*EX127+(1-EXP(-LN(2)/2))/(LN(2)/2)*ER128*EU128*VLOOKUP('Données projet'!$B$15,Paramètres!$A$1:$I$89,3,0)*0.475*44/12</f>
        <v>8.5285823430863795E-6</v>
      </c>
      <c r="EY128" s="22">
        <f t="shared" si="75"/>
        <v>42.625646549903713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-1.383341441396624E-13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304.26232113495314</v>
      </c>
      <c r="FK128" s="59">
        <f t="shared" si="102"/>
        <v>297.47246687305056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43.23437319570214</v>
      </c>
      <c r="FR128" s="21">
        <f>EXP(-LN(2)/25)*FR127+(1-EXP(-LN(2)/25))/(LN(2)/25)*Calculateur!FM128*Calculateur!FO128*VLOOKUP('Données projet'!$B$16,Paramètres!$A$1:$I$89,3,0)*0.475*44/12</f>
        <v>0.83023985259560373</v>
      </c>
      <c r="FS128" s="21">
        <f>EXP(-LN(2)/2)*FS127+(1-EXP(-LN(2)/2))/(LN(2)/2)*FM128*FP128*VLOOKUP('Données projet'!$B$16,Paramètres!$A$1:$I$89,3,0)*0.475*44/12</f>
        <v>7.1530045458144076E-6</v>
      </c>
      <c r="FT128" s="22">
        <f t="shared" si="78"/>
        <v>44.06462020130229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-1.4897523215040567E-13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381.72225529388083</v>
      </c>
      <c r="T129" s="59">
        <f t="shared" si="88"/>
        <v>360.05900046417361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71.392827921438013</v>
      </c>
      <c r="AA129" s="21">
        <f>EXP(-LN(2)/25)*AA128+(1-EXP(-LN(2)/25))/(LN(2)/25)*Calculateur!V129*Calculateur!X129*VLOOKUP('Données projet'!$B$9,Paramètres!$A$1:$I$89,3,0)*0.475*44/12</f>
        <v>9.3067363729570456</v>
      </c>
      <c r="AB129" s="21">
        <f>EXP(-LN(2)/2)*AB128+(1-EXP(-LN(2)/2))/(LN(2)/2)*V129*Y129*VLOOKUP('Données projet'!$B$9,Paramètres!$A$1:$I$89,3,0)*0.475*44/12</f>
        <v>5.6104742191340302E-15</v>
      </c>
      <c r="AC129" s="22">
        <f t="shared" si="57"/>
        <v>80.69956429439506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-4.1677594708744434E-14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464.3681853739115</v>
      </c>
      <c r="AO129" s="59">
        <f t="shared" si="90"/>
        <v>272.97841038165217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114.13751758801794</v>
      </c>
      <c r="AV129" s="21">
        <f>EXP(-LN(2)/25)*AV128+(1-EXP(-LN(2)/25))/(LN(2)/25)*Calculateur!AQ129*Calculateur!AS129*VLOOKUP('Données projet'!$B$10,Paramètres!$A$1:$I$89,3,0)*0.475*44/12</f>
        <v>28.541272699305459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142.67879028732341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-1.3567387213697657E-13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299.10536994156814</v>
      </c>
      <c r="BJ129" s="59">
        <f t="shared" si="92"/>
        <v>292.57799203101769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41.571447094088597</v>
      </c>
      <c r="BQ129" s="21">
        <f>EXP(-LN(2)/25)*BQ128+(1-EXP(-LN(2)/25))/(LN(2)/25)*Calculateur!BL129*Calculateur!BN129*VLOOKUP('Données projet'!$B$11,Paramètres!$A$1:$I$89,3,0)*0.475*44/12</f>
        <v>0.79200734439353793</v>
      </c>
      <c r="BR129" s="21">
        <f>EXP(-LN(2)/2)*BR128+(1-EXP(-LN(2)/2))/(LN(2)/2)*BL129*BO129*VLOOKUP('Données projet'!$B$11,Paramètres!$A$1:$I$89,3,0)*0.475*44/12</f>
        <v>4.9606699813534855E-6</v>
      </c>
      <c r="BS129" s="22">
        <f t="shared" si="63"/>
        <v>42.36345939915212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-1.7053025658242404E-13</v>
      </c>
      <c r="BZ129" s="13">
        <f>BY129*VLOOKUP('Données projet'!$B$12,Paramètres!$A$1:$I$89,3,0)*VLOOKUP('Données projet'!$B$12,Paramètres!$A$1:$I$89,5,0)</f>
        <v>-1.3567387213697657E-13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299.10536994156814</v>
      </c>
      <c r="CE129" s="59">
        <f t="shared" si="94"/>
        <v>292.57799203101769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41.571447094088597</v>
      </c>
      <c r="CL129" s="21">
        <f>EXP(-LN(2)/25)*CL128+(1-EXP(-LN(2)/25))/(LN(2)/25)*Calculateur!CG129*Calculateur!CI129*VLOOKUP('Données projet'!$B$12,Paramètres!$A$1:$I$89,3,0)*0.475*44/12</f>
        <v>0.79200734439353793</v>
      </c>
      <c r="CM129" s="21">
        <f>EXP(-LN(2)/2)*CM128+(1-EXP(-LN(2)/2))/(LN(2)/2)*CG129*CJ129*VLOOKUP('Données projet'!$B$12,Paramètres!$A$1:$I$89,3,0)*0.475*44/12</f>
        <v>4.9606699813534855E-6</v>
      </c>
      <c r="CN129" s="22">
        <f t="shared" si="66"/>
        <v>42.36345939915212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7</v>
      </c>
      <c r="CT129" s="12">
        <f>IF('Données projet'!$A$140&gt;35,CT128+CS129-DB128,IF(A129&lt;'Données projet'!$A$140,$CQ$205^A129,IF(A129='Données projet'!$A$140,'Données projet'!$B$140,CT128+CS129-DB128)))</f>
        <v>376.99999999999966</v>
      </c>
      <c r="CU129" s="17">
        <f>CT129*VLOOKUP('Données projet'!$B$13,Paramètres!$A$1:$I$89,3,0)*VLOOKUP('Données projet'!$B$13,Paramètres!$A$1:$I$89,5,0)</f>
        <v>341.10959999999972</v>
      </c>
      <c r="CV129" s="13">
        <f t="shared" si="95"/>
        <v>79.729153316624988</v>
      </c>
      <c r="CW129" s="20">
        <f t="shared" si="67"/>
        <v>732.96082869312124</v>
      </c>
      <c r="CX129" s="59">
        <f t="shared" si="68"/>
        <v>1026.2941620264546</v>
      </c>
      <c r="CY129" s="59">
        <f ca="1">AVERAGE(OFFSET($CX$3,0,0,'Données projet'!$E$13+1,1))-AVERAGE(OFFSET($H$3,0,0,'Données projet'!$E$13+1,1))</f>
        <v>528.15559695545812</v>
      </c>
      <c r="CZ129" s="59">
        <f t="shared" si="96"/>
        <v>276.26988364830532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38.056042111097192</v>
      </c>
      <c r="DG129" s="21">
        <f>EXP(-LN(2)/25)*DG128+(1-EXP(-LN(2)/25))/(LN(2)/25)*Calculateur!DB129*Calculateur!DD129*VLOOKUP('Données projet'!$B$13,Paramètres!$A$1:$I$89,3,0)*0.475*44/12</f>
        <v>18.34320678084638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56.399248891943571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</v>
      </c>
      <c r="DO129" s="12">
        <f>IF('Données projet'!$A$166&gt;35,DO128+DN129-DW128,IF(A129&lt;'Données projet'!$A$166,$DL$205^A129,IF(A129='Données projet'!$A$166,'Données projet'!$B$166,DO128+DN129-DW128)))</f>
        <v>376.99999999999966</v>
      </c>
      <c r="DP129" s="17">
        <f>DO129*VLOOKUP('Données projet'!$B$14,Paramètres!$A$1:$I$89,3,0)*VLOOKUP('Données projet'!$B$14,Paramètres!$A$1:$I$89,5,0)</f>
        <v>382.27799999999968</v>
      </c>
      <c r="DQ129" s="13">
        <f t="shared" si="97"/>
        <v>88.174380882669055</v>
      </c>
      <c r="DR129" s="20">
        <f t="shared" si="70"/>
        <v>819.3712300373146</v>
      </c>
      <c r="DS129" s="59">
        <f t="shared" si="71"/>
        <v>1112.704563370648</v>
      </c>
      <c r="DT129" s="59">
        <f ca="1">AVERAGE(OFFSET($DS$3,0,0,'Données projet'!$E$14+1,1))-AVERAGE(OFFSET($H$3,0,0,'Données projet'!$E$14+1,1))</f>
        <v>586.50020405958992</v>
      </c>
      <c r="DU129" s="59">
        <f t="shared" si="98"/>
        <v>304.44184537595294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42.649012710712384</v>
      </c>
      <c r="EB129" s="21">
        <f>EXP(-LN(2)/25)*EB128+(1-EXP(-LN(2)/25))/(LN(2)/25)*Calculateur!DW129*Calculateur!DY129*VLOOKUP('Données projet'!$B$14,Paramètres!$A$1:$I$89,3,0)*0.475*44/12</f>
        <v>20.557042081983006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63.20605479269539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-1.7053025658242404E-13</v>
      </c>
      <c r="EK129" s="17">
        <f>EJ129*VLOOKUP('Données projet'!$B$15,Paramètres!$A$1:$I$89,3,0)*VLOOKUP('Données projet'!$B$15,Paramètres!$A$1:$I$89,5,0)</f>
        <v>-1.6493686416652052E-13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355.72173590705142</v>
      </c>
      <c r="EP129" s="59">
        <f t="shared" si="100"/>
        <v>346.30980704469363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41.002396578927197</v>
      </c>
      <c r="EW129" s="21">
        <f>EXP(-LN(2)/25)*EW128+(1-EXP(-LN(2)/25))/(LN(2)/25)*Calculateur!ER129*Calculateur!ET129*VLOOKUP('Données projet'!$B$15,Paramètres!$A$1:$I$89,3,0)*0.475*44/12</f>
        <v>0.7811659564014698</v>
      </c>
      <c r="EX129" s="21">
        <f>EXP(-LN(2)/2)*EX128+(1-EXP(-LN(2)/2))/(LN(2)/2)*ER129*EU129*VLOOKUP('Données projet'!$B$15,Paramètres!$A$1:$I$89,3,0)*0.475*44/12</f>
        <v>6.0306184087042335E-6</v>
      </c>
      <c r="EY129" s="22">
        <f t="shared" si="75"/>
        <v>41.783568565947078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-1.383341441396624E-13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304.26232113495314</v>
      </c>
      <c r="FK129" s="59">
        <f t="shared" si="102"/>
        <v>297.47246687305056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42.386573507698216</v>
      </c>
      <c r="FR129" s="21">
        <f>EXP(-LN(2)/25)*FR128+(1-EXP(-LN(2)/25))/(LN(2)/25)*Calculateur!FM129*Calculateur!FO129*VLOOKUP('Données projet'!$B$16,Paramètres!$A$1:$I$89,3,0)*0.475*44/12</f>
        <v>0.80753690016596069</v>
      </c>
      <c r="FS129" s="21">
        <f>EXP(-LN(2)/2)*FS128+(1-EXP(-LN(2)/2))/(LN(2)/2)*FM129*FP129*VLOOKUP('Données projet'!$B$16,Paramètres!$A$1:$I$89,3,0)*0.475*44/12</f>
        <v>5.057938020203568E-6</v>
      </c>
      <c r="FT129" s="22">
        <f t="shared" si="78"/>
        <v>43.194115465802199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-1.4897523215040567E-13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381.72225529388083</v>
      </c>
      <c r="T130" s="59">
        <f t="shared" si="88"/>
        <v>360.05900046417361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69.992858111223896</v>
      </c>
      <c r="AA130" s="21">
        <f>EXP(-LN(2)/25)*AA129+(1-EXP(-LN(2)/25))/(LN(2)/25)*Calculateur!V130*Calculateur!X130*VLOOKUP('Données projet'!$B$9,Paramètres!$A$1:$I$89,3,0)*0.475*44/12</f>
        <v>9.052243177418541</v>
      </c>
      <c r="AB130" s="21">
        <f>EXP(-LN(2)/2)*AB129+(1-EXP(-LN(2)/2))/(LN(2)/2)*V130*Y130*VLOOKUP('Données projet'!$B$9,Paramètres!$A$1:$I$89,3,0)*0.475*44/12</f>
        <v>3.9672043660219727E-15</v>
      </c>
      <c r="AC130" s="22">
        <f t="shared" si="57"/>
        <v>79.045101288642442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-4.1677594708744434E-14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464.3681853739115</v>
      </c>
      <c r="AO130" s="59">
        <f t="shared" si="90"/>
        <v>272.97841038165217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111.89935048512854</v>
      </c>
      <c r="AV130" s="21">
        <f>EXP(-LN(2)/25)*AV129+(1-EXP(-LN(2)/25))/(LN(2)/25)*Calculateur!AQ130*Calculateur!AS130*VLOOKUP('Données projet'!$B$10,Paramètres!$A$1:$I$89,3,0)*0.475*44/12</f>
        <v>27.760810096422652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139.6601605815512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-1.3567387213697657E-13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299.10536994156814</v>
      </c>
      <c r="BJ130" s="59">
        <f t="shared" si="92"/>
        <v>292.57799203101769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40.756256372652544</v>
      </c>
      <c r="BQ130" s="21">
        <f>EXP(-LN(2)/25)*BQ129+(1-EXP(-LN(2)/25))/(LN(2)/25)*Calculateur!BL130*Calculateur!BN130*VLOOKUP('Données projet'!$B$11,Paramètres!$A$1:$I$89,3,0)*0.475*44/12</f>
        <v>0.77034986191124055</v>
      </c>
      <c r="BR130" s="21">
        <f>EXP(-LN(2)/2)*BR129+(1-EXP(-LN(2)/2))/(LN(2)/2)*BL130*BO130*VLOOKUP('Données projet'!$B$11,Paramètres!$A$1:$I$89,3,0)*0.475*44/12</f>
        <v>3.5077233830435939E-6</v>
      </c>
      <c r="BS130" s="22">
        <f t="shared" si="63"/>
        <v>41.526609742287171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-1.7053025658242404E-13</v>
      </c>
      <c r="BZ130" s="13">
        <f>BY130*VLOOKUP('Données projet'!$B$12,Paramètres!$A$1:$I$89,3,0)*VLOOKUP('Données projet'!$B$12,Paramètres!$A$1:$I$89,5,0)</f>
        <v>-1.3567387213697657E-13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299.10536994156814</v>
      </c>
      <c r="CE130" s="59">
        <f t="shared" si="94"/>
        <v>292.57799203101769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40.756256372652544</v>
      </c>
      <c r="CL130" s="21">
        <f>EXP(-LN(2)/25)*CL129+(1-EXP(-LN(2)/25))/(LN(2)/25)*Calculateur!CG130*Calculateur!CI130*VLOOKUP('Données projet'!$B$12,Paramètres!$A$1:$I$89,3,0)*0.475*44/12</f>
        <v>0.77034986191124055</v>
      </c>
      <c r="CM130" s="21">
        <f>EXP(-LN(2)/2)*CM129+(1-EXP(-LN(2)/2))/(LN(2)/2)*CG130*CJ130*VLOOKUP('Données projet'!$B$12,Paramètres!$A$1:$I$89,3,0)*0.475*44/12</f>
        <v>3.5077233830435939E-6</v>
      </c>
      <c r="CN130" s="22">
        <f t="shared" si="66"/>
        <v>41.526609742287171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7</v>
      </c>
      <c r="CT130" s="12">
        <f>IF('Données projet'!$A$140&gt;35,CT129+CS130-DB129,IF(A130&lt;'Données projet'!$A$140,$CQ$205^A130,IF(A130='Données projet'!$A$140,'Données projet'!$B$140,CT129+CS130-DB129)))</f>
        <v>383.99999999999966</v>
      </c>
      <c r="CU130" s="17">
        <f>CT130*VLOOKUP('Données projet'!$B$13,Paramètres!$A$1:$I$89,3,0)*VLOOKUP('Données projet'!$B$13,Paramètres!$A$1:$I$89,5,0)</f>
        <v>347.44319999999971</v>
      </c>
      <c r="CV130" s="13">
        <f t="shared" si="95"/>
        <v>81.035815119183155</v>
      </c>
      <c r="CW130" s="20">
        <f t="shared" si="67"/>
        <v>746.2676179992435</v>
      </c>
      <c r="CX130" s="59">
        <f t="shared" si="68"/>
        <v>1039.6009513325769</v>
      </c>
      <c r="CY130" s="59">
        <f ca="1">AVERAGE(OFFSET($CX$3,0,0,'Données projet'!$E$13+1,1))-AVERAGE(OFFSET($H$3,0,0,'Données projet'!$E$13+1,1))</f>
        <v>528.15559695545812</v>
      </c>
      <c r="CZ130" s="59">
        <f t="shared" si="96"/>
        <v>276.26988364830532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37.309786337192278</v>
      </c>
      <c r="DG130" s="21">
        <f>EXP(-LN(2)/25)*DG129+(1-EXP(-LN(2)/25))/(LN(2)/25)*Calculateur!DB130*Calculateur!DD130*VLOOKUP('Données projet'!$B$13,Paramètres!$A$1:$I$89,3,0)*0.475*44/12</f>
        <v>17.841610826796813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55.151397163989088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</v>
      </c>
      <c r="DO130" s="12">
        <f>IF('Données projet'!$A$166&gt;35,DO129+DN130-DW129,IF(A130&lt;'Données projet'!$A$166,$DL$205^A130,IF(A130='Données projet'!$A$166,'Données projet'!$B$166,DO129+DN130-DW129)))</f>
        <v>383.99999999999966</v>
      </c>
      <c r="DP130" s="17">
        <f>DO130*VLOOKUP('Données projet'!$B$14,Paramètres!$A$1:$I$89,3,0)*VLOOKUP('Données projet'!$B$14,Paramètres!$A$1:$I$89,5,0)</f>
        <v>389.37599999999969</v>
      </c>
      <c r="DQ130" s="13">
        <f t="shared" si="97"/>
        <v>89.619449476412342</v>
      </c>
      <c r="DR130" s="20">
        <f t="shared" si="70"/>
        <v>834.25040783808424</v>
      </c>
      <c r="DS130" s="59">
        <f t="shared" si="71"/>
        <v>1127.5837411714176</v>
      </c>
      <c r="DT130" s="59">
        <f ca="1">AVERAGE(OFFSET($DS$3,0,0,'Données projet'!$E$14+1,1))-AVERAGE(OFFSET($H$3,0,0,'Données projet'!$E$14+1,1))</f>
        <v>586.50020405958992</v>
      </c>
      <c r="DU130" s="59">
        <f t="shared" si="98"/>
        <v>304.44184537595294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41.812691584784467</v>
      </c>
      <c r="EB130" s="21">
        <f>EXP(-LN(2)/25)*EB129+(1-EXP(-LN(2)/25))/(LN(2)/25)*Calculateur!DW130*Calculateur!DY130*VLOOKUP('Données projet'!$B$14,Paramètres!$A$1:$I$89,3,0)*0.475*44/12</f>
        <v>19.99490868520332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61.807600269987788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-1.7053025658242404E-13</v>
      </c>
      <c r="EK130" s="17">
        <f>EJ130*VLOOKUP('Données projet'!$B$15,Paramètres!$A$1:$I$89,3,0)*VLOOKUP('Données projet'!$B$15,Paramètres!$A$1:$I$89,5,0)</f>
        <v>-1.6493686416652052E-13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355.72173590705142</v>
      </c>
      <c r="EP130" s="59">
        <f t="shared" si="100"/>
        <v>346.30980704469363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40.198364591006914</v>
      </c>
      <c r="EW130" s="21">
        <f>EXP(-LN(2)/25)*EW129+(1-EXP(-LN(2)/25))/(LN(2)/25)*Calculateur!ER130*Calculateur!ET130*VLOOKUP('Données projet'!$B$15,Paramètres!$A$1:$I$89,3,0)*0.475*44/12</f>
        <v>0.7598049322439393</v>
      </c>
      <c r="EX130" s="21">
        <f>EXP(-LN(2)/2)*EX129+(1-EXP(-LN(2)/2))/(LN(2)/2)*ER130*EU130*VLOOKUP('Données projet'!$B$15,Paramètres!$A$1:$I$89,3,0)*0.475*44/12</f>
        <v>4.2642911715431898E-6</v>
      </c>
      <c r="EY130" s="22">
        <f t="shared" si="75"/>
        <v>40.958173787542023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-1.383341441396624E-13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304.26232113495314</v>
      </c>
      <c r="FK130" s="59">
        <f t="shared" si="102"/>
        <v>297.47246687305056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41.555398654469293</v>
      </c>
      <c r="FR130" s="21">
        <f>EXP(-LN(2)/25)*FR129+(1-EXP(-LN(2)/25))/(LN(2)/25)*Calculateur!FM130*Calculateur!FO130*VLOOKUP('Données projet'!$B$16,Paramètres!$A$1:$I$89,3,0)*0.475*44/12</f>
        <v>0.7854547611644026</v>
      </c>
      <c r="FS130" s="21">
        <f>EXP(-LN(2)/2)*FS129+(1-EXP(-LN(2)/2))/(LN(2)/2)*FM130*FP130*VLOOKUP('Données projet'!$B$16,Paramètres!$A$1:$I$89,3,0)*0.475*44/12</f>
        <v>3.5765022729072038E-6</v>
      </c>
      <c r="FT130" s="22">
        <f t="shared" si="78"/>
        <v>42.340856992135969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-1.4897523215040567E-13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381.72225529388083</v>
      </c>
      <c r="T131" s="59">
        <f t="shared" si="88"/>
        <v>360.05900046417361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68.620340855090816</v>
      </c>
      <c r="AA131" s="21">
        <f>EXP(-LN(2)/25)*AA130+(1-EXP(-LN(2)/25))/(LN(2)/25)*Calculateur!V131*Calculateur!X131*VLOOKUP('Données projet'!$B$9,Paramètres!$A$1:$I$89,3,0)*0.475*44/12</f>
        <v>8.8047091116952512</v>
      </c>
      <c r="AB131" s="21">
        <f>EXP(-LN(2)/2)*AB130+(1-EXP(-LN(2)/2))/(LN(2)/2)*V131*Y131*VLOOKUP('Données projet'!$B$9,Paramètres!$A$1:$I$89,3,0)*0.475*44/12</f>
        <v>2.8052371095670151E-15</v>
      </c>
      <c r="AC131" s="22">
        <f t="shared" si="57"/>
        <v>77.425049966786062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-4.1677594708744434E-14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464.3681853739115</v>
      </c>
      <c r="AO131" s="59">
        <f t="shared" si="90"/>
        <v>272.97841038165217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109.70507247397966</v>
      </c>
      <c r="AV131" s="21">
        <f>EXP(-LN(2)/25)*AV130+(1-EXP(-LN(2)/25))/(LN(2)/25)*Calculateur!AQ131*Calculateur!AS131*VLOOKUP('Données projet'!$B$10,Paramètres!$A$1:$I$89,3,0)*0.475*44/12</f>
        <v>27.001689284458418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136.70676175843806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-1.3567387213697657E-13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299.10536994156814</v>
      </c>
      <c r="BJ131" s="59">
        <f t="shared" si="92"/>
        <v>292.57799203101769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39.957051044046608</v>
      </c>
      <c r="BQ131" s="21">
        <f>EXP(-LN(2)/25)*BQ130+(1-EXP(-LN(2)/25))/(LN(2)/25)*Calculateur!BL131*Calculateur!BN131*VLOOKUP('Données projet'!$B$11,Paramètres!$A$1:$I$89,3,0)*0.475*44/12</f>
        <v>0.74928460442633915</v>
      </c>
      <c r="BR131" s="21">
        <f>EXP(-LN(2)/2)*BR130+(1-EXP(-LN(2)/2))/(LN(2)/2)*BL131*BO131*VLOOKUP('Données projet'!$B$11,Paramètres!$A$1:$I$89,3,0)*0.475*44/12</f>
        <v>2.4803349906767428E-6</v>
      </c>
      <c r="BS131" s="22">
        <f t="shared" si="63"/>
        <v>40.706338128807936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-1.7053025658242404E-13</v>
      </c>
      <c r="BZ131" s="13">
        <f>BY131*VLOOKUP('Données projet'!$B$12,Paramètres!$A$1:$I$89,3,0)*VLOOKUP('Données projet'!$B$12,Paramètres!$A$1:$I$89,5,0)</f>
        <v>-1.3567387213697657E-13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299.10536994156814</v>
      </c>
      <c r="CE131" s="59">
        <f t="shared" si="94"/>
        <v>292.57799203101769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39.957051044046608</v>
      </c>
      <c r="CL131" s="21">
        <f>EXP(-LN(2)/25)*CL130+(1-EXP(-LN(2)/25))/(LN(2)/25)*Calculateur!CG131*Calculateur!CI131*VLOOKUP('Données projet'!$B$12,Paramètres!$A$1:$I$89,3,0)*0.475*44/12</f>
        <v>0.74928460442633915</v>
      </c>
      <c r="CM131" s="21">
        <f>EXP(-LN(2)/2)*CM130+(1-EXP(-LN(2)/2))/(LN(2)/2)*CG131*CJ131*VLOOKUP('Données projet'!$B$12,Paramètres!$A$1:$I$89,3,0)*0.475*44/12</f>
        <v>2.4803349906767428E-6</v>
      </c>
      <c r="CN131" s="22">
        <f t="shared" si="66"/>
        <v>40.706338128807936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7</v>
      </c>
      <c r="CT131" s="12">
        <f>IF('Données projet'!$A$140&gt;35,CT130+CS131-DB130,IF(A131&lt;'Données projet'!$A$140,$CQ$205^A131,IF(A131='Données projet'!$A$140,'Données projet'!$B$140,CT130+CS131-DB130)))</f>
        <v>390.99999999999966</v>
      </c>
      <c r="CU131" s="17">
        <f>CT131*VLOOKUP('Données projet'!$B$13,Paramètres!$A$1:$I$89,3,0)*VLOOKUP('Données projet'!$B$13,Paramètres!$A$1:$I$89,5,0)</f>
        <v>353.77679999999964</v>
      </c>
      <c r="CV131" s="13">
        <f t="shared" si="95"/>
        <v>82.33970712600572</v>
      </c>
      <c r="CW131" s="20">
        <f t="shared" si="67"/>
        <v>759.5695832444593</v>
      </c>
      <c r="CX131" s="59">
        <f t="shared" si="68"/>
        <v>1052.9029165777927</v>
      </c>
      <c r="CY131" s="59">
        <f ca="1">AVERAGE(OFFSET($CX$3,0,0,'Données projet'!$E$13+1,1))-AVERAGE(OFFSET($H$3,0,0,'Données projet'!$E$13+1,1))</f>
        <v>528.15559695545812</v>
      </c>
      <c r="CZ131" s="59">
        <f t="shared" si="96"/>
        <v>276.26988364830532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36.578164183842567</v>
      </c>
      <c r="DG131" s="21">
        <f>EXP(-LN(2)/25)*DG130+(1-EXP(-LN(2)/25))/(LN(2)/25)*Calculateur!DB131*Calculateur!DD131*VLOOKUP('Données projet'!$B$13,Paramètres!$A$1:$I$89,3,0)*0.475*44/12</f>
        <v>17.353731040488519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53.931895224331086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</v>
      </c>
      <c r="DO131" s="12">
        <f>IF('Données projet'!$A$166&gt;35,DO130+DN131-DW130,IF(A131&lt;'Données projet'!$A$166,$DL$205^A131,IF(A131='Données projet'!$A$166,'Données projet'!$B$166,DO130+DN131-DW130)))</f>
        <v>390.99999999999966</v>
      </c>
      <c r="DP131" s="17">
        <f>DO131*VLOOKUP('Données projet'!$B$14,Paramètres!$A$1:$I$89,3,0)*VLOOKUP('Données projet'!$B$14,Paramètres!$A$1:$I$89,5,0)</f>
        <v>396.47399999999965</v>
      </c>
      <c r="DQ131" s="13">
        <f t="shared" si="97"/>
        <v>91.061454886690129</v>
      </c>
      <c r="DR131" s="20">
        <f t="shared" si="70"/>
        <v>849.12425059431791</v>
      </c>
      <c r="DS131" s="59">
        <f t="shared" si="71"/>
        <v>1142.4575839276513</v>
      </c>
      <c r="DT131" s="59">
        <f ca="1">AVERAGE(OFFSET($DS$3,0,0,'Données projet'!$E$14+1,1))-AVERAGE(OFFSET($H$3,0,0,'Données projet'!$E$14+1,1))</f>
        <v>586.50020405958992</v>
      </c>
      <c r="DU131" s="59">
        <f t="shared" si="98"/>
        <v>304.44184537595294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40.992770206030478</v>
      </c>
      <c r="EB131" s="21">
        <f>EXP(-LN(2)/25)*EB130+(1-EXP(-LN(2)/25))/(LN(2)/25)*Calculateur!DW131*Calculateur!DY131*VLOOKUP('Données projet'!$B$14,Paramètres!$A$1:$I$89,3,0)*0.475*44/12</f>
        <v>19.448146855719887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60.440917061750369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-1.7053025658242404E-13</v>
      </c>
      <c r="EK131" s="17">
        <f>EJ131*VLOOKUP('Données projet'!$B$15,Paramètres!$A$1:$I$89,3,0)*VLOOKUP('Données projet'!$B$15,Paramètres!$A$1:$I$89,5,0)</f>
        <v>-1.6493686416652052E-13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355.72173590705142</v>
      </c>
      <c r="EP131" s="59">
        <f t="shared" si="100"/>
        <v>346.30980704469363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39.410099179958664</v>
      </c>
      <c r="EW131" s="21">
        <f>EXP(-LN(2)/25)*EW130+(1-EXP(-LN(2)/25))/(LN(2)/25)*Calculateur!ER131*Calculateur!ET131*VLOOKUP('Données projet'!$B$15,Paramètres!$A$1:$I$89,3,0)*0.475*44/12</f>
        <v>0.73902802641532395</v>
      </c>
      <c r="EX131" s="21">
        <f>EXP(-LN(2)/2)*EX130+(1-EXP(-LN(2)/2))/(LN(2)/2)*ER131*EU131*VLOOKUP('Données projet'!$B$15,Paramètres!$A$1:$I$89,3,0)*0.475*44/12</f>
        <v>3.0153092043521168E-6</v>
      </c>
      <c r="EY131" s="22">
        <f t="shared" si="75"/>
        <v>40.149130221683194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-1.383341441396624E-13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304.26232113495314</v>
      </c>
      <c r="FK131" s="59">
        <f t="shared" si="102"/>
        <v>297.47246687305056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40.740522633145588</v>
      </c>
      <c r="FR131" s="21">
        <f>EXP(-LN(2)/25)*FR130+(1-EXP(-LN(2)/25))/(LN(2)/25)*Calculateur!FM131*Calculateur!FO131*VLOOKUP('Données projet'!$B$16,Paramètres!$A$1:$I$89,3,0)*0.475*44/12</f>
        <v>0.76397645941509129</v>
      </c>
      <c r="FS131" s="21">
        <f>EXP(-LN(2)/2)*FS130+(1-EXP(-LN(2)/2))/(LN(2)/2)*FM131*FP131*VLOOKUP('Données projet'!$B$16,Paramètres!$A$1:$I$89,3,0)*0.475*44/12</f>
        <v>2.528969010101784E-6</v>
      </c>
      <c r="FT131" s="22">
        <f t="shared" si="78"/>
        <v>41.504501621529691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-1.4897523215040567E-13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381.72225529388083</v>
      </c>
      <c r="T132" s="59">
        <f t="shared" si="88"/>
        <v>360.05900046417361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67.274737825197647</v>
      </c>
      <c r="AA132" s="21">
        <f>EXP(-LN(2)/25)*AA131+(1-EXP(-LN(2)/25))/(LN(2)/25)*Calculateur!V132*Calculateur!X132*VLOOKUP('Données projet'!$B$9,Paramètres!$A$1:$I$89,3,0)*0.475*44/12</f>
        <v>8.5639438780164152</v>
      </c>
      <c r="AB132" s="21">
        <f>EXP(-LN(2)/2)*AB131+(1-EXP(-LN(2)/2))/(LN(2)/2)*V132*Y132*VLOOKUP('Données projet'!$B$9,Paramètres!$A$1:$I$89,3,0)*0.475*44/12</f>
        <v>1.9836021830109864E-15</v>
      </c>
      <c r="AC132" s="22">
        <f t="shared" ref="AC132:AC153" si="111">SUM(Z132:AB132)</f>
        <v>75.838681703214064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-4.1677594708744434E-14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464.3681853739115</v>
      </c>
      <c r="AO132" s="59">
        <f t="shared" si="90"/>
        <v>272.97841038165217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107.55382291625196</v>
      </c>
      <c r="AV132" s="21">
        <f>EXP(-LN(2)/25)*AV131+(1-EXP(-LN(2)/25))/(LN(2)/25)*Calculateur!AQ132*Calculateur!AS132*VLOOKUP('Données projet'!$B$10,Paramètres!$A$1:$I$89,3,0)*0.475*44/12</f>
        <v>26.263326671017776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133.81714958726974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-1.3567387213697657E-13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299.10536994156814</v>
      </c>
      <c r="BJ132" s="59">
        <f t="shared" si="92"/>
        <v>292.57799203101769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39.173517644467516</v>
      </c>
      <c r="BQ132" s="21">
        <f>EXP(-LN(2)/25)*BQ131+(1-EXP(-LN(2)/25))/(LN(2)/25)*Calculateur!BL132*Calculateur!BN132*VLOOKUP('Données projet'!$B$11,Paramètres!$A$1:$I$89,3,0)*0.475*44/12</f>
        <v>0.72879537751513612</v>
      </c>
      <c r="BR132" s="21">
        <f>EXP(-LN(2)/2)*BR131+(1-EXP(-LN(2)/2))/(LN(2)/2)*BL132*BO132*VLOOKUP('Données projet'!$B$11,Paramètres!$A$1:$I$89,3,0)*0.475*44/12</f>
        <v>1.753861691521797E-6</v>
      </c>
      <c r="BS132" s="22">
        <f t="shared" ref="BS132:BS153" si="117">SUM(BP132:BR132)</f>
        <v>39.902314775844339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-1.7053025658242404E-13</v>
      </c>
      <c r="BZ132" s="13">
        <f>BY132*VLOOKUP('Données projet'!$B$12,Paramètres!$A$1:$I$89,3,0)*VLOOKUP('Données projet'!$B$12,Paramètres!$A$1:$I$89,5,0)</f>
        <v>-1.3567387213697657E-13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299.10536994156814</v>
      </c>
      <c r="CE132" s="59">
        <f t="shared" si="94"/>
        <v>292.57799203101769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39.173517644467516</v>
      </c>
      <c r="CL132" s="21">
        <f>EXP(-LN(2)/25)*CL131+(1-EXP(-LN(2)/25))/(LN(2)/25)*Calculateur!CG132*Calculateur!CI132*VLOOKUP('Données projet'!$B$12,Paramètres!$A$1:$I$89,3,0)*0.475*44/12</f>
        <v>0.72879537751513612</v>
      </c>
      <c r="CM132" s="21">
        <f>EXP(-LN(2)/2)*CM131+(1-EXP(-LN(2)/2))/(LN(2)/2)*CG132*CJ132*VLOOKUP('Données projet'!$B$12,Paramètres!$A$1:$I$89,3,0)*0.475*44/12</f>
        <v>1.753861691521797E-6</v>
      </c>
      <c r="CN132" s="22">
        <f t="shared" ref="CN132:CN153" si="120">SUM(CK132:CM132)</f>
        <v>39.902314775844339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7</v>
      </c>
      <c r="CT132" s="12">
        <f>IF('Données projet'!$A$140&gt;35,CT131+CS132-DB131,IF(A132&lt;'Données projet'!$A$140,$CQ$205^A132,IF(A132='Données projet'!$A$140,'Données projet'!$B$140,CT131+CS132-DB131)))</f>
        <v>397.99999999999966</v>
      </c>
      <c r="CU132" s="17">
        <f>CT132*VLOOKUP('Données projet'!$B$13,Paramètres!$A$1:$I$89,3,0)*VLOOKUP('Données projet'!$B$13,Paramètres!$A$1:$I$89,5,0)</f>
        <v>360.11039999999969</v>
      </c>
      <c r="CV132" s="13">
        <f t="shared" si="95"/>
        <v>83.640884644487258</v>
      </c>
      <c r="CW132" s="20">
        <f t="shared" ref="CW132:CW153" si="121">(CU132+CV132)*0.475*44/12</f>
        <v>772.86682075581473</v>
      </c>
      <c r="CX132" s="59">
        <f t="shared" ref="CX132:CX195" si="122">CW132+(CO132+CP132)*44/12</f>
        <v>1066.2001540891481</v>
      </c>
      <c r="CY132" s="59">
        <f ca="1">AVERAGE(OFFSET($CX$3,0,0,'Données projet'!$E$13+1,1))-AVERAGE(OFFSET($H$3,0,0,'Données projet'!$E$13+1,1))</f>
        <v>528.15559695545812</v>
      </c>
      <c r="CZ132" s="59">
        <f t="shared" si="96"/>
        <v>276.26988364830532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35.860888694674593</v>
      </c>
      <c r="DG132" s="21">
        <f>EXP(-LN(2)/25)*DG131+(1-EXP(-LN(2)/25))/(LN(2)/25)*Calculateur!DB132*Calculateur!DD132*VLOOKUP('Données projet'!$B$13,Paramètres!$A$1:$I$89,3,0)*0.475*44/12</f>
        <v>16.879192352593307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52.7400810472679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</v>
      </c>
      <c r="DO132" s="12">
        <f>IF('Données projet'!$A$166&gt;35,DO131+DN132-DW131,IF(A132&lt;'Données projet'!$A$166,$DL$205^A132,IF(A132='Données projet'!$A$166,'Données projet'!$B$166,DO131+DN132-DW131)))</f>
        <v>397.99999999999966</v>
      </c>
      <c r="DP132" s="17">
        <f>DO132*VLOOKUP('Données projet'!$B$14,Paramètres!$A$1:$I$89,3,0)*VLOOKUP('Données projet'!$B$14,Paramètres!$A$1:$I$89,5,0)</f>
        <v>403.57199999999966</v>
      </c>
      <c r="DQ132" s="13">
        <f t="shared" si="97"/>
        <v>92.500458279275193</v>
      </c>
      <c r="DR132" s="20">
        <f t="shared" ref="DR132:DR153" si="124">(DP132+DQ132)*0.475*44/12</f>
        <v>863.99286483640378</v>
      </c>
      <c r="DS132" s="59">
        <f t="shared" ref="DS132:DS195" si="125">DR132+(DJ132+DK132)*44/12</f>
        <v>1157.3261981697372</v>
      </c>
      <c r="DT132" s="59">
        <f ca="1">AVERAGE(OFFSET($DS$3,0,0,'Données projet'!$E$14+1,1))-AVERAGE(OFFSET($H$3,0,0,'Données projet'!$E$14+1,1))</f>
        <v>586.50020405958992</v>
      </c>
      <c r="DU132" s="59">
        <f t="shared" si="98"/>
        <v>304.44184537595294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40.188926985411193</v>
      </c>
      <c r="EB132" s="21">
        <f>EXP(-LN(2)/25)*EB131+(1-EXP(-LN(2)/25))/(LN(2)/25)*Calculateur!DW132*Calculateur!DY132*VLOOKUP('Données projet'!$B$14,Paramètres!$A$1:$I$89,3,0)*0.475*44/12</f>
        <v>18.916336257216635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59.105263242627828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-1.7053025658242404E-13</v>
      </c>
      <c r="EK132" s="17">
        <f>EJ132*VLOOKUP('Données projet'!$B$15,Paramètres!$A$1:$I$89,3,0)*VLOOKUP('Données projet'!$B$15,Paramètres!$A$1:$I$89,5,0)</f>
        <v>-1.6493686416652052E-13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355.72173590705142</v>
      </c>
      <c r="EP132" s="59">
        <f t="shared" si="100"/>
        <v>346.30980704469363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38.637291172826643</v>
      </c>
      <c r="EW132" s="21">
        <f>EXP(-LN(2)/25)*EW131+(1-EXP(-LN(2)/25))/(LN(2)/25)*Calculateur!ER132*Calculateur!ET132*VLOOKUP('Données projet'!$B$15,Paramètres!$A$1:$I$89,3,0)*0.475*44/12</f>
        <v>0.71881926616920211</v>
      </c>
      <c r="EX132" s="21">
        <f>EXP(-LN(2)/2)*EX131+(1-EXP(-LN(2)/2))/(LN(2)/2)*ER132*EU132*VLOOKUP('Données projet'!$B$15,Paramètres!$A$1:$I$89,3,0)*0.475*44/12</f>
        <v>2.1321455857715949E-6</v>
      </c>
      <c r="EY132" s="22">
        <f t="shared" ref="EY132:EY153" si="129">SUM(EV132:EX132)</f>
        <v>39.356112571141431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-1.383341441396624E-13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304.26232113495314</v>
      </c>
      <c r="FK132" s="59">
        <f t="shared" si="102"/>
        <v>297.47246687305056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39.941625833574747</v>
      </c>
      <c r="FR132" s="21">
        <f>EXP(-LN(2)/25)*FR131+(1-EXP(-LN(2)/25))/(LN(2)/25)*Calculateur!FM132*Calculateur!FO132*VLOOKUP('Données projet'!$B$16,Paramètres!$A$1:$I$89,3,0)*0.475*44/12</f>
        <v>0.7430854829566097</v>
      </c>
      <c r="FS132" s="21">
        <f>EXP(-LN(2)/2)*FS131+(1-EXP(-LN(2)/2))/(LN(2)/2)*FM132*FP132*VLOOKUP('Données projet'!$B$16,Paramètres!$A$1:$I$89,3,0)*0.475*44/12</f>
        <v>1.7882511364536019E-6</v>
      </c>
      <c r="FT132" s="22">
        <f t="shared" ref="FT132:FT153" si="132">SUM(FQ132:FS132)</f>
        <v>40.684713104782489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-1.4897523215040567E-13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381.72225529388083</v>
      </c>
      <c r="T133" s="59">
        <f t="shared" ref="T133:T196" si="142">$T$3</f>
        <v>360.05900046417361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65.955521249983875</v>
      </c>
      <c r="AA133" s="21">
        <f>EXP(-LN(2)/25)*AA132+(1-EXP(-LN(2)/25))/(LN(2)/25)*Calculateur!V133*Calculateur!X133*VLOOKUP('Données projet'!$B$9,Paramètres!$A$1:$I$89,3,0)*0.475*44/12</f>
        <v>8.3297623823138203</v>
      </c>
      <c r="AB133" s="21">
        <f>EXP(-LN(2)/2)*AB132+(1-EXP(-LN(2)/2))/(LN(2)/2)*V133*Y133*VLOOKUP('Données projet'!$B$9,Paramètres!$A$1:$I$89,3,0)*0.475*44/12</f>
        <v>1.4026185547835075E-15</v>
      </c>
      <c r="AC133" s="22">
        <f t="shared" si="111"/>
        <v>74.285283632297691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-4.1677594708744434E-14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464.3681853739115</v>
      </c>
      <c r="AO133" s="59">
        <f t="shared" ref="AO133:AO196" si="144">$AO$3</f>
        <v>272.97841038165217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105.44475805021864</v>
      </c>
      <c r="AV133" s="21">
        <f>EXP(-LN(2)/25)*AV132+(1-EXP(-LN(2)/25))/(LN(2)/25)*Calculateur!AQ133*Calculateur!AS133*VLOOKUP('Données projet'!$B$10,Paramètres!$A$1:$I$89,3,0)*0.475*44/12</f>
        <v>25.54515462207047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130.98991267228911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-1.3567387213697657E-13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299.10536994156814</v>
      </c>
      <c r="BJ133" s="59">
        <f t="shared" ref="BJ133:BJ196" si="146">$BJ$3</f>
        <v>292.57799203101769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38.405348856945984</v>
      </c>
      <c r="BQ133" s="21">
        <f>EXP(-LN(2)/25)*BQ132+(1-EXP(-LN(2)/25))/(LN(2)/25)*Calculateur!BL133*Calculateur!BN133*VLOOKUP('Données projet'!$B$11,Paramètres!$A$1:$I$89,3,0)*0.475*44/12</f>
        <v>0.70886642959130153</v>
      </c>
      <c r="BR133" s="21">
        <f>EXP(-LN(2)/2)*BR132+(1-EXP(-LN(2)/2))/(LN(2)/2)*BL133*BO133*VLOOKUP('Données projet'!$B$11,Paramètres!$A$1:$I$89,3,0)*0.475*44/12</f>
        <v>1.2401674953383714E-6</v>
      </c>
      <c r="BS133" s="22">
        <f t="shared" si="117"/>
        <v>39.11421652670478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-1.7053025658242404E-13</v>
      </c>
      <c r="BZ133" s="13">
        <f>BY133*VLOOKUP('Données projet'!$B$12,Paramètres!$A$1:$I$89,3,0)*VLOOKUP('Données projet'!$B$12,Paramètres!$A$1:$I$89,5,0)</f>
        <v>-1.3567387213697657E-13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299.10536994156814</v>
      </c>
      <c r="CE133" s="59">
        <f t="shared" ref="CE133:CE196" si="148">$CE$3</f>
        <v>292.57799203101769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38.405348856945984</v>
      </c>
      <c r="CL133" s="21">
        <f>EXP(-LN(2)/25)*CL132+(1-EXP(-LN(2)/25))/(LN(2)/25)*Calculateur!CG133*Calculateur!CI133*VLOOKUP('Données projet'!$B$12,Paramètres!$A$1:$I$89,3,0)*0.475*44/12</f>
        <v>0.70886642959130153</v>
      </c>
      <c r="CM133" s="21">
        <f>EXP(-LN(2)/2)*CM132+(1-EXP(-LN(2)/2))/(LN(2)/2)*CG133*CJ133*VLOOKUP('Données projet'!$B$12,Paramètres!$A$1:$I$89,3,0)*0.475*44/12</f>
        <v>1.2401674953383714E-6</v>
      </c>
      <c r="CN133" s="22">
        <f t="shared" si="120"/>
        <v>39.11421652670478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7</v>
      </c>
      <c r="CT133" s="12">
        <f>IF('Données projet'!$A$140&gt;35,CT132+CS133-DB132,IF(A133&lt;'Données projet'!$A$140,$CQ$205^A133,IF(A133='Données projet'!$A$140,'Données projet'!$B$140,CT132+CS133-DB132)))</f>
        <v>404.99999999999966</v>
      </c>
      <c r="CU133" s="17">
        <f>CT133*VLOOKUP('Données projet'!$B$13,Paramètres!$A$1:$I$89,3,0)*VLOOKUP('Données projet'!$B$13,Paramètres!$A$1:$I$89,5,0)</f>
        <v>366.44399999999968</v>
      </c>
      <c r="CV133" s="13">
        <f t="shared" ref="CV133:CV153" si="149">EXP(-1.0587+0.8836*LN(CU133)+0.284)</f>
        <v>84.939400925097203</v>
      </c>
      <c r="CW133" s="20">
        <f t="shared" si="121"/>
        <v>786.15942327787707</v>
      </c>
      <c r="CX133" s="59">
        <f t="shared" si="122"/>
        <v>1079.4927566112103</v>
      </c>
      <c r="CY133" s="59">
        <f ca="1">AVERAGE(OFFSET($CX$3,0,0,'Données projet'!$E$13+1,1))-AVERAGE(OFFSET($H$3,0,0,'Données projet'!$E$13+1,1))</f>
        <v>528.15559695545812</v>
      </c>
      <c r="CZ133" s="59">
        <f t="shared" ref="CZ133:CZ196" si="150">$CZ$3</f>
        <v>276.26988364830532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35.157678540354347</v>
      </c>
      <c r="DG133" s="21">
        <f>EXP(-LN(2)/25)*DG132+(1-EXP(-LN(2)/25))/(LN(2)/25)*Calculateur!DB133*Calculateur!DD133*VLOOKUP('Données projet'!$B$13,Paramètres!$A$1:$I$89,3,0)*0.475*44/12</f>
        <v>16.417629950073497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51.575308490427844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</v>
      </c>
      <c r="DO133" s="12">
        <f>IF('Données projet'!$A$166&gt;35,DO132+DN133-DW132,IF(A133&lt;'Données projet'!$A$166,$DL$205^A133,IF(A133='Données projet'!$A$166,'Données projet'!$B$166,DO132+DN133-DW132)))</f>
        <v>404.99999999999966</v>
      </c>
      <c r="DP133" s="17">
        <f>DO133*VLOOKUP('Données projet'!$B$14,Paramètres!$A$1:$I$89,3,0)*VLOOKUP('Données projet'!$B$14,Paramètres!$A$1:$I$89,5,0)</f>
        <v>410.66999999999967</v>
      </c>
      <c r="DQ133" s="13">
        <f t="shared" ref="DQ133:DQ153" si="151">EXP(-1.0587+0.8836*LN(DP133)+0.284)</f>
        <v>93.936518545137474</v>
      </c>
      <c r="DR133" s="20">
        <f t="shared" si="124"/>
        <v>878.85635313278044</v>
      </c>
      <c r="DS133" s="59">
        <f t="shared" si="125"/>
        <v>1172.1896864661137</v>
      </c>
      <c r="DT133" s="59">
        <f ca="1">AVERAGE(OFFSET($DS$3,0,0,'Données projet'!$E$14+1,1))-AVERAGE(OFFSET($H$3,0,0,'Données projet'!$E$14+1,1))</f>
        <v>586.50020405958992</v>
      </c>
      <c r="DU133" s="59">
        <f t="shared" ref="DU133:DU196" si="152">$DU$3</f>
        <v>304.44184537595294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39.400846640052301</v>
      </c>
      <c r="EB133" s="21">
        <f>EXP(-LN(2)/25)*EB132+(1-EXP(-LN(2)/25))/(LN(2)/25)*Calculateur!DW133*Calculateur!DY133*VLOOKUP('Données projet'!$B$14,Paramètres!$A$1:$I$89,3,0)*0.475*44/12</f>
        <v>18.399068047496158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57.799914687548458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-1.7053025658242404E-13</v>
      </c>
      <c r="EK133" s="17">
        <f>EJ133*VLOOKUP('Données projet'!$B$15,Paramètres!$A$1:$I$89,3,0)*VLOOKUP('Données projet'!$B$15,Paramètres!$A$1:$I$89,5,0)</f>
        <v>-1.6493686416652052E-13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355.72173590705142</v>
      </c>
      <c r="EP133" s="59">
        <f t="shared" ref="EP133:EP196" si="154">$EP$3</f>
        <v>346.30980704469363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37.879637459348139</v>
      </c>
      <c r="EW133" s="21">
        <f>EXP(-LN(2)/25)*EW132+(1-EXP(-LN(2)/25))/(LN(2)/25)*Calculateur!ER133*Calculateur!ET133*VLOOKUP('Données projet'!$B$15,Paramètres!$A$1:$I$89,3,0)*0.475*44/12</f>
        <v>0.69916311553474297</v>
      </c>
      <c r="EX133" s="21">
        <f>EXP(-LN(2)/2)*EX132+(1-EXP(-LN(2)/2))/(LN(2)/2)*ER133*EU133*VLOOKUP('Données projet'!$B$15,Paramètres!$A$1:$I$89,3,0)*0.475*44/12</f>
        <v>1.5076546021760584E-6</v>
      </c>
      <c r="EY133" s="22">
        <f t="shared" si="129"/>
        <v>38.578802082537486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-1.383341441396624E-13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304.26232113495314</v>
      </c>
      <c r="FK133" s="59">
        <f t="shared" ref="FK133:FK196" si="156">$FK$3</f>
        <v>297.47246687305056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39.15839491296456</v>
      </c>
      <c r="FR133" s="21">
        <f>EXP(-LN(2)/25)*FR132+(1-EXP(-LN(2)/25))/(LN(2)/25)*Calculateur!FM133*Calculateur!FO133*VLOOKUP('Données projet'!$B$16,Paramètres!$A$1:$I$89,3,0)*0.475*44/12</f>
        <v>0.72276577134799402</v>
      </c>
      <c r="FS133" s="21">
        <f>EXP(-LN(2)/2)*FS132+(1-EXP(-LN(2)/2))/(LN(2)/2)*FM133*FP133*VLOOKUP('Données projet'!$B$16,Paramètres!$A$1:$I$89,3,0)*0.475*44/12</f>
        <v>1.264484505050892E-6</v>
      </c>
      <c r="FT133" s="22">
        <f t="shared" si="132"/>
        <v>39.881161948797057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-1.4897523215040567E-13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381.72225529388083</v>
      </c>
      <c r="T134" s="59">
        <f t="shared" si="142"/>
        <v>360.05900046417361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64.662173707167383</v>
      </c>
      <c r="AA134" s="21">
        <f>EXP(-LN(2)/25)*AA133+(1-EXP(-LN(2)/25))/(LN(2)/25)*Calculateur!V134*Calculateur!X134*VLOOKUP('Données projet'!$B$9,Paramètres!$A$1:$I$89,3,0)*0.475*44/12</f>
        <v>8.1019845919262838</v>
      </c>
      <c r="AB134" s="21">
        <f>EXP(-LN(2)/2)*AB133+(1-EXP(-LN(2)/2))/(LN(2)/2)*V134*Y134*VLOOKUP('Données projet'!$B$9,Paramètres!$A$1:$I$89,3,0)*0.475*44/12</f>
        <v>9.9180109150549318E-16</v>
      </c>
      <c r="AC134" s="22">
        <f t="shared" si="111"/>
        <v>72.764158299093666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-4.1677594708744434E-14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464.3681853739115</v>
      </c>
      <c r="AO134" s="59">
        <f t="shared" si="144"/>
        <v>272.97841038165217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103.37705065980569</v>
      </c>
      <c r="AV134" s="21">
        <f>EXP(-LN(2)/25)*AV133+(1-EXP(-LN(2)/25))/(LN(2)/25)*Calculateur!AQ134*Calculateur!AS134*VLOOKUP('Données projet'!$B$10,Paramètres!$A$1:$I$89,3,0)*0.475*44/12</f>
        <v>24.846621025568655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128.22367168537434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-1.3567387213697657E-13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299.10536994156814</v>
      </c>
      <c r="BJ134" s="59">
        <f t="shared" si="146"/>
        <v>292.57799203101769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37.652243390811051</v>
      </c>
      <c r="BQ134" s="21">
        <f>EXP(-LN(2)/25)*BQ133+(1-EXP(-LN(2)/25))/(LN(2)/25)*Calculateur!BL134*Calculateur!BN134*VLOOKUP('Données projet'!$B$11,Paramètres!$A$1:$I$89,3,0)*0.475*44/12</f>
        <v>0.68948243979646195</v>
      </c>
      <c r="BR134" s="21">
        <f>EXP(-LN(2)/2)*BR133+(1-EXP(-LN(2)/2))/(LN(2)/2)*BL134*BO134*VLOOKUP('Données projet'!$B$11,Paramètres!$A$1:$I$89,3,0)*0.475*44/12</f>
        <v>8.7693084576089848E-7</v>
      </c>
      <c r="BS134" s="22">
        <f t="shared" si="117"/>
        <v>38.341726707538363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-1.7053025658242404E-13</v>
      </c>
      <c r="BZ134" s="13">
        <f>BY134*VLOOKUP('Données projet'!$B$12,Paramètres!$A$1:$I$89,3,0)*VLOOKUP('Données projet'!$B$12,Paramètres!$A$1:$I$89,5,0)</f>
        <v>-1.3567387213697657E-13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299.10536994156814</v>
      </c>
      <c r="CE134" s="59">
        <f t="shared" si="148"/>
        <v>292.57799203101769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37.652243390811051</v>
      </c>
      <c r="CL134" s="21">
        <f>EXP(-LN(2)/25)*CL133+(1-EXP(-LN(2)/25))/(LN(2)/25)*Calculateur!CG134*Calculateur!CI134*VLOOKUP('Données projet'!$B$12,Paramètres!$A$1:$I$89,3,0)*0.475*44/12</f>
        <v>0.68948243979646195</v>
      </c>
      <c r="CM134" s="21">
        <f>EXP(-LN(2)/2)*CM133+(1-EXP(-LN(2)/2))/(LN(2)/2)*CG134*CJ134*VLOOKUP('Données projet'!$B$12,Paramètres!$A$1:$I$89,3,0)*0.475*44/12</f>
        <v>8.7693084576089848E-7</v>
      </c>
      <c r="CN134" s="22">
        <f t="shared" si="120"/>
        <v>38.341726707538363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7</v>
      </c>
      <c r="CT134" s="12">
        <f>IF('Données projet'!$A$140&gt;35,CT133+CS134-DB133,IF(A134&lt;'Données projet'!$A$140,$CQ$205^A134,IF(A134='Données projet'!$A$140,'Données projet'!$B$140,CT133+CS134-DB133)))</f>
        <v>411.99999999999966</v>
      </c>
      <c r="CU134" s="17">
        <f>CT134*VLOOKUP('Données projet'!$B$13,Paramètres!$A$1:$I$89,3,0)*VLOOKUP('Données projet'!$B$13,Paramètres!$A$1:$I$89,5,0)</f>
        <v>372.77759999999967</v>
      </c>
      <c r="CV134" s="13">
        <f t="shared" si="149"/>
        <v>86.23530727208437</v>
      </c>
      <c r="CW134" s="20">
        <f t="shared" si="121"/>
        <v>799.44748016554638</v>
      </c>
      <c r="CX134" s="59">
        <f t="shared" si="122"/>
        <v>1092.7808134988798</v>
      </c>
      <c r="CY134" s="59">
        <f ca="1">AVERAGE(OFFSET($CX$3,0,0,'Données projet'!$E$13+1,1))-AVERAGE(OFFSET($H$3,0,0,'Données projet'!$E$13+1,1))</f>
        <v>528.15559695545812</v>
      </c>
      <c r="CZ134" s="59">
        <f t="shared" si="150"/>
        <v>276.26988364830532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34.468257908244482</v>
      </c>
      <c r="DG134" s="21">
        <f>EXP(-LN(2)/25)*DG133+(1-EXP(-LN(2)/25))/(LN(2)/25)*Calculateur!DB134*Calculateur!DD134*VLOOKUP('Données projet'!$B$13,Paramètres!$A$1:$I$89,3,0)*0.475*44/12</f>
        <v>15.968688995723101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50.436946903967581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</v>
      </c>
      <c r="DO134" s="12">
        <f>IF('Données projet'!$A$166&gt;35,DO133+DN134-DW133,IF(A134&lt;'Données projet'!$A$166,$DL$205^A134,IF(A134='Données projet'!$A$166,'Données projet'!$B$166,DO133+DN134-DW133)))</f>
        <v>411.99999999999966</v>
      </c>
      <c r="DP134" s="17">
        <f>DO134*VLOOKUP('Données projet'!$B$14,Paramètres!$A$1:$I$89,3,0)*VLOOKUP('Données projet'!$B$14,Paramètres!$A$1:$I$89,5,0)</f>
        <v>417.76799999999969</v>
      </c>
      <c r="DQ134" s="13">
        <f t="shared" si="151"/>
        <v>95.369692422874991</v>
      </c>
      <c r="DR134" s="20">
        <f t="shared" si="124"/>
        <v>893.71481430317328</v>
      </c>
      <c r="DS134" s="59">
        <f t="shared" si="125"/>
        <v>1187.0481476365067</v>
      </c>
      <c r="DT134" s="59">
        <f ca="1">AVERAGE(OFFSET($DS$3,0,0,'Données projet'!$E$14+1,1))-AVERAGE(OFFSET($H$3,0,0,'Données projet'!$E$14+1,1))</f>
        <v>586.50020405958992</v>
      </c>
      <c r="DU134" s="59">
        <f t="shared" si="152"/>
        <v>304.44184537595294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38.628220069584351</v>
      </c>
      <c r="EB134" s="21">
        <f>EXP(-LN(2)/25)*EB133+(1-EXP(-LN(2)/25))/(LN(2)/25)*Calculateur!DW134*Calculateur!DY134*VLOOKUP('Données projet'!$B$14,Paramètres!$A$1:$I$89,3,0)*0.475*44/12</f>
        <v>17.895944564172439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56.52416463375679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-1.7053025658242404E-13</v>
      </c>
      <c r="EK134" s="17">
        <f>EJ134*VLOOKUP('Données projet'!$B$15,Paramètres!$A$1:$I$89,3,0)*VLOOKUP('Données projet'!$B$15,Paramètres!$A$1:$I$89,5,0)</f>
        <v>-1.6493686416652052E-13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355.72173590705142</v>
      </c>
      <c r="EP134" s="59">
        <f t="shared" si="154"/>
        <v>346.30980704469363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37.136840873067811</v>
      </c>
      <c r="EW134" s="21">
        <f>EXP(-LN(2)/25)*EW133+(1-EXP(-LN(2)/25))/(LN(2)/25)*Calculateur!ER134*Calculateur!ET134*VLOOKUP('Données projet'!$B$15,Paramètres!$A$1:$I$89,3,0)*0.475*44/12</f>
        <v>0.68004446337305513</v>
      </c>
      <c r="EX134" s="21">
        <f>EXP(-LN(2)/2)*EX133+(1-EXP(-LN(2)/2))/(LN(2)/2)*ER134*EU134*VLOOKUP('Données projet'!$B$15,Paramètres!$A$1:$I$89,3,0)*0.475*44/12</f>
        <v>1.0660727928857974E-6</v>
      </c>
      <c r="EY134" s="22">
        <f t="shared" si="129"/>
        <v>37.81688640251366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-1.383341441396624E-13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304.26232113495314</v>
      </c>
      <c r="FK134" s="59">
        <f t="shared" si="156"/>
        <v>297.47246687305056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38.390522672983849</v>
      </c>
      <c r="FR134" s="21">
        <f>EXP(-LN(2)/25)*FR133+(1-EXP(-LN(2)/25))/(LN(2)/25)*Calculateur!FM134*Calculateur!FO134*VLOOKUP('Données projet'!$B$16,Paramètres!$A$1:$I$89,3,0)*0.475*44/12</f>
        <v>0.70300170332188316</v>
      </c>
      <c r="FS134" s="21">
        <f>EXP(-LN(2)/2)*FS133+(1-EXP(-LN(2)/2))/(LN(2)/2)*FM134*FP134*VLOOKUP('Données projet'!$B$16,Paramètres!$A$1:$I$89,3,0)*0.475*44/12</f>
        <v>8.9412556822680095E-7</v>
      </c>
      <c r="FT134" s="22">
        <f t="shared" si="132"/>
        <v>39.0935252704313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-1.4897523215040567E-13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381.72225529388083</v>
      </c>
      <c r="T135" s="59">
        <f t="shared" si="142"/>
        <v>360.05900046417361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63.394187920801414</v>
      </c>
      <c r="AA135" s="21">
        <f>EXP(-LN(2)/25)*AA134+(1-EXP(-LN(2)/25))/(LN(2)/25)*Calculateur!V135*Calculateur!X135*VLOOKUP('Données projet'!$B$9,Paramètres!$A$1:$I$89,3,0)*0.475*44/12</f>
        <v>7.8804353971952077</v>
      </c>
      <c r="AB135" s="21">
        <f>EXP(-LN(2)/2)*AB134+(1-EXP(-LN(2)/2))/(LN(2)/2)*V135*Y135*VLOOKUP('Données projet'!$B$9,Paramètres!$A$1:$I$89,3,0)*0.475*44/12</f>
        <v>7.0130927739175377E-16</v>
      </c>
      <c r="AC135" s="22">
        <f t="shared" si="111"/>
        <v>71.274623317996628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-4.1677594708744434E-14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464.3681853739115</v>
      </c>
      <c r="AO135" s="59">
        <f t="shared" si="144"/>
        <v>272.97841038165217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101.34988975014176</v>
      </c>
      <c r="AV135" s="21">
        <f>EXP(-LN(2)/25)*AV134+(1-EXP(-LN(2)/25))/(LN(2)/25)*Calculateur!AQ135*Calculateur!AS135*VLOOKUP('Données projet'!$B$10,Paramètres!$A$1:$I$89,3,0)*0.475*44/12</f>
        <v>24.167188866997467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125.51707861713922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-1.3567387213697657E-13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299.10536994156814</v>
      </c>
      <c r="BJ135" s="59">
        <f t="shared" si="146"/>
        <v>292.57799203101769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36.913905863518053</v>
      </c>
      <c r="BQ135" s="21">
        <f>EXP(-LN(2)/25)*BQ134+(1-EXP(-LN(2)/25))/(LN(2)/25)*Calculateur!BL135*Calculateur!BN135*VLOOKUP('Données projet'!$B$11,Paramètres!$A$1:$I$89,3,0)*0.475*44/12</f>
        <v>0.67062850622192205</v>
      </c>
      <c r="BR135" s="21">
        <f>EXP(-LN(2)/2)*BR134+(1-EXP(-LN(2)/2))/(LN(2)/2)*BL135*BO135*VLOOKUP('Données projet'!$B$11,Paramètres!$A$1:$I$89,3,0)*0.475*44/12</f>
        <v>6.2008374766918569E-7</v>
      </c>
      <c r="BS135" s="22">
        <f t="shared" si="117"/>
        <v>37.584534989823723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-1.7053025658242404E-13</v>
      </c>
      <c r="BZ135" s="13">
        <f>BY135*VLOOKUP('Données projet'!$B$12,Paramètres!$A$1:$I$89,3,0)*VLOOKUP('Données projet'!$B$12,Paramètres!$A$1:$I$89,5,0)</f>
        <v>-1.3567387213697657E-13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299.10536994156814</v>
      </c>
      <c r="CE135" s="59">
        <f t="shared" si="148"/>
        <v>292.57799203101769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36.913905863518053</v>
      </c>
      <c r="CL135" s="21">
        <f>EXP(-LN(2)/25)*CL134+(1-EXP(-LN(2)/25))/(LN(2)/25)*Calculateur!CG135*Calculateur!CI135*VLOOKUP('Données projet'!$B$12,Paramètres!$A$1:$I$89,3,0)*0.475*44/12</f>
        <v>0.67062850622192205</v>
      </c>
      <c r="CM135" s="21">
        <f>EXP(-LN(2)/2)*CM134+(1-EXP(-LN(2)/2))/(LN(2)/2)*CG135*CJ135*VLOOKUP('Données projet'!$B$12,Paramètres!$A$1:$I$89,3,0)*0.475*44/12</f>
        <v>6.2008374766918569E-7</v>
      </c>
      <c r="CN135" s="22">
        <f t="shared" si="120"/>
        <v>37.584534989823723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>
        <f>VLOOKUP(A135,'Données projet'!$A$139:$I$159,2,0)</f>
        <v>419</v>
      </c>
      <c r="CR135" s="12">
        <f>VLOOKUP(A135,'Données projet'!$A$139:$I$159,9,0)</f>
        <v>7</v>
      </c>
      <c r="CS135" s="12">
        <f t="array" ref="CS135">INDEX(CR:CR,MIN(IF(ISNUMBER(CR135:CR331),ROW(CR135:CR331),"")))</f>
        <v>7</v>
      </c>
      <c r="CT135" s="12">
        <f>IF('Données projet'!$A$140&gt;35,CT134+CS135-DB134,IF(A135&lt;'Données projet'!$A$140,$CQ$205^A135,IF(A135='Données projet'!$A$140,'Données projet'!$B$140,CT134+CS135-DB134)))</f>
        <v>418.99999999999966</v>
      </c>
      <c r="CU135" s="17">
        <f>CT135*VLOOKUP('Données projet'!$B$13,Paramètres!$A$1:$I$89,3,0)*VLOOKUP('Données projet'!$B$13,Paramètres!$A$1:$I$89,5,0)</f>
        <v>379.11119999999966</v>
      </c>
      <c r="CV135" s="13">
        <f t="shared" si="149"/>
        <v>87.528653146444213</v>
      </c>
      <c r="CW135" s="20">
        <f t="shared" si="121"/>
        <v>812.7310775633897</v>
      </c>
      <c r="CX135" s="59">
        <f t="shared" si="122"/>
        <v>1106.0644108967231</v>
      </c>
      <c r="CY135" s="59">
        <f ca="1">AVERAGE(OFFSET($CX$3,0,0,'Données projet'!$E$13+1,1))-AVERAGE(OFFSET($H$3,0,0,'Données projet'!$E$13+1,1))</f>
        <v>528.15559695545812</v>
      </c>
      <c r="CZ135" s="59">
        <f t="shared" si="150"/>
        <v>276.26988364830532</v>
      </c>
      <c r="DA135" s="15">
        <f>IF(ISNA(VLOOKUP(A135,'Données projet'!$A$139:$I$159,3,0)),0,VLOOKUP(A135,'Données projet'!$A$139:$I$159,3,0))</f>
        <v>12</v>
      </c>
      <c r="DB135" s="15">
        <f>IF(ISNA(VLOOKUP(A135,'Données projet'!$A$139:$I$159,4,0)),0,VLOOKUP(A135,'Données projet'!$A$139:$I$159,4,0))</f>
        <v>42</v>
      </c>
      <c r="DC135" s="16">
        <f>IF(ISNA(VLOOKUP(A135,'Données projet'!$A$139:$I$159,5,0)),0%,VLOOKUP(A135,'Données projet'!$A$139:$I$159,5,0)*VLOOKUP('Données projet'!$B$13,Paramètres!$A$1:$I$89,7,0))</f>
        <v>0.30099999999999999</v>
      </c>
      <c r="DD135" s="16">
        <f>IF(ISNA(VLOOKUP(A135,'Données projet'!$A$139:$I$159,6,0)),0%,VLOOKUP(A135,'Données projet'!$A$139:$I$159,6,0)*VLOOKUP('Données projet'!$B$13,Paramètres!$A$1:$I$89,7,0))</f>
        <v>4.3000000000000003E-2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46.437258989857895</v>
      </c>
      <c r="DG135" s="21">
        <f>EXP(-LN(2)/25)*DG134+(1-EXP(-LN(2)/25))/(LN(2)/25)*Calculateur!DB135*Calculateur!DD135*VLOOKUP('Données projet'!$B$13,Paramètres!$A$1:$I$89,3,0)*0.475*44/12</f>
        <v>17.331326469096485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63.768585458954377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>
        <f>VLOOKUP(A135,'Données projet'!$A$165:$I$185,2,0)</f>
        <v>419</v>
      </c>
      <c r="DM135" s="12">
        <f>VLOOKUP(A135,'Données projet'!$A$165:$I$185,9,0)</f>
        <v>7</v>
      </c>
      <c r="DN135" s="12">
        <f t="array" ref="DN135">INDEX(DM:DM,MIN(IF(ISNUMBER(DM135:DM331),ROW(DM135:DM331),"")))</f>
        <v>7</v>
      </c>
      <c r="DO135" s="12">
        <f>IF('Données projet'!$A$166&gt;35,DO134+DN135-DW134,IF(A135&lt;'Données projet'!$A$166,$DL$205^A135,IF(A135='Données projet'!$A$166,'Données projet'!$B$166,DO134+DN135-DW134)))</f>
        <v>418.99999999999966</v>
      </c>
      <c r="DP135" s="17">
        <f>DO135*VLOOKUP('Données projet'!$B$14,Paramètres!$A$1:$I$89,3,0)*VLOOKUP('Données projet'!$B$14,Paramètres!$A$1:$I$89,5,0)</f>
        <v>424.8659999999997</v>
      </c>
      <c r="DQ135" s="13">
        <f t="shared" si="151"/>
        <v>96.800034612587595</v>
      </c>
      <c r="DR135" s="20">
        <f t="shared" si="124"/>
        <v>908.56834361692279</v>
      </c>
      <c r="DS135" s="59">
        <f t="shared" si="125"/>
        <v>1201.9016769502562</v>
      </c>
      <c r="DT135" s="59">
        <f ca="1">AVERAGE(OFFSET($DS$3,0,0,'Données projet'!$E$14+1,1))-AVERAGE(OFFSET($H$3,0,0,'Données projet'!$E$14+1,1))</f>
        <v>586.50020405958992</v>
      </c>
      <c r="DU135" s="59">
        <f t="shared" si="152"/>
        <v>304.44184537595294</v>
      </c>
      <c r="DV135" s="15">
        <f>IF(ISNA(VLOOKUP(A135,'Données projet'!$A$165:$I$185,3,0)),0,VLOOKUP(A135,'Données projet'!$A$165:$I$185,3,0))</f>
        <v>12</v>
      </c>
      <c r="DW135" s="15">
        <f>IF(ISNA(VLOOKUP(A135,'Données projet'!$A$165:$I$185,4,0)),0,VLOOKUP(A135,'Données projet'!$A$165:$I$185,4,0))</f>
        <v>42</v>
      </c>
      <c r="DX135" s="16">
        <f>IF(ISNA(VLOOKUP(A135,'Données projet'!$A$165:$I$185,5,0)),0%,VLOOKUP(A135,'Données projet'!$A$165:$I$185,5,0)*VLOOKUP('Données projet'!$B$14,Paramètres!$A$1:$I$89,7,0))</f>
        <v>0.30099999999999999</v>
      </c>
      <c r="DY135" s="16">
        <f>IF(ISNA(VLOOKUP(A135,'Données projet'!$A$165:$I$185,6,0)),0%,VLOOKUP(A135,'Données projet'!$A$165:$I$185,6,0)*VLOOKUP('Données projet'!$B$14,Paramètres!$A$1:$I$89,7,0))</f>
        <v>4.3000000000000003E-2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52.041755764495932</v>
      </c>
      <c r="EB135" s="21">
        <f>EXP(-LN(2)/25)*EB134+(1-EXP(-LN(2)/25))/(LN(2)/25)*Calculateur!DW135*Calculateur!DY135*VLOOKUP('Données projet'!$B$14,Paramètres!$A$1:$I$89,3,0)*0.475*44/12</f>
        <v>19.423038284332268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71.464794048828196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-1.7053025658242404E-13</v>
      </c>
      <c r="EK135" s="17">
        <f>EJ135*VLOOKUP('Données projet'!$B$15,Paramètres!$A$1:$I$89,3,0)*VLOOKUP('Données projet'!$B$15,Paramètres!$A$1:$I$89,5,0)</f>
        <v>-1.6493686416652052E-13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355.72173590705142</v>
      </c>
      <c r="EP135" s="59">
        <f t="shared" si="154"/>
        <v>346.30980704469363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36.408610074783262</v>
      </c>
      <c r="EW135" s="21">
        <f>EXP(-LN(2)/25)*EW134+(1-EXP(-LN(2)/25))/(LN(2)/25)*Calculateur!ER135*Calculateur!ET135*VLOOKUP('Données projet'!$B$15,Paramètres!$A$1:$I$89,3,0)*0.475*44/12</f>
        <v>0.66144861176013492</v>
      </c>
      <c r="EX135" s="21">
        <f>EXP(-LN(2)/2)*EX134+(1-EXP(-LN(2)/2))/(LN(2)/2)*ER135*EU135*VLOOKUP('Données projet'!$B$15,Paramètres!$A$1:$I$89,3,0)*0.475*44/12</f>
        <v>7.5382730108802919E-7</v>
      </c>
      <c r="EY135" s="22">
        <f t="shared" si="129"/>
        <v>37.070059440370699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-1.383341441396624E-13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304.26232113495314</v>
      </c>
      <c r="FK135" s="59">
        <f t="shared" si="156"/>
        <v>297.47246687305056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37.637707939273341</v>
      </c>
      <c r="FR135" s="21">
        <f>EXP(-LN(2)/25)*FR134+(1-EXP(-LN(2)/25))/(LN(2)/25)*Calculateur!FM135*Calculateur!FO135*VLOOKUP('Données projet'!$B$16,Paramètres!$A$1:$I$89,3,0)*0.475*44/12</f>
        <v>0.68377808477529345</v>
      </c>
      <c r="FS135" s="21">
        <f>EXP(-LN(2)/2)*FS134+(1-EXP(-LN(2)/2))/(LN(2)/2)*FM135*FP135*VLOOKUP('Données projet'!$B$16,Paramètres!$A$1:$I$89,3,0)*0.475*44/12</f>
        <v>6.32242252525446E-7</v>
      </c>
      <c r="FT135" s="22">
        <f t="shared" si="132"/>
        <v>38.321486656290887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-1.4897523215040567E-13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381.72225529388083</v>
      </c>
      <c r="T136" s="59">
        <f t="shared" si="142"/>
        <v>360.05900046417361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62.151066562311115</v>
      </c>
      <c r="AA136" s="21">
        <f>EXP(-LN(2)/25)*AA135+(1-EXP(-LN(2)/25))/(LN(2)/25)*Calculateur!V136*Calculateur!X136*VLOOKUP('Données projet'!$B$9,Paramètres!$A$1:$I$89,3,0)*0.475*44/12</f>
        <v>7.6649444768448181</v>
      </c>
      <c r="AB136" s="21">
        <f>EXP(-LN(2)/2)*AB135+(1-EXP(-LN(2)/2))/(LN(2)/2)*V136*Y136*VLOOKUP('Données projet'!$B$9,Paramètres!$A$1:$I$89,3,0)*0.475*44/12</f>
        <v>4.9590054575274659E-16</v>
      </c>
      <c r="AC136" s="22">
        <f t="shared" si="111"/>
        <v>69.816011039155939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-4.1677594708744434E-14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464.3681853739115</v>
      </c>
      <c r="AO136" s="59">
        <f t="shared" si="144"/>
        <v>272.97841038165217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99.362480229470265</v>
      </c>
      <c r="AV136" s="21">
        <f>EXP(-LN(2)/25)*AV135+(1-EXP(-LN(2)/25))/(LN(2)/25)*Calculateur!AQ136*Calculateur!AS136*VLOOKUP('Données projet'!$B$10,Paramètres!$A$1:$I$89,3,0)*0.475*44/12</f>
        <v>23.506335816532193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122.86881604600245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-1.3567387213697657E-13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299.10536994156814</v>
      </c>
      <c r="BJ136" s="59">
        <f t="shared" si="146"/>
        <v>292.57799203101769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36.190046684793842</v>
      </c>
      <c r="BQ136" s="21">
        <f>EXP(-LN(2)/25)*BQ135+(1-EXP(-LN(2)/25))/(LN(2)/25)*Calculateur!BL136*Calculateur!BN136*VLOOKUP('Données projet'!$B$11,Paramètres!$A$1:$I$89,3,0)*0.475*44/12</f>
        <v>0.6522901344524632</v>
      </c>
      <c r="BR136" s="21">
        <f>EXP(-LN(2)/2)*BR135+(1-EXP(-LN(2)/2))/(LN(2)/2)*BL136*BO136*VLOOKUP('Données projet'!$B$11,Paramètres!$A$1:$I$89,3,0)*0.475*44/12</f>
        <v>4.3846542288044924E-7</v>
      </c>
      <c r="BS136" s="22">
        <f t="shared" si="117"/>
        <v>36.842337257711726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-1.7053025658242404E-13</v>
      </c>
      <c r="BZ136" s="13">
        <f>BY136*VLOOKUP('Données projet'!$B$12,Paramètres!$A$1:$I$89,3,0)*VLOOKUP('Données projet'!$B$12,Paramètres!$A$1:$I$89,5,0)</f>
        <v>-1.3567387213697657E-13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299.10536994156814</v>
      </c>
      <c r="CE136" s="59">
        <f t="shared" si="148"/>
        <v>292.57799203101769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36.190046684793842</v>
      </c>
      <c r="CL136" s="21">
        <f>EXP(-LN(2)/25)*CL135+(1-EXP(-LN(2)/25))/(LN(2)/25)*Calculateur!CG136*Calculateur!CI136*VLOOKUP('Données projet'!$B$12,Paramètres!$A$1:$I$89,3,0)*0.475*44/12</f>
        <v>0.6522901344524632</v>
      </c>
      <c r="CM136" s="21">
        <f>EXP(-LN(2)/2)*CM135+(1-EXP(-LN(2)/2))/(LN(2)/2)*CG136*CJ136*VLOOKUP('Données projet'!$B$12,Paramètres!$A$1:$I$89,3,0)*0.475*44/12</f>
        <v>4.3846542288044924E-7</v>
      </c>
      <c r="CN136" s="22">
        <f t="shared" si="120"/>
        <v>36.842337257711726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7.1111111111111107</v>
      </c>
      <c r="CT136" s="12">
        <f>IF('Données projet'!$A$140&gt;35,CT135+CS136-DB135,IF(A136&lt;'Données projet'!$A$140,$CQ$205^A136,IF(A136='Données projet'!$A$140,'Données projet'!$B$140,CT135+CS136-DB135)))</f>
        <v>384.11111111111074</v>
      </c>
      <c r="CU136" s="17">
        <f>CT136*VLOOKUP('Données projet'!$B$13,Paramètres!$A$1:$I$89,3,0)*VLOOKUP('Données projet'!$B$13,Paramètres!$A$1:$I$89,5,0)</f>
        <v>347.54373333333297</v>
      </c>
      <c r="CV136" s="13">
        <f t="shared" si="149"/>
        <v>81.05653330221287</v>
      </c>
      <c r="CW136" s="20">
        <f t="shared" si="121"/>
        <v>746.47879772357555</v>
      </c>
      <c r="CX136" s="59">
        <f t="shared" si="122"/>
        <v>1039.8121310569088</v>
      </c>
      <c r="CY136" s="59">
        <f ca="1">AVERAGE(OFFSET($CX$3,0,0,'Données projet'!$E$13+1,1))-AVERAGE(OFFSET($H$3,0,0,'Données projet'!$E$13+1,1))</f>
        <v>528.15559695545812</v>
      </c>
      <c r="CZ136" s="59">
        <f t="shared" si="150"/>
        <v>276.26988364830532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45.526652664998011</v>
      </c>
      <c r="DG136" s="21">
        <f>EXP(-LN(2)/25)*DG135+(1-EXP(-LN(2)/25))/(LN(2)/25)*Calculateur!DB136*Calculateur!DD136*VLOOKUP('Données projet'!$B$13,Paramètres!$A$1:$I$89,3,0)*0.475*44/12</f>
        <v>16.857400435384193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62.384053100382204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7.1111111111111107</v>
      </c>
      <c r="DO136" s="12">
        <f>IF('Données projet'!$A$166&gt;35,DO135+DN136-DW135,IF(A136&lt;'Données projet'!$A$166,$DL$205^A136,IF(A136='Données projet'!$A$166,'Données projet'!$B$166,DO135+DN136-DW135)))</f>
        <v>384.11111111111074</v>
      </c>
      <c r="DP136" s="17">
        <f>DO136*VLOOKUP('Données projet'!$B$14,Paramètres!$A$1:$I$89,3,0)*VLOOKUP('Données projet'!$B$14,Paramètres!$A$1:$I$89,5,0)</f>
        <v>389.48866666666629</v>
      </c>
      <c r="DQ136" s="13">
        <f t="shared" si="151"/>
        <v>89.642362211411609</v>
      </c>
      <c r="DR136" s="20">
        <f t="shared" si="124"/>
        <v>834.4865419626525</v>
      </c>
      <c r="DS136" s="59">
        <f t="shared" si="125"/>
        <v>1127.8198752959859</v>
      </c>
      <c r="DT136" s="59">
        <f ca="1">AVERAGE(OFFSET($DS$3,0,0,'Données projet'!$E$14+1,1))-AVERAGE(OFFSET($H$3,0,0,'Données projet'!$E$14+1,1))</f>
        <v>586.50020405958992</v>
      </c>
      <c r="DU136" s="59">
        <f t="shared" si="152"/>
        <v>304.44184537595294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51.021248676290888</v>
      </c>
      <c r="EB136" s="21">
        <f>EXP(-LN(2)/25)*EB135+(1-EXP(-LN(2)/25))/(LN(2)/25)*Calculateur!DW136*Calculateur!DY136*VLOOKUP('Données projet'!$B$14,Paramètres!$A$1:$I$89,3,0)*0.475*44/12</f>
        <v>18.891914281034012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69.9131629573249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-1.7053025658242404E-13</v>
      </c>
      <c r="EK136" s="17">
        <f>EJ136*VLOOKUP('Données projet'!$B$15,Paramètres!$A$1:$I$89,3,0)*VLOOKUP('Données projet'!$B$15,Paramètres!$A$1:$I$89,5,0)</f>
        <v>-1.6493686416652052E-13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355.72173590705142</v>
      </c>
      <c r="EP136" s="59">
        <f t="shared" si="154"/>
        <v>346.30980704469363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35.69465943827614</v>
      </c>
      <c r="EW136" s="21">
        <f>EXP(-LN(2)/25)*EW135+(1-EXP(-LN(2)/25))/(LN(2)/25)*Calculateur!ER136*Calculateur!ET136*VLOOKUP('Données projet'!$B$15,Paramètres!$A$1:$I$89,3,0)*0.475*44/12</f>
        <v>0.64336126468748334</v>
      </c>
      <c r="EX136" s="21">
        <f>EXP(-LN(2)/2)*EX135+(1-EXP(-LN(2)/2))/(LN(2)/2)*ER136*EU136*VLOOKUP('Données projet'!$B$15,Paramètres!$A$1:$I$89,3,0)*0.475*44/12</f>
        <v>5.3303639644289872E-7</v>
      </c>
      <c r="EY136" s="22">
        <f t="shared" si="129"/>
        <v>36.338021236000024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-1.383341441396624E-13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304.26232113495314</v>
      </c>
      <c r="FK136" s="59">
        <f t="shared" si="156"/>
        <v>297.47246687305056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36.899655443319247</v>
      </c>
      <c r="FR136" s="21">
        <f>EXP(-LN(2)/25)*FR135+(1-EXP(-LN(2)/25))/(LN(2)/25)*Calculateur!FM136*Calculateur!FO136*VLOOKUP('Données projet'!$B$16,Paramètres!$A$1:$I$89,3,0)*0.475*44/12</f>
        <v>0.66508013708878633</v>
      </c>
      <c r="FS136" s="21">
        <f>EXP(-LN(2)/2)*FS135+(1-EXP(-LN(2)/2))/(LN(2)/2)*FM136*FP136*VLOOKUP('Données projet'!$B$16,Paramètres!$A$1:$I$89,3,0)*0.475*44/12</f>
        <v>4.4706278411340047E-7</v>
      </c>
      <c r="FT136" s="22">
        <f t="shared" si="132"/>
        <v>37.564736027470815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-1.4897523215040567E-13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381.72225529388083</v>
      </c>
      <c r="T137" s="59">
        <f t="shared" si="142"/>
        <v>360.05900046417361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60.932322055431655</v>
      </c>
      <c r="AA137" s="21">
        <f>EXP(-LN(2)/25)*AA136+(1-EXP(-LN(2)/25))/(LN(2)/25)*Calculateur!V137*Calculateur!X137*VLOOKUP('Données projet'!$B$9,Paramètres!$A$1:$I$89,3,0)*0.475*44/12</f>
        <v>7.4553461670435848</v>
      </c>
      <c r="AB137" s="21">
        <f>EXP(-LN(2)/2)*AB136+(1-EXP(-LN(2)/2))/(LN(2)/2)*V137*Y137*VLOOKUP('Données projet'!$B$9,Paramètres!$A$1:$I$89,3,0)*0.475*44/12</f>
        <v>3.5065463869587689E-16</v>
      </c>
      <c r="AC137" s="22">
        <f t="shared" si="111"/>
        <v>68.387668222475241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-4.1677594708744434E-14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464.3681853739115</v>
      </c>
      <c r="AO137" s="59">
        <f t="shared" si="144"/>
        <v>272.97841038165217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97.41404259729903</v>
      </c>
      <c r="AV137" s="21">
        <f>EXP(-LN(2)/25)*AV136+(1-EXP(-LN(2)/25))/(LN(2)/25)*Calculateur!AQ137*Calculateur!AS137*VLOOKUP('Données projet'!$B$10,Paramètres!$A$1:$I$89,3,0)*0.475*44/12</f>
        <v>22.863553827484644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120.27759642478367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-1.3567387213697657E-13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299.10536994156814</v>
      </c>
      <c r="BJ137" s="59">
        <f t="shared" si="146"/>
        <v>292.57799203101769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35.480381943053914</v>
      </c>
      <c r="BQ137" s="21">
        <f>EXP(-LN(2)/25)*BQ136+(1-EXP(-LN(2)/25))/(LN(2)/25)*Calculateur!BL137*Calculateur!BN137*VLOOKUP('Données projet'!$B$11,Paramètres!$A$1:$I$89,3,0)*0.475*44/12</f>
        <v>0.63445322642341329</v>
      </c>
      <c r="BR137" s="21">
        <f>EXP(-LN(2)/2)*BR136+(1-EXP(-LN(2)/2))/(LN(2)/2)*BL137*BO137*VLOOKUP('Données projet'!$B$11,Paramètres!$A$1:$I$89,3,0)*0.475*44/12</f>
        <v>3.1004187383459285E-7</v>
      </c>
      <c r="BS137" s="22">
        <f t="shared" si="117"/>
        <v>36.114835479519201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-1.7053025658242404E-13</v>
      </c>
      <c r="BZ137" s="13">
        <f>BY137*VLOOKUP('Données projet'!$B$12,Paramètres!$A$1:$I$89,3,0)*VLOOKUP('Données projet'!$B$12,Paramètres!$A$1:$I$89,5,0)</f>
        <v>-1.3567387213697657E-13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299.10536994156814</v>
      </c>
      <c r="CE137" s="59">
        <f t="shared" si="148"/>
        <v>292.57799203101769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35.480381943053914</v>
      </c>
      <c r="CL137" s="21">
        <f>EXP(-LN(2)/25)*CL136+(1-EXP(-LN(2)/25))/(LN(2)/25)*Calculateur!CG137*Calculateur!CI137*VLOOKUP('Données projet'!$B$12,Paramètres!$A$1:$I$89,3,0)*0.475*44/12</f>
        <v>0.63445322642341329</v>
      </c>
      <c r="CM137" s="21">
        <f>EXP(-LN(2)/2)*CM136+(1-EXP(-LN(2)/2))/(LN(2)/2)*CG137*CJ137*VLOOKUP('Données projet'!$B$12,Paramètres!$A$1:$I$89,3,0)*0.475*44/12</f>
        <v>3.1004187383459285E-7</v>
      </c>
      <c r="CN137" s="22">
        <f t="shared" si="120"/>
        <v>36.114835479519201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7.1111111111111107</v>
      </c>
      <c r="CT137" s="12">
        <f>IF('Données projet'!$A$140&gt;35,CT136+CS137-DB136,IF(A137&lt;'Données projet'!$A$140,$CQ$205^A137,IF(A137='Données projet'!$A$140,'Données projet'!$B$140,CT136+CS137-DB136)))</f>
        <v>391.22222222222183</v>
      </c>
      <c r="CU137" s="17">
        <f>CT137*VLOOKUP('Données projet'!$B$13,Paramètres!$A$1:$I$89,3,0)*VLOOKUP('Données projet'!$B$13,Paramètres!$A$1:$I$89,5,0)</f>
        <v>353.97786666666627</v>
      </c>
      <c r="CV137" s="13">
        <f t="shared" si="149"/>
        <v>82.381055781393044</v>
      </c>
      <c r="CW137" s="20">
        <f t="shared" si="121"/>
        <v>759.99178993037003</v>
      </c>
      <c r="CX137" s="59">
        <f t="shared" si="122"/>
        <v>1053.3251232637033</v>
      </c>
      <c r="CY137" s="59">
        <f ca="1">AVERAGE(OFFSET($CX$3,0,0,'Données projet'!$E$13+1,1))-AVERAGE(OFFSET($H$3,0,0,'Données projet'!$E$13+1,1))</f>
        <v>528.15559695545812</v>
      </c>
      <c r="CZ137" s="59">
        <f t="shared" si="150"/>
        <v>276.26988364830532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44.633902774753615</v>
      </c>
      <c r="DG137" s="21">
        <f>EXP(-LN(2)/25)*DG136+(1-EXP(-LN(2)/25))/(LN(2)/25)*Calculateur!DB137*Calculateur!DD137*VLOOKUP('Données projet'!$B$13,Paramètres!$A$1:$I$89,3,0)*0.475*44/12</f>
        <v>16.396433933986451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61.030336708740066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7.1111111111111107</v>
      </c>
      <c r="DO137" s="12">
        <f>IF('Données projet'!$A$166&gt;35,DO136+DN137-DW136,IF(A137&lt;'Données projet'!$A$166,$DL$205^A137,IF(A137='Données projet'!$A$166,'Données projet'!$B$166,DO136+DN137-DW136)))</f>
        <v>391.22222222222183</v>
      </c>
      <c r="DP137" s="17">
        <f>DO137*VLOOKUP('Données projet'!$B$14,Paramètres!$A$1:$I$89,3,0)*VLOOKUP('Données projet'!$B$14,Paramètres!$A$1:$I$89,5,0)</f>
        <v>396.69933333333296</v>
      </c>
      <c r="DQ137" s="13">
        <f t="shared" si="151"/>
        <v>91.107183355354991</v>
      </c>
      <c r="DR137" s="20">
        <f t="shared" si="124"/>
        <v>849.59634989946483</v>
      </c>
      <c r="DS137" s="59">
        <f t="shared" si="125"/>
        <v>1142.9296832327982</v>
      </c>
      <c r="DT137" s="59">
        <f ca="1">AVERAGE(OFFSET($DS$3,0,0,'Données projet'!$E$14+1,1))-AVERAGE(OFFSET($H$3,0,0,'Données projet'!$E$14+1,1))</f>
        <v>586.50020405958992</v>
      </c>
      <c r="DU137" s="59">
        <f t="shared" si="152"/>
        <v>304.44184537595294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50.020753109637681</v>
      </c>
      <c r="EB137" s="21">
        <f>EXP(-LN(2)/25)*EB136+(1-EXP(-LN(2)/25))/(LN(2)/25)*Calculateur!DW137*Calculateur!DY137*VLOOKUP('Données projet'!$B$14,Paramètres!$A$1:$I$89,3,0)*0.475*44/12</f>
        <v>18.375313891536543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68.396067001174231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-1.7053025658242404E-13</v>
      </c>
      <c r="EK137" s="17">
        <f>EJ137*VLOOKUP('Données projet'!$B$15,Paramètres!$A$1:$I$89,3,0)*VLOOKUP('Données projet'!$B$15,Paramètres!$A$1:$I$89,5,0)</f>
        <v>-1.6493686416652052E-13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355.72173590705142</v>
      </c>
      <c r="EP137" s="59">
        <f t="shared" si="154"/>
        <v>346.30980704469363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34.994708938284035</v>
      </c>
      <c r="EW137" s="21">
        <f>EXP(-LN(2)/25)*EW136+(1-EXP(-LN(2)/25))/(LN(2)/25)*Calculateur!ER137*Calculateur!ET137*VLOOKUP('Données projet'!$B$15,Paramètres!$A$1:$I$89,3,0)*0.475*44/12</f>
        <v>0.62576851707170567</v>
      </c>
      <c r="EX137" s="21">
        <f>EXP(-LN(2)/2)*EX136+(1-EXP(-LN(2)/2))/(LN(2)/2)*ER137*EU137*VLOOKUP('Données projet'!$B$15,Paramètres!$A$1:$I$89,3,0)*0.475*44/12</f>
        <v>3.769136505440146E-7</v>
      </c>
      <c r="EY137" s="22">
        <f t="shared" si="129"/>
        <v>35.620477832269394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-1.383341441396624E-13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304.26232113495314</v>
      </c>
      <c r="FK137" s="59">
        <f t="shared" si="156"/>
        <v>297.47246687305056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36.176075706643239</v>
      </c>
      <c r="FR137" s="21">
        <f>EXP(-LN(2)/25)*FR136+(1-EXP(-LN(2)/25))/(LN(2)/25)*Calculateur!FM137*Calculateur!FO137*VLOOKUP('Données projet'!$B$16,Paramètres!$A$1:$I$89,3,0)*0.475*44/12</f>
        <v>0.64689348576504913</v>
      </c>
      <c r="FS137" s="21">
        <f>EXP(-LN(2)/2)*FS136+(1-EXP(-LN(2)/2))/(LN(2)/2)*FM137*FP137*VLOOKUP('Données projet'!$B$16,Paramètres!$A$1:$I$89,3,0)*0.475*44/12</f>
        <v>3.16121126262723E-7</v>
      </c>
      <c r="FT137" s="22">
        <f t="shared" si="132"/>
        <v>36.822969508529411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-1.4897523215040567E-13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381.72225529388083</v>
      </c>
      <c r="T138" s="59">
        <f t="shared" si="142"/>
        <v>360.05900046417361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59.737476384971352</v>
      </c>
      <c r="AA138" s="21">
        <f>EXP(-LN(2)/25)*AA137+(1-EXP(-LN(2)/25))/(LN(2)/25)*Calculateur!V138*Calculateur!X138*VLOOKUP('Données projet'!$B$9,Paramètres!$A$1:$I$89,3,0)*0.475*44/12</f>
        <v>7.2514793340461621</v>
      </c>
      <c r="AB138" s="21">
        <f>EXP(-LN(2)/2)*AB137+(1-EXP(-LN(2)/2))/(LN(2)/2)*V138*Y138*VLOOKUP('Données projet'!$B$9,Paramètres!$A$1:$I$89,3,0)*0.475*44/12</f>
        <v>2.4795027287637329E-16</v>
      </c>
      <c r="AC138" s="22">
        <f t="shared" si="111"/>
        <v>66.988955719017511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-4.1677594708744434E-14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464.3681853739115</v>
      </c>
      <c r="AO138" s="59">
        <f t="shared" si="144"/>
        <v>272.97841038165217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95.503812638665067</v>
      </c>
      <c r="AV138" s="21">
        <f>EXP(-LN(2)/25)*AV137+(1-EXP(-LN(2)/25))/(LN(2)/25)*Calculateur!AQ138*Calculateur!AS138*VLOOKUP('Données projet'!$B$10,Paramètres!$A$1:$I$89,3,0)*0.475*44/12</f>
        <v>22.238348745730036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117.7421613843951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-1.3567387213697657E-13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299.10536994156814</v>
      </c>
      <c r="BJ138" s="59">
        <f t="shared" si="146"/>
        <v>292.57799203101769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34.784633294046749</v>
      </c>
      <c r="BQ138" s="21">
        <f>EXP(-LN(2)/25)*BQ137+(1-EXP(-LN(2)/25))/(LN(2)/25)*Calculateur!BL138*Calculateur!BN138*VLOOKUP('Données projet'!$B$11,Paramètres!$A$1:$I$89,3,0)*0.475*44/12</f>
        <v>0.61710406958241992</v>
      </c>
      <c r="BR138" s="21">
        <f>EXP(-LN(2)/2)*BR137+(1-EXP(-LN(2)/2))/(LN(2)/2)*BL138*BO138*VLOOKUP('Données projet'!$B$11,Paramètres!$A$1:$I$89,3,0)*0.475*44/12</f>
        <v>2.1923271144022462E-7</v>
      </c>
      <c r="BS138" s="22">
        <f t="shared" si="117"/>
        <v>35.401737582861877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-1.7053025658242404E-13</v>
      </c>
      <c r="BZ138" s="13">
        <f>BY138*VLOOKUP('Données projet'!$B$12,Paramètres!$A$1:$I$89,3,0)*VLOOKUP('Données projet'!$B$12,Paramètres!$A$1:$I$89,5,0)</f>
        <v>-1.3567387213697657E-13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299.10536994156814</v>
      </c>
      <c r="CE138" s="59">
        <f t="shared" si="148"/>
        <v>292.57799203101769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34.784633294046749</v>
      </c>
      <c r="CL138" s="21">
        <f>EXP(-LN(2)/25)*CL137+(1-EXP(-LN(2)/25))/(LN(2)/25)*Calculateur!CG138*Calculateur!CI138*VLOOKUP('Données projet'!$B$12,Paramètres!$A$1:$I$89,3,0)*0.475*44/12</f>
        <v>0.61710406958241992</v>
      </c>
      <c r="CM138" s="21">
        <f>EXP(-LN(2)/2)*CM137+(1-EXP(-LN(2)/2))/(LN(2)/2)*CG138*CJ138*VLOOKUP('Données projet'!$B$12,Paramètres!$A$1:$I$89,3,0)*0.475*44/12</f>
        <v>2.1923271144022462E-7</v>
      </c>
      <c r="CN138" s="22">
        <f t="shared" si="120"/>
        <v>35.401737582861877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7.1111111111111107</v>
      </c>
      <c r="CT138" s="12">
        <f>IF('Données projet'!$A$140&gt;35,CT137+CS138-DB137,IF(A138&lt;'Données projet'!$A$140,$CQ$205^A138,IF(A138='Données projet'!$A$140,'Données projet'!$B$140,CT137+CS138-DB137)))</f>
        <v>398.33333333333292</v>
      </c>
      <c r="CU138" s="17">
        <f>CT138*VLOOKUP('Données projet'!$B$13,Paramètres!$A$1:$I$89,3,0)*VLOOKUP('Données projet'!$B$13,Paramètres!$A$1:$I$89,5,0)</f>
        <v>360.41199999999964</v>
      </c>
      <c r="CV138" s="13">
        <f t="shared" si="149"/>
        <v>83.70277868501104</v>
      </c>
      <c r="CW138" s="20">
        <f t="shared" si="121"/>
        <v>773.49990620972676</v>
      </c>
      <c r="CX138" s="59">
        <f t="shared" si="122"/>
        <v>1066.83323954306</v>
      </c>
      <c r="CY138" s="59">
        <f ca="1">AVERAGE(OFFSET($CX$3,0,0,'Données projet'!$E$13+1,1))-AVERAGE(OFFSET($H$3,0,0,'Données projet'!$E$13+1,1))</f>
        <v>528.15559695545812</v>
      </c>
      <c r="CZ138" s="59">
        <f t="shared" si="150"/>
        <v>276.26988364830532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43.758659165333242</v>
      </c>
      <c r="DG138" s="21">
        <f>EXP(-LN(2)/25)*DG137+(1-EXP(-LN(2)/25))/(LN(2)/25)*Calculateur!DB138*Calculateur!DD138*VLOOKUP('Données projet'!$B$13,Paramètres!$A$1:$I$89,3,0)*0.475*44/12</f>
        <v>15.948072585810605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59.706731751143849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7.1111111111111107</v>
      </c>
      <c r="DO138" s="12">
        <f>IF('Données projet'!$A$166&gt;35,DO137+DN138-DW137,IF(A138&lt;'Données projet'!$A$166,$DL$205^A138,IF(A138='Données projet'!$A$166,'Données projet'!$B$166,DO137+DN138-DW137)))</f>
        <v>398.33333333333292</v>
      </c>
      <c r="DP138" s="17">
        <f>DO138*VLOOKUP('Données projet'!$B$14,Paramètres!$A$1:$I$89,3,0)*VLOOKUP('Données projet'!$B$14,Paramètres!$A$1:$I$89,5,0)</f>
        <v>403.90999999999963</v>
      </c>
      <c r="DQ138" s="13">
        <f t="shared" si="151"/>
        <v>92.568908381609006</v>
      </c>
      <c r="DR138" s="20">
        <f t="shared" si="124"/>
        <v>864.70076543130153</v>
      </c>
      <c r="DS138" s="59">
        <f t="shared" si="125"/>
        <v>1158.0340987646348</v>
      </c>
      <c r="DT138" s="59">
        <f ca="1">AVERAGE(OFFSET($DS$3,0,0,'Données projet'!$E$14+1,1))-AVERAGE(OFFSET($H$3,0,0,'Données projet'!$E$14+1,1))</f>
        <v>586.50020405958992</v>
      </c>
      <c r="DU138" s="59">
        <f t="shared" si="152"/>
        <v>304.44184537595294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49.039876650804509</v>
      </c>
      <c r="EB138" s="21">
        <f>EXP(-LN(2)/25)*EB137+(1-EXP(-LN(2)/25))/(LN(2)/25)*Calculateur!DW138*Calculateur!DY138*VLOOKUP('Données projet'!$B$14,Paramètres!$A$1:$I$89,3,0)*0.475*44/12</f>
        <v>17.872839966856716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66.912716617661232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-1.7053025658242404E-13</v>
      </c>
      <c r="EK138" s="17">
        <f>EJ138*VLOOKUP('Données projet'!$B$15,Paramètres!$A$1:$I$89,3,0)*VLOOKUP('Données projet'!$B$15,Paramètres!$A$1:$I$89,5,0)</f>
        <v>-1.6493686416652052E-13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355.72173590705142</v>
      </c>
      <c r="EP138" s="59">
        <f t="shared" si="154"/>
        <v>346.30980704469363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34.308484040669128</v>
      </c>
      <c r="EW138" s="21">
        <f>EXP(-LN(2)/25)*EW137+(1-EXP(-LN(2)/25))/(LN(2)/25)*Calculateur!ER138*Calculateur!ET138*VLOOKUP('Données projet'!$B$15,Paramètres!$A$1:$I$89,3,0)*0.475*44/12</f>
        <v>0.60865684406464382</v>
      </c>
      <c r="EX138" s="21">
        <f>EXP(-LN(2)/2)*EX137+(1-EXP(-LN(2)/2))/(LN(2)/2)*ER138*EU138*VLOOKUP('Données projet'!$B$15,Paramètres!$A$1:$I$89,3,0)*0.475*44/12</f>
        <v>2.6651819822144936E-7</v>
      </c>
      <c r="EY138" s="22">
        <f t="shared" si="129"/>
        <v>34.917141151251968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-1.383341441396624E-13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304.26232113495314</v>
      </c>
      <c r="FK138" s="59">
        <f t="shared" si="156"/>
        <v>297.47246687305056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35.466684927263387</v>
      </c>
      <c r="FR138" s="21">
        <f>EXP(-LN(2)/25)*FR137+(1-EXP(-LN(2)/25))/(LN(2)/25)*Calculateur!FM138*Calculateur!FO138*VLOOKUP('Données projet'!$B$16,Paramètres!$A$1:$I$89,3,0)*0.475*44/12</f>
        <v>0.62920414937815394</v>
      </c>
      <c r="FS138" s="21">
        <f>EXP(-LN(2)/2)*FS137+(1-EXP(-LN(2)/2))/(LN(2)/2)*FM138*FP138*VLOOKUP('Données projet'!$B$16,Paramètres!$A$1:$I$89,3,0)*0.475*44/12</f>
        <v>2.2353139205670024E-7</v>
      </c>
      <c r="FT138" s="22">
        <f t="shared" si="132"/>
        <v>36.095889300172935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-1.4897523215040567E-13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381.72225529388083</v>
      </c>
      <c r="T139" s="59">
        <f t="shared" si="142"/>
        <v>360.05900046417361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58.566060909324875</v>
      </c>
      <c r="AA139" s="21">
        <f>EXP(-LN(2)/25)*AA138+(1-EXP(-LN(2)/25))/(LN(2)/25)*Calculateur!V139*Calculateur!X139*VLOOKUP('Données projet'!$B$9,Paramètres!$A$1:$I$89,3,0)*0.475*44/12</f>
        <v>7.0531872503179454</v>
      </c>
      <c r="AB139" s="21">
        <f>EXP(-LN(2)/2)*AB138+(1-EXP(-LN(2)/2))/(LN(2)/2)*V139*Y139*VLOOKUP('Données projet'!$B$9,Paramètres!$A$1:$I$89,3,0)*0.475*44/12</f>
        <v>1.7532731934793844E-16</v>
      </c>
      <c r="AC139" s="22">
        <f t="shared" si="111"/>
        <v>65.619248159642822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-4.1677594708744434E-14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464.3681853739115</v>
      </c>
      <c r="AO139" s="59">
        <f t="shared" si="144"/>
        <v>272.97841038165217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93.631041124394685</v>
      </c>
      <c r="AV139" s="21">
        <f>EXP(-LN(2)/25)*AV138+(1-EXP(-LN(2)/25))/(LN(2)/25)*Calculateur!AQ139*Calculateur!AS139*VLOOKUP('Données projet'!$B$10,Paramètres!$A$1:$I$89,3,0)*0.475*44/12</f>
        <v>21.630239929814113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115.26128105420879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-1.3567387213697657E-13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299.10536994156814</v>
      </c>
      <c r="BJ139" s="59">
        <f t="shared" si="146"/>
        <v>292.57799203101769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34.102527851681842</v>
      </c>
      <c r="BQ139" s="21">
        <f>EXP(-LN(2)/25)*BQ138+(1-EXP(-LN(2)/25))/(LN(2)/25)*Calculateur!BL139*Calculateur!BN139*VLOOKUP('Données projet'!$B$11,Paramètres!$A$1:$I$89,3,0)*0.475*44/12</f>
        <v>0.60022932634759607</v>
      </c>
      <c r="BR139" s="21">
        <f>EXP(-LN(2)/2)*BR138+(1-EXP(-LN(2)/2))/(LN(2)/2)*BL139*BO139*VLOOKUP('Données projet'!$B$11,Paramètres!$A$1:$I$89,3,0)*0.475*44/12</f>
        <v>1.5502093691729642E-7</v>
      </c>
      <c r="BS139" s="22">
        <f t="shared" si="117"/>
        <v>34.702757333050371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-1.7053025658242404E-13</v>
      </c>
      <c r="BZ139" s="13">
        <f>BY139*VLOOKUP('Données projet'!$B$12,Paramètres!$A$1:$I$89,3,0)*VLOOKUP('Données projet'!$B$12,Paramètres!$A$1:$I$89,5,0)</f>
        <v>-1.3567387213697657E-13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299.10536994156814</v>
      </c>
      <c r="CE139" s="59">
        <f t="shared" si="148"/>
        <v>292.57799203101769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34.102527851681842</v>
      </c>
      <c r="CL139" s="21">
        <f>EXP(-LN(2)/25)*CL138+(1-EXP(-LN(2)/25))/(LN(2)/25)*Calculateur!CG139*Calculateur!CI139*VLOOKUP('Données projet'!$B$12,Paramètres!$A$1:$I$89,3,0)*0.475*44/12</f>
        <v>0.60022932634759607</v>
      </c>
      <c r="CM139" s="21">
        <f>EXP(-LN(2)/2)*CM138+(1-EXP(-LN(2)/2))/(LN(2)/2)*CG139*CJ139*VLOOKUP('Données projet'!$B$12,Paramètres!$A$1:$I$89,3,0)*0.475*44/12</f>
        <v>1.5502093691729642E-7</v>
      </c>
      <c r="CN139" s="22">
        <f t="shared" si="120"/>
        <v>34.702757333050371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7.1111111111111107</v>
      </c>
      <c r="CT139" s="12">
        <f>IF('Données projet'!$A$140&gt;35,CT138+CS139-DB138,IF(A139&lt;'Données projet'!$A$140,$CQ$205^A139,IF(A139='Données projet'!$A$140,'Données projet'!$B$140,CT138+CS139-DB138)))</f>
        <v>405.444444444444</v>
      </c>
      <c r="CU139" s="17">
        <f>CT139*VLOOKUP('Données projet'!$B$13,Paramètres!$A$1:$I$89,3,0)*VLOOKUP('Données projet'!$B$13,Paramètres!$A$1:$I$89,5,0)</f>
        <v>366.84613333333294</v>
      </c>
      <c r="CV139" s="13">
        <f t="shared" si="149"/>
        <v>85.021757757075406</v>
      </c>
      <c r="CW139" s="20">
        <f t="shared" si="121"/>
        <v>787.00324364912785</v>
      </c>
      <c r="CX139" s="59">
        <f t="shared" si="122"/>
        <v>1080.3365769824611</v>
      </c>
      <c r="CY139" s="59">
        <f ca="1">AVERAGE(OFFSET($CX$3,0,0,'Données projet'!$E$13+1,1))-AVERAGE(OFFSET($H$3,0,0,'Données projet'!$E$13+1,1))</f>
        <v>528.15559695545812</v>
      </c>
      <c r="CZ139" s="59">
        <f t="shared" si="150"/>
        <v>276.26988364830532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42.900578549247712</v>
      </c>
      <c r="DG139" s="21">
        <f>EXP(-LN(2)/25)*DG138+(1-EXP(-LN(2)/25))/(LN(2)/25)*Calculateur!DB139*Calculateur!DD139*VLOOKUP('Données projet'!$B$13,Paramètres!$A$1:$I$89,3,0)*0.475*44/12</f>
        <v>15.511971702278927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58.412550251526639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7.1111111111111107</v>
      </c>
      <c r="DO139" s="12">
        <f>IF('Données projet'!$A$166&gt;35,DO138+DN139-DW138,IF(A139&lt;'Données projet'!$A$166,$DL$205^A139,IF(A139='Données projet'!$A$166,'Données projet'!$B$166,DO138+DN139-DW138)))</f>
        <v>405.444444444444</v>
      </c>
      <c r="DP139" s="17">
        <f>DO139*VLOOKUP('Données projet'!$B$14,Paramètres!$A$1:$I$89,3,0)*VLOOKUP('Données projet'!$B$14,Paramètres!$A$1:$I$89,5,0)</f>
        <v>411.12066666666624</v>
      </c>
      <c r="DQ139" s="13">
        <f t="shared" si="151"/>
        <v>94.027598938808595</v>
      </c>
      <c r="DR139" s="20">
        <f t="shared" si="124"/>
        <v>879.79989592953541</v>
      </c>
      <c r="DS139" s="59">
        <f t="shared" si="125"/>
        <v>1173.1332292628688</v>
      </c>
      <c r="DT139" s="59">
        <f ca="1">AVERAGE(OFFSET($DS$3,0,0,'Données projet'!$E$14+1,1))-AVERAGE(OFFSET($H$3,0,0,'Données projet'!$E$14+1,1))</f>
        <v>586.50020405958992</v>
      </c>
      <c r="DU139" s="59">
        <f t="shared" si="152"/>
        <v>304.44184537595294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48.078234581053486</v>
      </c>
      <c r="EB139" s="21">
        <f>EXP(-LN(2)/25)*EB138+(1-EXP(-LN(2)/25))/(LN(2)/25)*Calculateur!DW139*Calculateur!DY139*VLOOKUP('Données projet'!$B$14,Paramètres!$A$1:$I$89,3,0)*0.475*44/12</f>
        <v>17.384106218071214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65.462340799124703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-1.7053025658242404E-13</v>
      </c>
      <c r="EK139" s="17">
        <f>EJ139*VLOOKUP('Données projet'!$B$15,Paramètres!$A$1:$I$89,3,0)*VLOOKUP('Données projet'!$B$15,Paramètres!$A$1:$I$89,5,0)</f>
        <v>-1.6493686416652052E-13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355.72173590705142</v>
      </c>
      <c r="EP139" s="59">
        <f t="shared" si="154"/>
        <v>346.30980704469363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33.635715594740589</v>
      </c>
      <c r="EW139" s="21">
        <f>EXP(-LN(2)/25)*EW138+(1-EXP(-LN(2)/25))/(LN(2)/25)*Calculateur!ER139*Calculateur!ET139*VLOOKUP('Données projet'!$B$15,Paramètres!$A$1:$I$89,3,0)*0.475*44/12</f>
        <v>0.59201309065582386</v>
      </c>
      <c r="EX139" s="21">
        <f>EXP(-LN(2)/2)*EX138+(1-EXP(-LN(2)/2))/(LN(2)/2)*ER139*EU139*VLOOKUP('Données projet'!$B$15,Paramètres!$A$1:$I$89,3,0)*0.475*44/12</f>
        <v>1.884568252720073E-7</v>
      </c>
      <c r="EY139" s="22">
        <f t="shared" si="129"/>
        <v>34.227728873853238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-1.383341441396624E-13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304.26232113495314</v>
      </c>
      <c r="FK139" s="59">
        <f t="shared" si="156"/>
        <v>297.47246687305056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34.771204868381524</v>
      </c>
      <c r="FR139" s="21">
        <f>EXP(-LN(2)/25)*FR138+(1-EXP(-LN(2)/25))/(LN(2)/25)*Calculateur!FM139*Calculateur!FO139*VLOOKUP('Données projet'!$B$16,Paramètres!$A$1:$I$89,3,0)*0.475*44/12</f>
        <v>0.61199852882500017</v>
      </c>
      <c r="FS139" s="21">
        <f>EXP(-LN(2)/2)*FS138+(1-EXP(-LN(2)/2))/(LN(2)/2)*FM139*FP139*VLOOKUP('Données projet'!$B$16,Paramètres!$A$1:$I$89,3,0)*0.475*44/12</f>
        <v>1.580605631313615E-7</v>
      </c>
      <c r="FT139" s="22">
        <f t="shared" si="132"/>
        <v>35.383203555267087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-1.4897523215040567E-13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381.72225529388083</v>
      </c>
      <c r="T140" s="59">
        <f t="shared" si="142"/>
        <v>360.05900046417361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57.417616176662939</v>
      </c>
      <c r="AA140" s="21">
        <f>EXP(-LN(2)/25)*AA139+(1-EXP(-LN(2)/25))/(LN(2)/25)*Calculateur!V140*Calculateur!X140*VLOOKUP('Données projet'!$B$9,Paramètres!$A$1:$I$89,3,0)*0.475*44/12</f>
        <v>6.8603174740470036</v>
      </c>
      <c r="AB140" s="21">
        <f>EXP(-LN(2)/2)*AB139+(1-EXP(-LN(2)/2))/(LN(2)/2)*V140*Y140*VLOOKUP('Données projet'!$B$9,Paramètres!$A$1:$I$89,3,0)*0.475*44/12</f>
        <v>1.2397513643818665E-16</v>
      </c>
      <c r="AC140" s="22">
        <f t="shared" si="111"/>
        <v>64.27793365070994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-4.1677594708744434E-14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464.3681853739115</v>
      </c>
      <c r="AO140" s="59">
        <f t="shared" si="144"/>
        <v>272.97841038165217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91.794993517241309</v>
      </c>
      <c r="AV140" s="21">
        <f>EXP(-LN(2)/25)*AV139+(1-EXP(-LN(2)/25))/(LN(2)/25)*Calculateur!AQ140*Calculateur!AS140*VLOOKUP('Données projet'!$B$10,Paramètres!$A$1:$I$89,3,0)*0.475*44/12</f>
        <v>21.038759881448463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112.83375339868977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-1.3567387213697657E-13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299.10536994156814</v>
      </c>
      <c r="BJ140" s="59">
        <f t="shared" si="146"/>
        <v>292.57799203101769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33.433798080998471</v>
      </c>
      <c r="BQ140" s="21">
        <f>EXP(-LN(2)/25)*BQ139+(1-EXP(-LN(2)/25))/(LN(2)/25)*Calculateur!BL140*Calculateur!BN140*VLOOKUP('Données projet'!$B$11,Paramètres!$A$1:$I$89,3,0)*0.475*44/12</f>
        <v>0.58381602385393261</v>
      </c>
      <c r="BR140" s="21">
        <f>EXP(-LN(2)/2)*BR139+(1-EXP(-LN(2)/2))/(LN(2)/2)*BL140*BO140*VLOOKUP('Données projet'!$B$11,Paramètres!$A$1:$I$89,3,0)*0.475*44/12</f>
        <v>1.0961635572011231E-7</v>
      </c>
      <c r="BS140" s="22">
        <f t="shared" si="117"/>
        <v>34.017614214468765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-1.7053025658242404E-13</v>
      </c>
      <c r="BZ140" s="13">
        <f>BY140*VLOOKUP('Données projet'!$B$12,Paramètres!$A$1:$I$89,3,0)*VLOOKUP('Données projet'!$B$12,Paramètres!$A$1:$I$89,5,0)</f>
        <v>-1.3567387213697657E-13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299.10536994156814</v>
      </c>
      <c r="CE140" s="59">
        <f t="shared" si="148"/>
        <v>292.57799203101769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33.433798080998471</v>
      </c>
      <c r="CL140" s="21">
        <f>EXP(-LN(2)/25)*CL139+(1-EXP(-LN(2)/25))/(LN(2)/25)*Calculateur!CG140*Calculateur!CI140*VLOOKUP('Données projet'!$B$12,Paramètres!$A$1:$I$89,3,0)*0.475*44/12</f>
        <v>0.58381602385393261</v>
      </c>
      <c r="CM140" s="21">
        <f>EXP(-LN(2)/2)*CM139+(1-EXP(-LN(2)/2))/(LN(2)/2)*CG140*CJ140*VLOOKUP('Données projet'!$B$12,Paramètres!$A$1:$I$89,3,0)*0.475*44/12</f>
        <v>1.0961635572011231E-7</v>
      </c>
      <c r="CN140" s="22">
        <f t="shared" si="120"/>
        <v>34.017614214468765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7.1111111111111107</v>
      </c>
      <c r="CT140" s="12">
        <f>IF('Données projet'!$A$140&gt;35,CT139+CS140-DB139,IF(A140&lt;'Données projet'!$A$140,$CQ$205^A140,IF(A140='Données projet'!$A$140,'Données projet'!$B$140,CT139+CS140-DB139)))</f>
        <v>412.55555555555509</v>
      </c>
      <c r="CU140" s="17">
        <f>CT140*VLOOKUP('Données projet'!$B$13,Paramètres!$A$1:$I$89,3,0)*VLOOKUP('Données projet'!$B$13,Paramètres!$A$1:$I$89,5,0)</f>
        <v>373.28026666666625</v>
      </c>
      <c r="CV140" s="13">
        <f t="shared" si="149"/>
        <v>86.338046674190522</v>
      </c>
      <c r="CW140" s="20">
        <f t="shared" si="121"/>
        <v>800.50189573532555</v>
      </c>
      <c r="CX140" s="59">
        <f t="shared" si="122"/>
        <v>1093.8352290686589</v>
      </c>
      <c r="CY140" s="59">
        <f ca="1">AVERAGE(OFFSET($CX$3,0,0,'Données projet'!$E$13+1,1))-AVERAGE(OFFSET($H$3,0,0,'Données projet'!$E$13+1,1))</f>
        <v>528.15559695545812</v>
      </c>
      <c r="CZ140" s="59">
        <f t="shared" si="150"/>
        <v>276.26988364830532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42.059324370666126</v>
      </c>
      <c r="DG140" s="21">
        <f>EXP(-LN(2)/25)*DG139+(1-EXP(-LN(2)/25))/(LN(2)/25)*Calculateur!DB140*Calculateur!DD140*VLOOKUP('Données projet'!$B$13,Paramètres!$A$1:$I$89,3,0)*0.475*44/12</f>
        <v>15.087796020340971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57.147120391007093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7.1111111111111107</v>
      </c>
      <c r="DO140" s="12">
        <f>IF('Données projet'!$A$166&gt;35,DO139+DN140-DW139,IF(A140&lt;'Données projet'!$A$166,$DL$205^A140,IF(A140='Données projet'!$A$166,'Données projet'!$B$166,DO139+DN140-DW139)))</f>
        <v>412.55555555555509</v>
      </c>
      <c r="DP140" s="17">
        <f>DO140*VLOOKUP('Données projet'!$B$14,Paramètres!$A$1:$I$89,3,0)*VLOOKUP('Données projet'!$B$14,Paramètres!$A$1:$I$89,5,0)</f>
        <v>418.33133333333291</v>
      </c>
      <c r="DQ140" s="13">
        <f t="shared" si="151"/>
        <v>95.483314389196252</v>
      </c>
      <c r="DR140" s="20">
        <f t="shared" si="124"/>
        <v>894.89384478340492</v>
      </c>
      <c r="DS140" s="59">
        <f t="shared" si="125"/>
        <v>1188.2271781167383</v>
      </c>
      <c r="DT140" s="59">
        <f ca="1">AVERAGE(OFFSET($DS$3,0,0,'Données projet'!$E$14+1,1))-AVERAGE(OFFSET($H$3,0,0,'Données projet'!$E$14+1,1))</f>
        <v>586.50020405958992</v>
      </c>
      <c r="DU140" s="59">
        <f t="shared" si="152"/>
        <v>304.44184537595294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47.135449725746533</v>
      </c>
      <c r="EB140" s="21">
        <f>EXP(-LN(2)/25)*EB139+(1-EXP(-LN(2)/25))/(LN(2)/25)*Calculateur!DW140*Calculateur!DY140*VLOOKUP('Données projet'!$B$14,Paramètres!$A$1:$I$89,3,0)*0.475*44/12</f>
        <v>16.908736919347643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64.044186645094172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-1.7053025658242404E-13</v>
      </c>
      <c r="EK140" s="17">
        <f>EJ140*VLOOKUP('Données projet'!$B$15,Paramètres!$A$1:$I$89,3,0)*VLOOKUP('Données projet'!$B$15,Paramètres!$A$1:$I$89,5,0)</f>
        <v>-1.6493686416652052E-13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355.72173590705142</v>
      </c>
      <c r="EP140" s="59">
        <f t="shared" si="154"/>
        <v>346.30980704469363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32.976139727688476</v>
      </c>
      <c r="EW140" s="21">
        <f>EXP(-LN(2)/25)*EW139+(1-EXP(-LN(2)/25))/(LN(2)/25)*Calculateur!ER140*Calculateur!ET140*VLOOKUP('Données projet'!$B$15,Paramètres!$A$1:$I$89,3,0)*0.475*44/12</f>
        <v>0.57582446155922495</v>
      </c>
      <c r="EX140" s="21">
        <f>EXP(-LN(2)/2)*EX139+(1-EXP(-LN(2)/2))/(LN(2)/2)*ER140*EU140*VLOOKUP('Données projet'!$B$15,Paramètres!$A$1:$I$89,3,0)*0.475*44/12</f>
        <v>1.3325909911072468E-7</v>
      </c>
      <c r="EY140" s="22">
        <f t="shared" si="129"/>
        <v>33.551964322506798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-1.383341441396624E-13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304.26232113495314</v>
      </c>
      <c r="FK140" s="59">
        <f t="shared" si="156"/>
        <v>297.47246687305056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34.089362749253382</v>
      </c>
      <c r="FR140" s="21">
        <f>EXP(-LN(2)/25)*FR139+(1-EXP(-LN(2)/25))/(LN(2)/25)*Calculateur!FM140*Calculateur!FO140*VLOOKUP('Données projet'!$B$16,Paramètres!$A$1:$I$89,3,0)*0.475*44/12</f>
        <v>0.59526339687067664</v>
      </c>
      <c r="FS140" s="21">
        <f>EXP(-LN(2)/2)*FS139+(1-EXP(-LN(2)/2))/(LN(2)/2)*FM140*FP140*VLOOKUP('Données projet'!$B$16,Paramètres!$A$1:$I$89,3,0)*0.475*44/12</f>
        <v>1.1176569602835012E-7</v>
      </c>
      <c r="FT140" s="22">
        <f t="shared" si="132"/>
        <v>34.684626257889754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-1.4897523215040567E-13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381.72225529388083</v>
      </c>
      <c r="T141" s="59">
        <f t="shared" si="142"/>
        <v>360.05900046417361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56.291691744726378</v>
      </c>
      <c r="AA141" s="21">
        <f>EXP(-LN(2)/25)*AA140+(1-EXP(-LN(2)/25))/(LN(2)/25)*Calculateur!V141*Calculateur!X141*VLOOKUP('Données projet'!$B$9,Paramètres!$A$1:$I$89,3,0)*0.475*44/12</f>
        <v>6.6727217319507721</v>
      </c>
      <c r="AB141" s="21">
        <f>EXP(-LN(2)/2)*AB140+(1-EXP(-LN(2)/2))/(LN(2)/2)*V141*Y141*VLOOKUP('Données projet'!$B$9,Paramètres!$A$1:$I$89,3,0)*0.475*44/12</f>
        <v>8.7663659673969221E-17</v>
      </c>
      <c r="AC141" s="22">
        <f t="shared" si="111"/>
        <v>62.964413476677151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-4.1677594708744434E-14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464.3681853739115</v>
      </c>
      <c r="AO141" s="59">
        <f t="shared" si="144"/>
        <v>272.97841038165217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89.994949683785762</v>
      </c>
      <c r="AV141" s="21">
        <f>EXP(-LN(2)/25)*AV140+(1-EXP(-LN(2)/25))/(LN(2)/25)*Calculateur!AQ141*Calculateur!AS141*VLOOKUP('Données projet'!$B$10,Paramètres!$A$1:$I$89,3,0)*0.475*44/12</f>
        <v>20.463453886109956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110.45840356989572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-1.3567387213697657E-13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299.10536994156814</v>
      </c>
      <c r="BJ141" s="59">
        <f t="shared" si="146"/>
        <v>292.57799203101769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32.778181693233321</v>
      </c>
      <c r="BQ141" s="21">
        <f>EXP(-LN(2)/25)*BQ140+(1-EXP(-LN(2)/25))/(LN(2)/25)*Calculateur!BL141*Calculateur!BN141*VLOOKUP('Données projet'!$B$11,Paramètres!$A$1:$I$89,3,0)*0.475*44/12</f>
        <v>0.56785154398009641</v>
      </c>
      <c r="BR141" s="21">
        <f>EXP(-LN(2)/2)*BR140+(1-EXP(-LN(2)/2))/(LN(2)/2)*BL141*BO141*VLOOKUP('Données projet'!$B$11,Paramètres!$A$1:$I$89,3,0)*0.475*44/12</f>
        <v>7.7510468458648212E-8</v>
      </c>
      <c r="BS141" s="22">
        <f t="shared" si="117"/>
        <v>33.34603331472389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-1.7053025658242404E-13</v>
      </c>
      <c r="BZ141" s="13">
        <f>BY141*VLOOKUP('Données projet'!$B$12,Paramètres!$A$1:$I$89,3,0)*VLOOKUP('Données projet'!$B$12,Paramètres!$A$1:$I$89,5,0)</f>
        <v>-1.3567387213697657E-13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299.10536994156814</v>
      </c>
      <c r="CE141" s="59">
        <f t="shared" si="148"/>
        <v>292.57799203101769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32.778181693233321</v>
      </c>
      <c r="CL141" s="21">
        <f>EXP(-LN(2)/25)*CL140+(1-EXP(-LN(2)/25))/(LN(2)/25)*Calculateur!CG141*Calculateur!CI141*VLOOKUP('Données projet'!$B$12,Paramètres!$A$1:$I$89,3,0)*0.475*44/12</f>
        <v>0.56785154398009641</v>
      </c>
      <c r="CM141" s="21">
        <f>EXP(-LN(2)/2)*CM140+(1-EXP(-LN(2)/2))/(LN(2)/2)*CG141*CJ141*VLOOKUP('Données projet'!$B$12,Paramètres!$A$1:$I$89,3,0)*0.475*44/12</f>
        <v>7.7510468458648212E-8</v>
      </c>
      <c r="CN141" s="22">
        <f t="shared" si="120"/>
        <v>33.34603331472389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7.1111111111111107</v>
      </c>
      <c r="CT141" s="12">
        <f>IF('Données projet'!$A$140&gt;35,CT140+CS141-DB140,IF(A141&lt;'Données projet'!$A$140,$CQ$205^A141,IF(A141='Données projet'!$A$140,'Données projet'!$B$140,CT140+CS141-DB140)))</f>
        <v>419.66666666666617</v>
      </c>
      <c r="CU141" s="17">
        <f>CT141*VLOOKUP('Données projet'!$B$13,Paramètres!$A$1:$I$89,3,0)*VLOOKUP('Données projet'!$B$13,Paramètres!$A$1:$I$89,5,0)</f>
        <v>379.7143999999995</v>
      </c>
      <c r="CV141" s="13">
        <f t="shared" si="149"/>
        <v>87.65169715652047</v>
      </c>
      <c r="CW141" s="20">
        <f t="shared" si="121"/>
        <v>813.9959525476055</v>
      </c>
      <c r="CX141" s="59">
        <f t="shared" si="122"/>
        <v>1107.3292858809389</v>
      </c>
      <c r="CY141" s="59">
        <f ca="1">AVERAGE(OFFSET($CX$3,0,0,'Données projet'!$E$13+1,1))-AVERAGE(OFFSET($H$3,0,0,'Données projet'!$E$13+1,1))</f>
        <v>528.15559695545812</v>
      </c>
      <c r="CZ141" s="59">
        <f t="shared" si="150"/>
        <v>276.26988364830532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41.234566673412139</v>
      </c>
      <c r="DG141" s="21">
        <f>EXP(-LN(2)/25)*DG140+(1-EXP(-LN(2)/25))/(LN(2)/25)*Calculateur!DB141*Calculateur!DD141*VLOOKUP('Données projet'!$B$13,Paramètres!$A$1:$I$89,3,0)*0.475*44/12</f>
        <v>14.675219444732038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55.909786118144176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7.1111111111111107</v>
      </c>
      <c r="DO141" s="12">
        <f>IF('Données projet'!$A$166&gt;35,DO140+DN141-DW140,IF(A141&lt;'Données projet'!$A$166,$DL$205^A141,IF(A141='Données projet'!$A$166,'Données projet'!$B$166,DO140+DN141-DW140)))</f>
        <v>419.66666666666617</v>
      </c>
      <c r="DP141" s="17">
        <f>DO141*VLOOKUP('Données projet'!$B$14,Paramètres!$A$1:$I$89,3,0)*VLOOKUP('Données projet'!$B$14,Paramètres!$A$1:$I$89,5,0)</f>
        <v>425.54199999999952</v>
      </c>
      <c r="DQ141" s="13">
        <f t="shared" si="151"/>
        <v>96.936111931340861</v>
      </c>
      <c r="DR141" s="20">
        <f t="shared" si="124"/>
        <v>909.98271161375123</v>
      </c>
      <c r="DS141" s="59">
        <f t="shared" si="125"/>
        <v>1203.3160449470845</v>
      </c>
      <c r="DT141" s="59">
        <f ca="1">AVERAGE(OFFSET($DS$3,0,0,'Données projet'!$E$14+1,1))-AVERAGE(OFFSET($H$3,0,0,'Données projet'!$E$14+1,1))</f>
        <v>586.50020405958992</v>
      </c>
      <c r="DU141" s="59">
        <f t="shared" si="152"/>
        <v>304.44184537595294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46.21115230641017</v>
      </c>
      <c r="EB141" s="21">
        <f>EXP(-LN(2)/25)*EB140+(1-EXP(-LN(2)/25))/(LN(2)/25)*Calculateur!DW141*Calculateur!DY141*VLOOKUP('Données projet'!$B$14,Paramètres!$A$1:$I$89,3,0)*0.475*44/12</f>
        <v>16.446366619096253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62.657518925506423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-1.7053025658242404E-13</v>
      </c>
      <c r="EK141" s="17">
        <f>EJ141*VLOOKUP('Données projet'!$B$15,Paramètres!$A$1:$I$89,3,0)*VLOOKUP('Données projet'!$B$15,Paramètres!$A$1:$I$89,5,0)</f>
        <v>-1.6493686416652052E-13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355.72173590705142</v>
      </c>
      <c r="EP141" s="59">
        <f t="shared" si="154"/>
        <v>346.30980704469363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32.3294977410877</v>
      </c>
      <c r="EW141" s="21">
        <f>EXP(-LN(2)/25)*EW140+(1-EXP(-LN(2)/25))/(LN(2)/25)*Calculateur!ER141*Calculateur!ET141*VLOOKUP('Données projet'!$B$15,Paramètres!$A$1:$I$89,3,0)*0.475*44/12</f>
        <v>0.56007851137659559</v>
      </c>
      <c r="EX141" s="21">
        <f>EXP(-LN(2)/2)*EX140+(1-EXP(-LN(2)/2))/(LN(2)/2)*ER141*EU141*VLOOKUP('Données projet'!$B$15,Paramètres!$A$1:$I$89,3,0)*0.475*44/12</f>
        <v>9.4228412636003649E-8</v>
      </c>
      <c r="EY141" s="22">
        <f t="shared" si="129"/>
        <v>32.889576346692706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-1.383341441396624E-13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304.26232113495314</v>
      </c>
      <c r="FK141" s="59">
        <f t="shared" si="156"/>
        <v>297.47246687305056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33.420891138198719</v>
      </c>
      <c r="FR141" s="21">
        <f>EXP(-LN(2)/25)*FR140+(1-EXP(-LN(2)/25))/(LN(2)/25)*Calculateur!FM141*Calculateur!FO141*VLOOKUP('Données projet'!$B$16,Paramètres!$A$1:$I$89,3,0)*0.475*44/12</f>
        <v>0.5789858879797064</v>
      </c>
      <c r="FS141" s="21">
        <f>EXP(-LN(2)/2)*FS140+(1-EXP(-LN(2)/2))/(LN(2)/2)*FM141*FP141*VLOOKUP('Données projet'!$B$16,Paramètres!$A$1:$I$89,3,0)*0.475*44/12</f>
        <v>7.903028156568075E-8</v>
      </c>
      <c r="FT141" s="22">
        <f t="shared" si="132"/>
        <v>33.999877105208704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-1.4897523215040567E-13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381.72225529388083</v>
      </c>
      <c r="T142" s="59">
        <f t="shared" si="142"/>
        <v>360.05900046417361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55.187846004154004</v>
      </c>
      <c r="AA142" s="21">
        <f>EXP(-LN(2)/25)*AA141+(1-EXP(-LN(2)/25))/(LN(2)/25)*Calculateur!V142*Calculateur!X142*VLOOKUP('Données projet'!$B$9,Paramètres!$A$1:$I$89,3,0)*0.475*44/12</f>
        <v>6.4902558052873927</v>
      </c>
      <c r="AB142" s="21">
        <f>EXP(-LN(2)/2)*AB141+(1-EXP(-LN(2)/2))/(LN(2)/2)*V142*Y142*VLOOKUP('Données projet'!$B$9,Paramètres!$A$1:$I$89,3,0)*0.475*44/12</f>
        <v>6.1987568219093324E-17</v>
      </c>
      <c r="AC142" s="22">
        <f t="shared" si="111"/>
        <v>61.678101809441394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-4.1677594708744434E-14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464.3681853739115</v>
      </c>
      <c r="AO142" s="59">
        <f t="shared" si="144"/>
        <v>272.97841038165217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88.230203611985942</v>
      </c>
      <c r="AV142" s="21">
        <f>EXP(-LN(2)/25)*AV141+(1-EXP(-LN(2)/25))/(LN(2)/25)*Calculateur!AQ142*Calculateur!AS142*VLOOKUP('Données projet'!$B$10,Paramètres!$A$1:$I$89,3,0)*0.475*44/12</f>
        <v>19.903879663468011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108.13408327545395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-1.3567387213697657E-13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299.10536994156814</v>
      </c>
      <c r="BJ142" s="59">
        <f t="shared" si="146"/>
        <v>292.57799203101769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32.135421542945735</v>
      </c>
      <c r="BQ142" s="21">
        <f>EXP(-LN(2)/25)*BQ141+(1-EXP(-LN(2)/25))/(LN(2)/25)*Calculateur!BL142*Calculateur!BN142*VLOOKUP('Données projet'!$B$11,Paramètres!$A$1:$I$89,3,0)*0.475*44/12</f>
        <v>0.5523236136479458</v>
      </c>
      <c r="BR142" s="21">
        <f>EXP(-LN(2)/2)*BR141+(1-EXP(-LN(2)/2))/(LN(2)/2)*BL142*BO142*VLOOKUP('Données projet'!$B$11,Paramètres!$A$1:$I$89,3,0)*0.475*44/12</f>
        <v>5.4808177860056155E-8</v>
      </c>
      <c r="BS142" s="22">
        <f t="shared" si="117"/>
        <v>32.687745211401854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-1.7053025658242404E-13</v>
      </c>
      <c r="BZ142" s="13">
        <f>BY142*VLOOKUP('Données projet'!$B$12,Paramètres!$A$1:$I$89,3,0)*VLOOKUP('Données projet'!$B$12,Paramètres!$A$1:$I$89,5,0)</f>
        <v>-1.3567387213697657E-13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299.10536994156814</v>
      </c>
      <c r="CE142" s="59">
        <f t="shared" si="148"/>
        <v>292.57799203101769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32.135421542945735</v>
      </c>
      <c r="CL142" s="21">
        <f>EXP(-LN(2)/25)*CL141+(1-EXP(-LN(2)/25))/(LN(2)/25)*Calculateur!CG142*Calculateur!CI142*VLOOKUP('Données projet'!$B$12,Paramètres!$A$1:$I$89,3,0)*0.475*44/12</f>
        <v>0.5523236136479458</v>
      </c>
      <c r="CM142" s="21">
        <f>EXP(-LN(2)/2)*CM141+(1-EXP(-LN(2)/2))/(LN(2)/2)*CG142*CJ142*VLOOKUP('Données projet'!$B$12,Paramètres!$A$1:$I$89,3,0)*0.475*44/12</f>
        <v>5.4808177860056155E-8</v>
      </c>
      <c r="CN142" s="22">
        <f t="shared" si="120"/>
        <v>32.687745211401854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7.1111111111111107</v>
      </c>
      <c r="CT142" s="12">
        <f>IF('Données projet'!$A$140&gt;35,CT141+CS142-DB141,IF(A142&lt;'Données projet'!$A$140,$CQ$205^A142,IF(A142='Données projet'!$A$140,'Données projet'!$B$140,CT141+CS142-DB141)))</f>
        <v>426.77777777777726</v>
      </c>
      <c r="CU142" s="17">
        <f>CT142*VLOOKUP('Données projet'!$B$13,Paramètres!$A$1:$I$89,3,0)*VLOOKUP('Données projet'!$B$13,Paramètres!$A$1:$I$89,5,0)</f>
        <v>386.14853333333286</v>
      </c>
      <c r="CV142" s="13">
        <f t="shared" si="149"/>
        <v>88.962759071019875</v>
      </c>
      <c r="CW142" s="20">
        <f t="shared" si="121"/>
        <v>827.48550093758092</v>
      </c>
      <c r="CX142" s="59">
        <f t="shared" si="122"/>
        <v>1120.8188342709143</v>
      </c>
      <c r="CY142" s="59">
        <f ca="1">AVERAGE(OFFSET($CX$3,0,0,'Données projet'!$E$13+1,1))-AVERAGE(OFFSET($H$3,0,0,'Données projet'!$E$13+1,1))</f>
        <v>528.15559695545812</v>
      </c>
      <c r="CZ142" s="59">
        <f t="shared" si="150"/>
        <v>276.26988364830532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40.425981971548779</v>
      </c>
      <c r="DG142" s="21">
        <f>EXP(-LN(2)/25)*DG141+(1-EXP(-LN(2)/25))/(LN(2)/25)*Calculateur!DB142*Calculateur!DD142*VLOOKUP('Données projet'!$B$13,Paramètres!$A$1:$I$89,3,0)*0.475*44/12</f>
        <v>14.273924797279591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54.69990676882837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7.1111111111111107</v>
      </c>
      <c r="DO142" s="12">
        <f>IF('Données projet'!$A$166&gt;35,DO141+DN142-DW141,IF(A142&lt;'Données projet'!$A$166,$DL$205^A142,IF(A142='Données projet'!$A$166,'Données projet'!$B$166,DO141+DN142-DW141)))</f>
        <v>426.77777777777726</v>
      </c>
      <c r="DP142" s="17">
        <f>DO142*VLOOKUP('Données projet'!$B$14,Paramètres!$A$1:$I$89,3,0)*VLOOKUP('Données projet'!$B$14,Paramètres!$A$1:$I$89,5,0)</f>
        <v>432.75266666666619</v>
      </c>
      <c r="DQ142" s="13">
        <f t="shared" si="151"/>
        <v>98.386046714302196</v>
      </c>
      <c r="DR142" s="20">
        <f t="shared" si="124"/>
        <v>925.06659247185326</v>
      </c>
      <c r="DS142" s="59">
        <f t="shared" si="125"/>
        <v>1218.3999258051865</v>
      </c>
      <c r="DT142" s="59">
        <f ca="1">AVERAGE(OFFSET($DS$3,0,0,'Données projet'!$E$14+1,1))-AVERAGE(OFFSET($H$3,0,0,'Données projet'!$E$14+1,1))</f>
        <v>586.50020405958992</v>
      </c>
      <c r="DU142" s="59">
        <f t="shared" si="152"/>
        <v>304.44184537595294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45.304979795701236</v>
      </c>
      <c r="EB142" s="21">
        <f>EXP(-LN(2)/25)*EB141+(1-EXP(-LN(2)/25))/(LN(2)/25)*Calculateur!DW142*Calculateur!DY142*VLOOKUP('Données projet'!$B$14,Paramètres!$A$1:$I$89,3,0)*0.475*44/12</f>
        <v>15.996639859020235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61.30161965472147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-1.7053025658242404E-13</v>
      </c>
      <c r="EK142" s="17">
        <f>EJ142*VLOOKUP('Données projet'!$B$15,Paramètres!$A$1:$I$89,3,0)*VLOOKUP('Données projet'!$B$15,Paramètres!$A$1:$I$89,5,0)</f>
        <v>-1.6493686416652052E-13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355.72173590705142</v>
      </c>
      <c r="EP142" s="59">
        <f t="shared" si="154"/>
        <v>346.30980704469363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31.695536009431496</v>
      </c>
      <c r="EW142" s="21">
        <f>EXP(-LN(2)/25)*EW141+(1-EXP(-LN(2)/25))/(LN(2)/25)*Calculateur!ER142*Calculateur!ET142*VLOOKUP('Données projet'!$B$15,Paramètres!$A$1:$I$89,3,0)*0.475*44/12</f>
        <v>0.54476313502975371</v>
      </c>
      <c r="EX142" s="21">
        <f>EXP(-LN(2)/2)*EX141+(1-EXP(-LN(2)/2))/(LN(2)/2)*ER142*EU142*VLOOKUP('Données projet'!$B$15,Paramètres!$A$1:$I$89,3,0)*0.475*44/12</f>
        <v>6.662954955536234E-8</v>
      </c>
      <c r="EY142" s="22">
        <f t="shared" si="129"/>
        <v>32.240299211090793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-1.383341441396624E-13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304.26232113495314</v>
      </c>
      <c r="FK142" s="59">
        <f t="shared" si="156"/>
        <v>297.47246687305056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32.765527847709414</v>
      </c>
      <c r="FR142" s="21">
        <f>EXP(-LN(2)/25)*FR141+(1-EXP(-LN(2)/25))/(LN(2)/25)*Calculateur!FM142*Calculateur!FO142*VLOOKUP('Données projet'!$B$16,Paramètres!$A$1:$I$89,3,0)*0.475*44/12</f>
        <v>0.56315348842535673</v>
      </c>
      <c r="FS142" s="21">
        <f>EXP(-LN(2)/2)*FS141+(1-EXP(-LN(2)/2))/(LN(2)/2)*FM142*FP142*VLOOKUP('Données projet'!$B$16,Paramètres!$A$1:$I$89,3,0)*0.475*44/12</f>
        <v>5.5882848014175059E-8</v>
      </c>
      <c r="FT142" s="22">
        <f t="shared" si="132"/>
        <v>33.328681392017621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-1.4897523215040567E-13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381.72225529388083</v>
      </c>
      <c r="T143" s="59">
        <f t="shared" si="142"/>
        <v>360.05900046417361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54.105646005274835</v>
      </c>
      <c r="AA143" s="21">
        <f>EXP(-LN(2)/25)*AA142+(1-EXP(-LN(2)/25))/(LN(2)/25)*Calculateur!V143*Calculateur!X143*VLOOKUP('Données projet'!$B$9,Paramètres!$A$1:$I$89,3,0)*0.475*44/12</f>
        <v>6.31277941898409</v>
      </c>
      <c r="AB143" s="21">
        <f>EXP(-LN(2)/2)*AB142+(1-EXP(-LN(2)/2))/(LN(2)/2)*V143*Y143*VLOOKUP('Données projet'!$B$9,Paramètres!$A$1:$I$89,3,0)*0.475*44/12</f>
        <v>4.3831829836984611E-17</v>
      </c>
      <c r="AC143" s="22">
        <f t="shared" si="111"/>
        <v>60.418425424258928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-4.1677594708744434E-14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464.3681853739115</v>
      </c>
      <c r="AO143" s="59">
        <f t="shared" si="144"/>
        <v>272.97841038165217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86.500063134265304</v>
      </c>
      <c r="AV143" s="21">
        <f>EXP(-LN(2)/25)*AV142+(1-EXP(-LN(2)/25))/(LN(2)/25)*Calculateur!AQ143*Calculateur!AS143*VLOOKUP('Données projet'!$B$10,Paramètres!$A$1:$I$89,3,0)*0.475*44/12</f>
        <v>19.359607027370938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105.85967016163625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-1.3567387213697657E-13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299.10536994156814</v>
      </c>
      <c r="BJ143" s="59">
        <f t="shared" si="146"/>
        <v>292.57799203101769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31.505265527160304</v>
      </c>
      <c r="BQ143" s="21">
        <f>EXP(-LN(2)/25)*BQ142+(1-EXP(-LN(2)/25))/(LN(2)/25)*Calculateur!BL143*Calculateur!BN143*VLOOKUP('Données projet'!$B$11,Paramètres!$A$1:$I$89,3,0)*0.475*44/12</f>
        <v>0.5372202953873062</v>
      </c>
      <c r="BR143" s="21">
        <f>EXP(-LN(2)/2)*BR142+(1-EXP(-LN(2)/2))/(LN(2)/2)*BL143*BO143*VLOOKUP('Données projet'!$B$11,Paramètres!$A$1:$I$89,3,0)*0.475*44/12</f>
        <v>3.8755234229324106E-8</v>
      </c>
      <c r="BS143" s="22">
        <f t="shared" si="117"/>
        <v>32.042485861302843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-1.7053025658242404E-13</v>
      </c>
      <c r="BZ143" s="13">
        <f>BY143*VLOOKUP('Données projet'!$B$12,Paramètres!$A$1:$I$89,3,0)*VLOOKUP('Données projet'!$B$12,Paramètres!$A$1:$I$89,5,0)</f>
        <v>-1.3567387213697657E-13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299.10536994156814</v>
      </c>
      <c r="CE143" s="59">
        <f t="shared" si="148"/>
        <v>292.57799203101769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31.505265527160304</v>
      </c>
      <c r="CL143" s="21">
        <f>EXP(-LN(2)/25)*CL142+(1-EXP(-LN(2)/25))/(LN(2)/25)*Calculateur!CG143*Calculateur!CI143*VLOOKUP('Données projet'!$B$12,Paramètres!$A$1:$I$89,3,0)*0.475*44/12</f>
        <v>0.5372202953873062</v>
      </c>
      <c r="CM143" s="21">
        <f>EXP(-LN(2)/2)*CM142+(1-EXP(-LN(2)/2))/(LN(2)/2)*CG143*CJ143*VLOOKUP('Données projet'!$B$12,Paramètres!$A$1:$I$89,3,0)*0.475*44/12</f>
        <v>3.8755234229324106E-8</v>
      </c>
      <c r="CN143" s="22">
        <f t="shared" si="120"/>
        <v>32.042485861302843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7.1111111111111107</v>
      </c>
      <c r="CT143" s="12">
        <f>IF('Données projet'!$A$140&gt;35,CT142+CS143-DB142,IF(A143&lt;'Données projet'!$A$140,$CQ$205^A143,IF(A143='Données projet'!$A$140,'Données projet'!$B$140,CT142+CS143-DB142)))</f>
        <v>433.88888888888835</v>
      </c>
      <c r="CU143" s="17">
        <f>CT143*VLOOKUP('Données projet'!$B$13,Paramètres!$A$1:$I$89,3,0)*VLOOKUP('Données projet'!$B$13,Paramètres!$A$1:$I$89,5,0)</f>
        <v>392.58266666666617</v>
      </c>
      <c r="CV143" s="13">
        <f t="shared" si="149"/>
        <v>90.271280527588644</v>
      </c>
      <c r="CW143" s="20">
        <f t="shared" si="121"/>
        <v>840.97062469666037</v>
      </c>
      <c r="CX143" s="59">
        <f t="shared" si="122"/>
        <v>1134.3039580299937</v>
      </c>
      <c r="CY143" s="59">
        <f ca="1">AVERAGE(OFFSET($CX$3,0,0,'Données projet'!$E$13+1,1))-AVERAGE(OFFSET($H$3,0,0,'Données projet'!$E$13+1,1))</f>
        <v>528.15559695545812</v>
      </c>
      <c r="CZ143" s="59">
        <f t="shared" si="150"/>
        <v>276.26988364830532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39.633253122500996</v>
      </c>
      <c r="DG143" s="21">
        <f>EXP(-LN(2)/25)*DG142+(1-EXP(-LN(2)/25))/(LN(2)/25)*Calculateur!DB143*Calculateur!DD143*VLOOKUP('Données projet'!$B$13,Paramètres!$A$1:$I$89,3,0)*0.475*44/12</f>
        <v>13.883603573064899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53.516856695565892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7.1111111111111107</v>
      </c>
      <c r="DO143" s="12">
        <f>IF('Données projet'!$A$166&gt;35,DO142+DN143-DW142,IF(A143&lt;'Données projet'!$A$166,$DL$205^A143,IF(A143='Données projet'!$A$166,'Données projet'!$B$166,DO142+DN143-DW142)))</f>
        <v>433.88888888888835</v>
      </c>
      <c r="DP143" s="17">
        <f>DO143*VLOOKUP('Données projet'!$B$14,Paramètres!$A$1:$I$89,3,0)*VLOOKUP('Données projet'!$B$14,Paramètres!$A$1:$I$89,5,0)</f>
        <v>439.9633333333328</v>
      </c>
      <c r="DQ143" s="13">
        <f t="shared" si="151"/>
        <v>99.833171943971251</v>
      </c>
      <c r="DR143" s="20">
        <f t="shared" si="124"/>
        <v>940.14558002463798</v>
      </c>
      <c r="DS143" s="59">
        <f t="shared" si="125"/>
        <v>1233.4789133579714</v>
      </c>
      <c r="DT143" s="59">
        <f ca="1">AVERAGE(OFFSET($DS$3,0,0,'Données projet'!$E$14+1,1))-AVERAGE(OFFSET($H$3,0,0,'Données projet'!$E$14+1,1))</f>
        <v>586.50020405958992</v>
      </c>
      <c r="DU143" s="59">
        <f t="shared" si="152"/>
        <v>304.44184537595294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44.416576775216647</v>
      </c>
      <c r="EB143" s="21">
        <f>EXP(-LN(2)/25)*EB142+(1-EXP(-LN(2)/25))/(LN(2)/25)*Calculateur!DW143*Calculateur!DY143*VLOOKUP('Données projet'!$B$14,Paramètres!$A$1:$I$89,3,0)*0.475*44/12</f>
        <v>15.559210900848598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59.975787676065245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-1.7053025658242404E-13</v>
      </c>
      <c r="EK143" s="17">
        <f>EJ143*VLOOKUP('Données projet'!$B$15,Paramètres!$A$1:$I$89,3,0)*VLOOKUP('Données projet'!$B$15,Paramètres!$A$1:$I$89,5,0)</f>
        <v>-1.6493686416652052E-13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355.72173590705142</v>
      </c>
      <c r="EP143" s="59">
        <f t="shared" si="154"/>
        <v>346.30980704469363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31.074005880654596</v>
      </c>
      <c r="EW143" s="21">
        <f>EXP(-LN(2)/25)*EW142+(1-EXP(-LN(2)/25))/(LN(2)/25)*Calculateur!ER143*Calculateur!ET143*VLOOKUP('Données projet'!$B$15,Paramètres!$A$1:$I$89,3,0)*0.475*44/12</f>
        <v>0.52986655845451691</v>
      </c>
      <c r="EX143" s="21">
        <f>EXP(-LN(2)/2)*EX142+(1-EXP(-LN(2)/2))/(LN(2)/2)*ER143*EU143*VLOOKUP('Données projet'!$B$15,Paramètres!$A$1:$I$89,3,0)*0.475*44/12</f>
        <v>4.7114206318001825E-8</v>
      </c>
      <c r="EY143" s="22">
        <f t="shared" si="129"/>
        <v>31.60387248622332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-1.383341441396624E-13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304.26232113495314</v>
      </c>
      <c r="FK143" s="59">
        <f t="shared" si="156"/>
        <v>297.47246687305056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32.123015831614467</v>
      </c>
      <c r="FR143" s="21">
        <f>EXP(-LN(2)/25)*FR142+(1-EXP(-LN(2)/25))/(LN(2)/25)*Calculateur!FM143*Calculateur!FO143*VLOOKUP('Données projet'!$B$16,Paramètres!$A$1:$I$89,3,0)*0.475*44/12</f>
        <v>0.54775402666941053</v>
      </c>
      <c r="FS143" s="21">
        <f>EXP(-LN(2)/2)*FS142+(1-EXP(-LN(2)/2))/(LN(2)/2)*FM143*FP143*VLOOKUP('Données projet'!$B$16,Paramètres!$A$1:$I$89,3,0)*0.475*44/12</f>
        <v>3.9515140782840375E-8</v>
      </c>
      <c r="FT143" s="22">
        <f t="shared" si="132"/>
        <v>32.670769897799019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-1.4897523215040567E-13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381.72225529388083</v>
      </c>
      <c r="T144" s="59">
        <f t="shared" si="142"/>
        <v>360.05900046417361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53.044667288296864</v>
      </c>
      <c r="AA144" s="21">
        <f>EXP(-LN(2)/25)*AA143+(1-EXP(-LN(2)/25))/(LN(2)/25)*Calculateur!V144*Calculateur!X144*VLOOKUP('Données projet'!$B$9,Paramètres!$A$1:$I$89,3,0)*0.475*44/12</f>
        <v>6.1401561337973281</v>
      </c>
      <c r="AB144" s="21">
        <f>EXP(-LN(2)/2)*AB143+(1-EXP(-LN(2)/2))/(LN(2)/2)*V144*Y144*VLOOKUP('Données projet'!$B$9,Paramètres!$A$1:$I$89,3,0)*0.475*44/12</f>
        <v>3.0993784109546662E-17</v>
      </c>
      <c r="AC144" s="22">
        <f t="shared" si="111"/>
        <v>59.18482342209419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-4.1677594708744434E-14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464.3681853739115</v>
      </c>
      <c r="AO144" s="59">
        <f t="shared" si="144"/>
        <v>272.97841038165217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84.803849656031275</v>
      </c>
      <c r="AV144" s="21">
        <f>EXP(-LN(2)/25)*AV143+(1-EXP(-LN(2)/25))/(LN(2)/25)*Calculateur!AQ144*Calculateur!AS144*VLOOKUP('Données projet'!$B$10,Paramètres!$A$1:$I$89,3,0)*0.475*44/12</f>
        <v>18.830217555129995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103.63406721116127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-1.3567387213697657E-13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299.10536994156814</v>
      </c>
      <c r="BJ144" s="59">
        <f t="shared" si="146"/>
        <v>292.57799203101769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30.887466486487209</v>
      </c>
      <c r="BQ144" s="21">
        <f>EXP(-LN(2)/25)*BQ143+(1-EXP(-LN(2)/25))/(LN(2)/25)*Calculateur!BL144*Calculateur!BN144*VLOOKUP('Données projet'!$B$11,Paramètres!$A$1:$I$89,3,0)*0.475*44/12</f>
        <v>0.52252997815875279</v>
      </c>
      <c r="BR144" s="21">
        <f>EXP(-LN(2)/2)*BR143+(1-EXP(-LN(2)/2))/(LN(2)/2)*BL144*BO144*VLOOKUP('Données projet'!$B$11,Paramètres!$A$1:$I$89,3,0)*0.475*44/12</f>
        <v>2.7404088930028078E-8</v>
      </c>
      <c r="BS144" s="22">
        <f t="shared" si="117"/>
        <v>31.409996492050052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-1.7053025658242404E-13</v>
      </c>
      <c r="BZ144" s="13">
        <f>BY144*VLOOKUP('Données projet'!$B$12,Paramètres!$A$1:$I$89,3,0)*VLOOKUP('Données projet'!$B$12,Paramètres!$A$1:$I$89,5,0)</f>
        <v>-1.3567387213697657E-13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299.10536994156814</v>
      </c>
      <c r="CE144" s="59">
        <f t="shared" si="148"/>
        <v>292.57799203101769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30.887466486487209</v>
      </c>
      <c r="CL144" s="21">
        <f>EXP(-LN(2)/25)*CL143+(1-EXP(-LN(2)/25))/(LN(2)/25)*Calculateur!CG144*Calculateur!CI144*VLOOKUP('Données projet'!$B$12,Paramètres!$A$1:$I$89,3,0)*0.475*44/12</f>
        <v>0.52252997815875279</v>
      </c>
      <c r="CM144" s="21">
        <f>EXP(-LN(2)/2)*CM143+(1-EXP(-LN(2)/2))/(LN(2)/2)*CG144*CJ144*VLOOKUP('Données projet'!$B$12,Paramètres!$A$1:$I$89,3,0)*0.475*44/12</f>
        <v>2.7404088930028078E-8</v>
      </c>
      <c r="CN144" s="22">
        <f t="shared" si="120"/>
        <v>31.409996492050052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>
        <f>VLOOKUP(A144,'Données projet'!$A$139:$I$159,2,0)</f>
        <v>441</v>
      </c>
      <c r="CR144" s="12">
        <f>VLOOKUP(A144,'Données projet'!$A$139:$I$159,9,0)</f>
        <v>7.1111111111111107</v>
      </c>
      <c r="CS144" s="12">
        <f t="array" ref="CS144">INDEX(CR:CR,MIN(IF(ISNUMBER(CR144:CR340),ROW(CR144:CR340),"")))</f>
        <v>7.1111111111111107</v>
      </c>
      <c r="CT144" s="12">
        <f>IF('Données projet'!$A$140&gt;35,CT143+CS144-DB143,IF(A144&lt;'Données projet'!$A$140,$CQ$205^A144,IF(A144='Données projet'!$A$140,'Données projet'!$B$140,CT143+CS144-DB143)))</f>
        <v>440.99999999999943</v>
      </c>
      <c r="CU144" s="17">
        <f>CT144*VLOOKUP('Données projet'!$B$13,Paramètres!$A$1:$I$89,3,0)*VLOOKUP('Données projet'!$B$13,Paramètres!$A$1:$I$89,5,0)</f>
        <v>399.01679999999948</v>
      </c>
      <c r="CV144" s="13">
        <f t="shared" si="149"/>
        <v>91.577307968744961</v>
      </c>
      <c r="CW144" s="20">
        <f t="shared" si="121"/>
        <v>854.45140471222987</v>
      </c>
      <c r="CX144" s="59">
        <f t="shared" si="122"/>
        <v>1147.7847380455632</v>
      </c>
      <c r="CY144" s="59">
        <f ca="1">AVERAGE(OFFSET($CX$3,0,0,'Données projet'!$E$13+1,1))-AVERAGE(OFFSET($H$3,0,0,'Données projet'!$E$13+1,1))</f>
        <v>528.15559695545812</v>
      </c>
      <c r="CZ144" s="59">
        <f t="shared" si="150"/>
        <v>276.26988364830532</v>
      </c>
      <c r="DA144" s="15">
        <f>IF(ISNA(VLOOKUP(A144,'Données projet'!$A$139:$I$159,3,0)),0,VLOOKUP(A144,'Données projet'!$A$139:$I$159,3,0))</f>
        <v>13</v>
      </c>
      <c r="DB144" s="15">
        <f>IF(ISNA(VLOOKUP(A144,'Données projet'!$A$139:$I$159,4,0)),0,VLOOKUP(A144,'Données projet'!$A$139:$I$159,4,0))</f>
        <v>45</v>
      </c>
      <c r="DC144" s="16">
        <f>IF(ISNA(VLOOKUP(A144,'Données projet'!$A$139:$I$159,5,0)),0%,VLOOKUP(A144,'Données projet'!$A$139:$I$159,5,0)*VLOOKUP('Données projet'!$B$13,Paramètres!$A$1:$I$89,7,0))</f>
        <v>0.30099999999999999</v>
      </c>
      <c r="DD144" s="16">
        <f>IF(ISNA(VLOOKUP(A144,'Données projet'!$A$139:$I$159,6,0)),0%,VLOOKUP(A144,'Données projet'!$A$139:$I$159,6,0)*VLOOKUP('Données projet'!$B$13,Paramètres!$A$1:$I$89,7,0))</f>
        <v>4.3000000000000003E-2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52.404179126558326</v>
      </c>
      <c r="DG144" s="21">
        <f>EXP(-LN(2)/25)*DG143+(1-EXP(-LN(2)/25))/(LN(2)/25)*Calculateur!DB144*Calculateur!DD144*VLOOKUP('Données projet'!$B$13,Paramètres!$A$1:$I$89,3,0)*0.475*44/12</f>
        <v>15.431779396522057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67.835958523080379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>
        <f>VLOOKUP(A144,'Données projet'!$A$165:$I$185,2,0)</f>
        <v>441</v>
      </c>
      <c r="DM144" s="12">
        <f>VLOOKUP(A144,'Données projet'!$A$165:$I$185,9,0)</f>
        <v>7.1111111111111107</v>
      </c>
      <c r="DN144" s="12">
        <f t="array" ref="DN144">INDEX(DM:DM,MIN(IF(ISNUMBER(DM144:DM340),ROW(DM144:DM340),"")))</f>
        <v>7.1111111111111107</v>
      </c>
      <c r="DO144" s="12">
        <f>IF('Données projet'!$A$166&gt;35,DO143+DN144-DW143,IF(A144&lt;'Données projet'!$A$166,$DL$205^A144,IF(A144='Données projet'!$A$166,'Données projet'!$B$166,DO143+DN144-DW143)))</f>
        <v>440.99999999999943</v>
      </c>
      <c r="DP144" s="17">
        <f>DO144*VLOOKUP('Données projet'!$B$14,Paramètres!$A$1:$I$89,3,0)*VLOOKUP('Données projet'!$B$14,Paramètres!$A$1:$I$89,5,0)</f>
        <v>447.17399999999947</v>
      </c>
      <c r="DQ144" s="13">
        <f t="shared" si="151"/>
        <v>101.27753898224157</v>
      </c>
      <c r="DR144" s="20">
        <f t="shared" si="124"/>
        <v>955.21976372740301</v>
      </c>
      <c r="DS144" s="59">
        <f t="shared" si="125"/>
        <v>1248.5530970607363</v>
      </c>
      <c r="DT144" s="59">
        <f ca="1">AVERAGE(OFFSET($DS$3,0,0,'Données projet'!$E$14+1,1))-AVERAGE(OFFSET($H$3,0,0,'Données projet'!$E$14+1,1))</f>
        <v>586.50020405958992</v>
      </c>
      <c r="DU144" s="59">
        <f t="shared" si="152"/>
        <v>304.44184537595294</v>
      </c>
      <c r="DV144" s="15">
        <f>IF(ISNA(VLOOKUP(A144,'Données projet'!$A$165:$I$185,3,0)),0,VLOOKUP(A144,'Données projet'!$A$165:$I$185,3,0))</f>
        <v>13</v>
      </c>
      <c r="DW144" s="15">
        <f>IF(ISNA(VLOOKUP(A144,'Données projet'!$A$165:$I$185,4,0)),0,VLOOKUP(A144,'Données projet'!$A$165:$I$185,4,0))</f>
        <v>45</v>
      </c>
      <c r="DX144" s="16">
        <f>IF(ISNA(VLOOKUP(A144,'Données projet'!$A$165:$I$185,5,0)),0%,VLOOKUP(A144,'Données projet'!$A$165:$I$185,5,0)*VLOOKUP('Données projet'!$B$14,Paramètres!$A$1:$I$89,7,0))</f>
        <v>0.30099999999999999</v>
      </c>
      <c r="DY144" s="16">
        <f>IF(ISNA(VLOOKUP(A144,'Données projet'!$A$165:$I$185,6,0)),0%,VLOOKUP(A144,'Données projet'!$A$165:$I$185,6,0)*VLOOKUP('Données projet'!$B$14,Paramètres!$A$1:$I$89,7,0))</f>
        <v>4.3000000000000003E-2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58.728821434936066</v>
      </c>
      <c r="EB144" s="21">
        <f>EXP(-LN(2)/25)*EB143+(1-EXP(-LN(2)/25))/(LN(2)/25)*Calculateur!DW144*Calculateur!DY144*VLOOKUP('Données projet'!$B$14,Paramètres!$A$1:$I$89,3,0)*0.475*44/12</f>
        <v>17.29423553058507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76.023056965521135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-1.7053025658242404E-13</v>
      </c>
      <c r="EK144" s="17">
        <f>EJ144*VLOOKUP('Données projet'!$B$15,Paramètres!$A$1:$I$89,3,0)*VLOOKUP('Données projet'!$B$15,Paramètres!$A$1:$I$89,5,0)</f>
        <v>-1.6493686416652052E-13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355.72173590705142</v>
      </c>
      <c r="EP144" s="59">
        <f t="shared" si="154"/>
        <v>346.30980704469363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30.464663578607066</v>
      </c>
      <c r="EW144" s="21">
        <f>EXP(-LN(2)/25)*EW143+(1-EXP(-LN(2)/25))/(LN(2)/25)*Calculateur!ER144*Calculateur!ET144*VLOOKUP('Données projet'!$B$15,Paramètres!$A$1:$I$89,3,0)*0.475*44/12</f>
        <v>0.51537732954910687</v>
      </c>
      <c r="EX144" s="21">
        <f>EXP(-LN(2)/2)*EX143+(1-EXP(-LN(2)/2))/(LN(2)/2)*ER144*EU144*VLOOKUP('Données projet'!$B$15,Paramètres!$A$1:$I$89,3,0)*0.475*44/12</f>
        <v>3.331477477768117E-8</v>
      </c>
      <c r="EY144" s="22">
        <f t="shared" si="129"/>
        <v>30.980040941470946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-1.383341441396624E-13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304.26232113495314</v>
      </c>
      <c r="FK144" s="59">
        <f t="shared" si="156"/>
        <v>297.47246687305056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31.493103084261506</v>
      </c>
      <c r="FR144" s="21">
        <f>EXP(-LN(2)/25)*FR143+(1-EXP(-LN(2)/25))/(LN(2)/25)*Calculateur!FM144*Calculateur!FO144*VLOOKUP('Données projet'!$B$16,Paramètres!$A$1:$I$89,3,0)*0.475*44/12</f>
        <v>0.5327756640050032</v>
      </c>
      <c r="FS144" s="21">
        <f>EXP(-LN(2)/2)*FS143+(1-EXP(-LN(2)/2))/(LN(2)/2)*FM144*FP144*VLOOKUP('Données projet'!$B$16,Paramètres!$A$1:$I$89,3,0)*0.475*44/12</f>
        <v>2.794142400708753E-8</v>
      </c>
      <c r="FT144" s="22">
        <f t="shared" si="132"/>
        <v>32.025878776207932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-1.4897523215040567E-13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381.72225529388083</v>
      </c>
      <c r="T145" s="59">
        <f t="shared" si="142"/>
        <v>360.05900046417361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52.004493716825714</v>
      </c>
      <c r="AA145" s="21">
        <f>EXP(-LN(2)/25)*AA144+(1-EXP(-LN(2)/25))/(LN(2)/25)*Calculateur!V145*Calculateur!X145*VLOOKUP('Données projet'!$B$9,Paramètres!$A$1:$I$89,3,0)*0.475*44/12</f>
        <v>5.9722532414218623</v>
      </c>
      <c r="AB145" s="21">
        <f>EXP(-LN(2)/2)*AB144+(1-EXP(-LN(2)/2))/(LN(2)/2)*V145*Y145*VLOOKUP('Données projet'!$B$9,Paramètres!$A$1:$I$89,3,0)*0.475*44/12</f>
        <v>2.1915914918492305E-17</v>
      </c>
      <c r="AC145" s="22">
        <f t="shared" si="111"/>
        <v>57.976746958247574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-4.1677594708744434E-14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464.3681853739115</v>
      </c>
      <c r="AO145" s="59">
        <f t="shared" si="144"/>
        <v>272.97841038165217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83.140897889517348</v>
      </c>
      <c r="AV145" s="21">
        <f>EXP(-LN(2)/25)*AV144+(1-EXP(-LN(2)/25))/(LN(2)/25)*Calculateur!AQ145*Calculateur!AS145*VLOOKUP('Données projet'!$B$10,Paramètres!$A$1:$I$89,3,0)*0.475*44/12</f>
        <v>18.315304265846862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101.45620215536421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-1.3567387213697657E-13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299.10536994156814</v>
      </c>
      <c r="BJ145" s="59">
        <f t="shared" si="146"/>
        <v>292.57799203101769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30.281782108181506</v>
      </c>
      <c r="BQ145" s="21">
        <f>EXP(-LN(2)/25)*BQ144+(1-EXP(-LN(2)/25))/(LN(2)/25)*Calculateur!BL145*Calculateur!BN145*VLOOKUP('Données projet'!$B$11,Paramètres!$A$1:$I$89,3,0)*0.475*44/12</f>
        <v>0.50824136842734435</v>
      </c>
      <c r="BR145" s="21">
        <f>EXP(-LN(2)/2)*BR144+(1-EXP(-LN(2)/2))/(LN(2)/2)*BL145*BO145*VLOOKUP('Données projet'!$B$11,Paramètres!$A$1:$I$89,3,0)*0.475*44/12</f>
        <v>1.9377617114662053E-8</v>
      </c>
      <c r="BS145" s="22">
        <f t="shared" si="117"/>
        <v>30.790023495986468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-1.7053025658242404E-13</v>
      </c>
      <c r="BZ145" s="13">
        <f>BY145*VLOOKUP('Données projet'!$B$12,Paramètres!$A$1:$I$89,3,0)*VLOOKUP('Données projet'!$B$12,Paramètres!$A$1:$I$89,5,0)</f>
        <v>-1.3567387213697657E-13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299.10536994156814</v>
      </c>
      <c r="CE145" s="59">
        <f t="shared" si="148"/>
        <v>292.57799203101769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30.281782108181506</v>
      </c>
      <c r="CL145" s="21">
        <f>EXP(-LN(2)/25)*CL144+(1-EXP(-LN(2)/25))/(LN(2)/25)*Calculateur!CG145*Calculateur!CI145*VLOOKUP('Données projet'!$B$12,Paramètres!$A$1:$I$89,3,0)*0.475*44/12</f>
        <v>0.50824136842734435</v>
      </c>
      <c r="CM145" s="21">
        <f>EXP(-LN(2)/2)*CM144+(1-EXP(-LN(2)/2))/(LN(2)/2)*CG145*CJ145*VLOOKUP('Données projet'!$B$12,Paramètres!$A$1:$I$89,3,0)*0.475*44/12</f>
        <v>1.9377617114662053E-8</v>
      </c>
      <c r="CN145" s="22">
        <f t="shared" si="120"/>
        <v>30.790023495986468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7.083333333333333</v>
      </c>
      <c r="CT145" s="12">
        <f>IF('Données projet'!$A$140&gt;35,CT144+CS145-DB144,IF(A145&lt;'Données projet'!$A$140,$CQ$205^A145,IF(A145='Données projet'!$A$140,'Données projet'!$B$140,CT144+CS145-DB144)))</f>
        <v>403.08333333333275</v>
      </c>
      <c r="CU145" s="17">
        <f>CT145*VLOOKUP('Données projet'!$B$13,Paramètres!$A$1:$I$89,3,0)*VLOOKUP('Données projet'!$B$13,Paramètres!$A$1:$I$89,5,0)</f>
        <v>364.70979999999946</v>
      </c>
      <c r="CV145" s="13">
        <f t="shared" si="149"/>
        <v>84.584116408796319</v>
      </c>
      <c r="CW145" s="20">
        <f t="shared" si="121"/>
        <v>782.52023774531926</v>
      </c>
      <c r="CX145" s="59">
        <f t="shared" si="122"/>
        <v>1075.8535710786525</v>
      </c>
      <c r="CY145" s="59">
        <f ca="1">AVERAGE(OFFSET($CX$3,0,0,'Données projet'!$E$13+1,1))-AVERAGE(OFFSET($H$3,0,0,'Données projet'!$E$13+1,1))</f>
        <v>528.15559695545812</v>
      </c>
      <c r="CZ145" s="59">
        <f t="shared" si="150"/>
        <v>276.26988364830532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51.376565137279663</v>
      </c>
      <c r="DG145" s="21">
        <f>EXP(-LN(2)/25)*DG144+(1-EXP(-LN(2)/25))/(LN(2)/25)*Calculateur!DB145*Calculateur!DD145*VLOOKUP('Données projet'!$B$13,Paramètres!$A$1:$I$89,3,0)*0.475*44/12</f>
        <v>15.009796577402152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66.386361714681811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7.083333333333333</v>
      </c>
      <c r="DO145" s="12">
        <f>IF('Données projet'!$A$166&gt;35,DO144+DN145-DW144,IF(A145&lt;'Données projet'!$A$166,$DL$205^A145,IF(A145='Données projet'!$A$166,'Données projet'!$B$166,DO144+DN145-DW144)))</f>
        <v>403.08333333333275</v>
      </c>
      <c r="DP145" s="17">
        <f>DO145*VLOOKUP('Données projet'!$B$14,Paramètres!$A$1:$I$89,3,0)*VLOOKUP('Données projet'!$B$14,Paramètres!$A$1:$I$89,5,0)</f>
        <v>408.72649999999948</v>
      </c>
      <c r="DQ145" s="13">
        <f t="shared" si="151"/>
        <v>93.54360088630294</v>
      </c>
      <c r="DR145" s="20">
        <f t="shared" si="124"/>
        <v>874.7870923769766</v>
      </c>
      <c r="DS145" s="59">
        <f t="shared" si="125"/>
        <v>1168.12042571031</v>
      </c>
      <c r="DT145" s="59">
        <f ca="1">AVERAGE(OFFSET($DS$3,0,0,'Données projet'!$E$14+1,1))-AVERAGE(OFFSET($H$3,0,0,'Données projet'!$E$14+1,1))</f>
        <v>586.50020405958992</v>
      </c>
      <c r="DU145" s="59">
        <f t="shared" si="152"/>
        <v>304.44184537595294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57.577185067641011</v>
      </c>
      <c r="EB145" s="21">
        <f>EXP(-LN(2)/25)*EB144+(1-EXP(-LN(2)/25))/(LN(2)/25)*Calculateur!DW145*Calculateur!DY145*VLOOKUP('Données projet'!$B$14,Paramètres!$A$1:$I$89,3,0)*0.475*44/12</f>
        <v>16.821323750536902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74.398508818177916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-1.7053025658242404E-13</v>
      </c>
      <c r="EK145" s="17">
        <f>EJ145*VLOOKUP('Données projet'!$B$15,Paramètres!$A$1:$I$89,3,0)*VLOOKUP('Données projet'!$B$15,Paramètres!$A$1:$I$89,5,0)</f>
        <v>-1.6493686416652052E-13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355.72173590705142</v>
      </c>
      <c r="EP145" s="59">
        <f t="shared" si="154"/>
        <v>346.30980704469363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29.867270107440582</v>
      </c>
      <c r="EW145" s="21">
        <f>EXP(-LN(2)/25)*EW144+(1-EXP(-LN(2)/25))/(LN(2)/25)*Calculateur!ER145*Calculateur!ET145*VLOOKUP('Données projet'!$B$15,Paramètres!$A$1:$I$89,3,0)*0.475*44/12</f>
        <v>0.50128430937007074</v>
      </c>
      <c r="EX145" s="21">
        <f>EXP(-LN(2)/2)*EX144+(1-EXP(-LN(2)/2))/(LN(2)/2)*ER145*EU145*VLOOKUP('Données projet'!$B$15,Paramètres!$A$1:$I$89,3,0)*0.475*44/12</f>
        <v>2.3557103159000912E-8</v>
      </c>
      <c r="EY145" s="22">
        <f t="shared" si="129"/>
        <v>30.368554440367756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-1.383341441396624E-13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304.26232113495314</v>
      </c>
      <c r="FK145" s="59">
        <f t="shared" si="156"/>
        <v>297.47246687305056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30.875542541675298</v>
      </c>
      <c r="FR145" s="21">
        <f>EXP(-LN(2)/25)*FR144+(1-EXP(-LN(2)/25))/(LN(2)/25)*Calculateur!FM145*Calculateur!FO145*VLOOKUP('Données projet'!$B$16,Paramètres!$A$1:$I$89,3,0)*0.475*44/12</f>
        <v>0.51820688545533189</v>
      </c>
      <c r="FS145" s="21">
        <f>EXP(-LN(2)/2)*FS144+(1-EXP(-LN(2)/2))/(LN(2)/2)*FM145*FP145*VLOOKUP('Données projet'!$B$16,Paramètres!$A$1:$I$89,3,0)*0.475*44/12</f>
        <v>1.9757570391420188E-8</v>
      </c>
      <c r="FT145" s="22">
        <f t="shared" si="132"/>
        <v>31.393749446888201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-1.4897523215040567E-13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381.72225529388083</v>
      </c>
      <c r="T146" s="59">
        <f t="shared" si="142"/>
        <v>360.05900046417361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50.984717314647874</v>
      </c>
      <c r="AA146" s="21">
        <f>EXP(-LN(2)/25)*AA145+(1-EXP(-LN(2)/25))/(LN(2)/25)*Calculateur!V146*Calculateur!X146*VLOOKUP('Données projet'!$B$9,Paramètres!$A$1:$I$89,3,0)*0.475*44/12</f>
        <v>5.8089416624680332</v>
      </c>
      <c r="AB146" s="21">
        <f>EXP(-LN(2)/2)*AB145+(1-EXP(-LN(2)/2))/(LN(2)/2)*V146*Y146*VLOOKUP('Données projet'!$B$9,Paramètres!$A$1:$I$89,3,0)*0.475*44/12</f>
        <v>1.5496892054773331E-17</v>
      </c>
      <c r="AC146" s="22">
        <f t="shared" si="111"/>
        <v>56.793658977115911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-4.1677594708744434E-14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464.3681853739115</v>
      </c>
      <c r="AO146" s="59">
        <f t="shared" si="144"/>
        <v>272.97841038165217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81.510555592844341</v>
      </c>
      <c r="AV146" s="21">
        <f>EXP(-LN(2)/25)*AV145+(1-EXP(-LN(2)/25))/(LN(2)/25)*Calculateur!AQ146*Calculateur!AS146*VLOOKUP('Données projet'!$B$10,Paramètres!$A$1:$I$89,3,0)*0.475*44/12</f>
        <v>17.814471307537289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99.32502690038163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-1.3567387213697657E-13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299.10536994156814</v>
      </c>
      <c r="BJ146" s="59">
        <f t="shared" si="146"/>
        <v>292.57799203101769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29.687974831103386</v>
      </c>
      <c r="BQ146" s="21">
        <f>EXP(-LN(2)/25)*BQ145+(1-EXP(-LN(2)/25))/(LN(2)/25)*Calculateur!BL146*Calculateur!BN146*VLOOKUP('Données projet'!$B$11,Paramètres!$A$1:$I$89,3,0)*0.475*44/12</f>
        <v>0.49434348148044666</v>
      </c>
      <c r="BR146" s="21">
        <f>EXP(-LN(2)/2)*BR145+(1-EXP(-LN(2)/2))/(LN(2)/2)*BL146*BO146*VLOOKUP('Données projet'!$B$11,Paramètres!$A$1:$I$89,3,0)*0.475*44/12</f>
        <v>1.3702044465014039E-8</v>
      </c>
      <c r="BS146" s="22">
        <f t="shared" si="117"/>
        <v>30.182318326285877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-1.7053025658242404E-13</v>
      </c>
      <c r="BZ146" s="13">
        <f>BY146*VLOOKUP('Données projet'!$B$12,Paramètres!$A$1:$I$89,3,0)*VLOOKUP('Données projet'!$B$12,Paramètres!$A$1:$I$89,5,0)</f>
        <v>-1.3567387213697657E-13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299.10536994156814</v>
      </c>
      <c r="CE146" s="59">
        <f t="shared" si="148"/>
        <v>292.57799203101769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29.687974831103386</v>
      </c>
      <c r="CL146" s="21">
        <f>EXP(-LN(2)/25)*CL145+(1-EXP(-LN(2)/25))/(LN(2)/25)*Calculateur!CG146*Calculateur!CI146*VLOOKUP('Données projet'!$B$12,Paramètres!$A$1:$I$89,3,0)*0.475*44/12</f>
        <v>0.49434348148044666</v>
      </c>
      <c r="CM146" s="21">
        <f>EXP(-LN(2)/2)*CM145+(1-EXP(-LN(2)/2))/(LN(2)/2)*CG146*CJ146*VLOOKUP('Données projet'!$B$12,Paramètres!$A$1:$I$89,3,0)*0.475*44/12</f>
        <v>1.3702044465014039E-8</v>
      </c>
      <c r="CN146" s="22">
        <f t="shared" si="120"/>
        <v>30.182318326285877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7.083333333333333</v>
      </c>
      <c r="CT146" s="12">
        <f>IF('Données projet'!$A$140&gt;35,CT145+CS146-DB145,IF(A146&lt;'Données projet'!$A$140,$CQ$205^A146,IF(A146='Données projet'!$A$140,'Données projet'!$B$140,CT145+CS146-DB145)))</f>
        <v>410.16666666666606</v>
      </c>
      <c r="CU146" s="17">
        <f>CT146*VLOOKUP('Données projet'!$B$13,Paramètres!$A$1:$I$89,3,0)*VLOOKUP('Données projet'!$B$13,Paramètres!$A$1:$I$89,5,0)</f>
        <v>371.11879999999945</v>
      </c>
      <c r="CV146" s="13">
        <f t="shared" si="149"/>
        <v>85.896152691454517</v>
      </c>
      <c r="CW146" s="20">
        <f t="shared" si="121"/>
        <v>795.96770927094894</v>
      </c>
      <c r="CX146" s="59">
        <f t="shared" si="122"/>
        <v>1089.3010426042822</v>
      </c>
      <c r="CY146" s="59">
        <f ca="1">AVERAGE(OFFSET($CX$3,0,0,'Données projet'!$E$13+1,1))-AVERAGE(OFFSET($H$3,0,0,'Données projet'!$E$13+1,1))</f>
        <v>528.15559695545812</v>
      </c>
      <c r="CZ146" s="59">
        <f t="shared" si="150"/>
        <v>276.26988364830532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50.36910203154811</v>
      </c>
      <c r="DG146" s="21">
        <f>EXP(-LN(2)/25)*DG145+(1-EXP(-LN(2)/25))/(LN(2)/25)*Calculateur!DB146*Calculateur!DD146*VLOOKUP('Données projet'!$B$13,Paramètres!$A$1:$I$89,3,0)*0.475*44/12</f>
        <v>14.599352900662193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64.968454932210307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7.083333333333333</v>
      </c>
      <c r="DO146" s="12">
        <f>IF('Données projet'!$A$166&gt;35,DO145+DN146-DW145,IF(A146&lt;'Données projet'!$A$166,$DL$205^A146,IF(A146='Données projet'!$A$166,'Données projet'!$B$166,DO145+DN146-DW145)))</f>
        <v>410.16666666666606</v>
      </c>
      <c r="DP146" s="17">
        <f>DO146*VLOOKUP('Données projet'!$B$14,Paramètres!$A$1:$I$89,3,0)*VLOOKUP('Données projet'!$B$14,Paramètres!$A$1:$I$89,5,0)</f>
        <v>415.90899999999942</v>
      </c>
      <c r="DQ146" s="13">
        <f t="shared" si="151"/>
        <v>94.994613246356053</v>
      </c>
      <c r="DR146" s="20">
        <f t="shared" si="124"/>
        <v>889.82379307073563</v>
      </c>
      <c r="DS146" s="59">
        <f t="shared" si="125"/>
        <v>1183.157126404069</v>
      </c>
      <c r="DT146" s="59">
        <f ca="1">AVERAGE(OFFSET($DS$3,0,0,'Données projet'!$E$14+1,1))-AVERAGE(OFFSET($H$3,0,0,'Données projet'!$E$14+1,1))</f>
        <v>586.50020405958992</v>
      </c>
      <c r="DU146" s="59">
        <f t="shared" si="152"/>
        <v>304.44184537595294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56.448131587079786</v>
      </c>
      <c r="EB146" s="21">
        <f>EXP(-LN(2)/25)*EB145+(1-EXP(-LN(2)/25))/(LN(2)/25)*Calculateur!DW146*Calculateur!DY146*VLOOKUP('Données projet'!$B$14,Paramètres!$A$1:$I$89,3,0)*0.475*44/12</f>
        <v>16.361343767983499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72.809475355063284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-1.7053025658242404E-13</v>
      </c>
      <c r="EK146" s="17">
        <f>EJ146*VLOOKUP('Données projet'!$B$15,Paramètres!$A$1:$I$89,3,0)*VLOOKUP('Données projet'!$B$15,Paramètres!$A$1:$I$89,5,0)</f>
        <v>-1.6493686416652052E-13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355.72173590705142</v>
      </c>
      <c r="EP146" s="59">
        <f t="shared" si="154"/>
        <v>346.30980704469363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29.281591157869634</v>
      </c>
      <c r="EW146" s="21">
        <f>EXP(-LN(2)/25)*EW145+(1-EXP(-LN(2)/25))/(LN(2)/25)*Calculateur!ER146*Calculateur!ET146*VLOOKUP('Données projet'!$B$15,Paramètres!$A$1:$I$89,3,0)*0.475*44/12</f>
        <v>0.48757666356895002</v>
      </c>
      <c r="EX146" s="21">
        <f>EXP(-LN(2)/2)*EX145+(1-EXP(-LN(2)/2))/(LN(2)/2)*ER146*EU146*VLOOKUP('Données projet'!$B$15,Paramètres!$A$1:$I$89,3,0)*0.475*44/12</f>
        <v>1.6657387388840585E-8</v>
      </c>
      <c r="EY146" s="22">
        <f t="shared" si="129"/>
        <v>29.769167838095974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-1.383341441396624E-13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304.26232113495314</v>
      </c>
      <c r="FK146" s="59">
        <f t="shared" si="156"/>
        <v>297.47246687305056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30.270091984654467</v>
      </c>
      <c r="FR146" s="21">
        <f>EXP(-LN(2)/25)*FR145+(1-EXP(-LN(2)/25))/(LN(2)/25)*Calculateur!FM146*Calculateur!FO146*VLOOKUP('Données projet'!$B$16,Paramètres!$A$1:$I$89,3,0)*0.475*44/12</f>
        <v>0.50403649092124014</v>
      </c>
      <c r="FS146" s="21">
        <f>EXP(-LN(2)/2)*FS145+(1-EXP(-LN(2)/2))/(LN(2)/2)*FM146*FP146*VLOOKUP('Données projet'!$B$16,Paramètres!$A$1:$I$89,3,0)*0.475*44/12</f>
        <v>1.3970712003543765E-8</v>
      </c>
      <c r="FT146" s="22">
        <f t="shared" si="132"/>
        <v>30.77412848954642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-1.4897523215040567E-13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381.72225529388083</v>
      </c>
      <c r="T147" s="59">
        <f t="shared" si="142"/>
        <v>360.05900046417361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49.984938105714555</v>
      </c>
      <c r="AA147" s="21">
        <f>EXP(-LN(2)/25)*AA146+(1-EXP(-LN(2)/25))/(LN(2)/25)*Calculateur!V147*Calculateur!X147*VLOOKUP('Données projet'!$B$9,Paramètres!$A$1:$I$89,3,0)*0.475*44/12</f>
        <v>5.6500958472288794</v>
      </c>
      <c r="AB147" s="21">
        <f>EXP(-LN(2)/2)*AB146+(1-EXP(-LN(2)/2))/(LN(2)/2)*V147*Y147*VLOOKUP('Données projet'!$B$9,Paramètres!$A$1:$I$89,3,0)*0.475*44/12</f>
        <v>1.0957957459246153E-17</v>
      </c>
      <c r="AC147" s="22">
        <f t="shared" si="111"/>
        <v>55.635033952943431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-4.1677594708744434E-14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464.3681853739115</v>
      </c>
      <c r="AO147" s="59">
        <f t="shared" si="144"/>
        <v>272.97841038165217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79.912183314198472</v>
      </c>
      <c r="AV147" s="21">
        <f>EXP(-LN(2)/25)*AV146+(1-EXP(-LN(2)/25))/(LN(2)/25)*Calculateur!AQ147*Calculateur!AS147*VLOOKUP('Données projet'!$B$10,Paramètres!$A$1:$I$89,3,0)*0.475*44/12</f>
        <v>17.327333652810353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97.239516967008825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-1.3567387213697657E-13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299.10536994156814</v>
      </c>
      <c r="BJ147" s="59">
        <f t="shared" si="146"/>
        <v>292.57799203101769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29.105811752542092</v>
      </c>
      <c r="BQ147" s="21">
        <f>EXP(-LN(2)/25)*BQ146+(1-EXP(-LN(2)/25))/(LN(2)/25)*Calculateur!BL147*Calculateur!BN147*VLOOKUP('Données projet'!$B$11,Paramètres!$A$1:$I$89,3,0)*0.475*44/12</f>
        <v>0.48082563298296999</v>
      </c>
      <c r="BR147" s="21">
        <f>EXP(-LN(2)/2)*BR146+(1-EXP(-LN(2)/2))/(LN(2)/2)*BL147*BO147*VLOOKUP('Données projet'!$B$11,Paramètres!$A$1:$I$89,3,0)*0.475*44/12</f>
        <v>9.6888085573310264E-9</v>
      </c>
      <c r="BS147" s="22">
        <f t="shared" si="117"/>
        <v>29.58663739521387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-1.7053025658242404E-13</v>
      </c>
      <c r="BZ147" s="13">
        <f>BY147*VLOOKUP('Données projet'!$B$12,Paramètres!$A$1:$I$89,3,0)*VLOOKUP('Données projet'!$B$12,Paramètres!$A$1:$I$89,5,0)</f>
        <v>-1.3567387213697657E-13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299.10536994156814</v>
      </c>
      <c r="CE147" s="59">
        <f t="shared" si="148"/>
        <v>292.57799203101769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29.105811752542092</v>
      </c>
      <c r="CL147" s="21">
        <f>EXP(-LN(2)/25)*CL146+(1-EXP(-LN(2)/25))/(LN(2)/25)*Calculateur!CG147*Calculateur!CI147*VLOOKUP('Données projet'!$B$12,Paramètres!$A$1:$I$89,3,0)*0.475*44/12</f>
        <v>0.48082563298296999</v>
      </c>
      <c r="CM147" s="21">
        <f>EXP(-LN(2)/2)*CM146+(1-EXP(-LN(2)/2))/(LN(2)/2)*CG147*CJ147*VLOOKUP('Données projet'!$B$12,Paramètres!$A$1:$I$89,3,0)*0.475*44/12</f>
        <v>9.6888085573310264E-9</v>
      </c>
      <c r="CN147" s="22">
        <f t="shared" si="120"/>
        <v>29.58663739521387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7.083333333333333</v>
      </c>
      <c r="CT147" s="12">
        <f>IF('Données projet'!$A$140&gt;35,CT146+CS147-DB146,IF(A147&lt;'Données projet'!$A$140,$CQ$205^A147,IF(A147='Données projet'!$A$140,'Données projet'!$B$140,CT146+CS147-DB146)))</f>
        <v>417.24999999999937</v>
      </c>
      <c r="CU147" s="17">
        <f>CT147*VLOOKUP('Données projet'!$B$13,Paramètres!$A$1:$I$89,3,0)*VLOOKUP('Données projet'!$B$13,Paramètres!$A$1:$I$89,5,0)</f>
        <v>377.52779999999944</v>
      </c>
      <c r="CV147" s="13">
        <f t="shared" si="149"/>
        <v>87.205554083823728</v>
      </c>
      <c r="CW147" s="20">
        <f t="shared" si="121"/>
        <v>809.41059169599203</v>
      </c>
      <c r="CX147" s="59">
        <f t="shared" si="122"/>
        <v>1102.7439250293253</v>
      </c>
      <c r="CY147" s="59">
        <f ca="1">AVERAGE(OFFSET($CX$3,0,0,'Données projet'!$E$13+1,1))-AVERAGE(OFFSET($H$3,0,0,'Données projet'!$E$13+1,1))</f>
        <v>528.15559695545812</v>
      </c>
      <c r="CZ147" s="59">
        <f t="shared" si="150"/>
        <v>276.26988364830532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49.381394662828136</v>
      </c>
      <c r="DG147" s="21">
        <f>EXP(-LN(2)/25)*DG146+(1-EXP(-LN(2)/25))/(LN(2)/25)*Calculateur!DB147*Calculateur!DD147*VLOOKUP('Données projet'!$B$13,Paramètres!$A$1:$I$89,3,0)*0.475*44/12</f>
        <v>14.200132827846984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63.581527490675121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7.083333333333333</v>
      </c>
      <c r="DO147" s="12">
        <f>IF('Données projet'!$A$166&gt;35,DO146+DN147-DW146,IF(A147&lt;'Données projet'!$A$166,$DL$205^A147,IF(A147='Données projet'!$A$166,'Données projet'!$B$166,DO146+DN147-DW146)))</f>
        <v>417.24999999999937</v>
      </c>
      <c r="DP147" s="17">
        <f>DO147*VLOOKUP('Données projet'!$B$14,Paramètres!$A$1:$I$89,3,0)*VLOOKUP('Données projet'!$B$14,Paramètres!$A$1:$I$89,5,0)</f>
        <v>423.09149999999937</v>
      </c>
      <c r="DQ147" s="13">
        <f t="shared" si="151"/>
        <v>96.442711618109087</v>
      </c>
      <c r="DR147" s="20">
        <f t="shared" si="124"/>
        <v>904.85541856820555</v>
      </c>
      <c r="DS147" s="59">
        <f t="shared" si="125"/>
        <v>1198.1887519015388</v>
      </c>
      <c r="DT147" s="59">
        <f ca="1">AVERAGE(OFFSET($DS$3,0,0,'Données projet'!$E$14+1,1))-AVERAGE(OFFSET($H$3,0,0,'Données projet'!$E$14+1,1))</f>
        <v>586.50020405958992</v>
      </c>
      <c r="DU147" s="59">
        <f t="shared" si="152"/>
        <v>304.44184537595294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55.341218156617742</v>
      </c>
      <c r="EB147" s="21">
        <f>EXP(-LN(2)/25)*EB146+(1-EXP(-LN(2)/25))/(LN(2)/25)*Calculateur!DW147*Calculateur!DY147*VLOOKUP('Données projet'!$B$14,Paramètres!$A$1:$I$89,3,0)*0.475*44/12</f>
        <v>15.913941962242315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71.255160118860061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-1.7053025658242404E-13</v>
      </c>
      <c r="EK147" s="17">
        <f>EJ147*VLOOKUP('Données projet'!$B$15,Paramètres!$A$1:$I$89,3,0)*VLOOKUP('Données projet'!$B$15,Paramètres!$A$1:$I$89,5,0)</f>
        <v>-1.6493686416652052E-13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355.72173590705142</v>
      </c>
      <c r="EP147" s="59">
        <f t="shared" si="154"/>
        <v>346.30980704469363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28.707397015270889</v>
      </c>
      <c r="EW147" s="21">
        <f>EXP(-LN(2)/25)*EW146+(1-EXP(-LN(2)/25))/(LN(2)/25)*Calculateur!ER147*Calculateur!ET147*VLOOKUP('Données projet'!$B$15,Paramètres!$A$1:$I$89,3,0)*0.475*44/12</f>
        <v>0.4742438540631147</v>
      </c>
      <c r="EX147" s="21">
        <f>EXP(-LN(2)/2)*EX146+(1-EXP(-LN(2)/2))/(LN(2)/2)*ER147*EU147*VLOOKUP('Données projet'!$B$15,Paramètres!$A$1:$I$89,3,0)*0.475*44/12</f>
        <v>1.1778551579500456E-8</v>
      </c>
      <c r="EY147" s="22">
        <f t="shared" si="129"/>
        <v>29.181640881112557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-1.383341441396624E-13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304.26232113495314</v>
      </c>
      <c r="FK147" s="59">
        <f t="shared" si="156"/>
        <v>297.47246687305056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29.676513943768441</v>
      </c>
      <c r="FR147" s="21">
        <f>EXP(-LN(2)/25)*FR146+(1-EXP(-LN(2)/25))/(LN(2)/25)*Calculateur!FM147*Calculateur!FO147*VLOOKUP('Données projet'!$B$16,Paramètres!$A$1:$I$89,3,0)*0.475*44/12</f>
        <v>0.49025358657087176</v>
      </c>
      <c r="FS147" s="21">
        <f>EXP(-LN(2)/2)*FS146+(1-EXP(-LN(2)/2))/(LN(2)/2)*FM147*FP147*VLOOKUP('Données projet'!$B$16,Paramètres!$A$1:$I$89,3,0)*0.475*44/12</f>
        <v>9.8787851957100938E-9</v>
      </c>
      <c r="FT147" s="22">
        <f t="shared" si="132"/>
        <v>30.1667675402181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-1.4897523215040567E-13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381.72225529388083</v>
      </c>
      <c r="T148" s="59">
        <f t="shared" si="142"/>
        <v>360.05900046417361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49.004763957263314</v>
      </c>
      <c r="AA148" s="21">
        <f>EXP(-LN(2)/25)*AA147+(1-EXP(-LN(2)/25))/(LN(2)/25)*Calculateur!V148*Calculateur!X148*VLOOKUP('Données projet'!$B$9,Paramètres!$A$1:$I$89,3,0)*0.475*44/12</f>
        <v>5.4955936791607787</v>
      </c>
      <c r="AB148" s="21">
        <f>EXP(-LN(2)/2)*AB147+(1-EXP(-LN(2)/2))/(LN(2)/2)*V148*Y148*VLOOKUP('Données projet'!$B$9,Paramètres!$A$1:$I$89,3,0)*0.475*44/12</f>
        <v>7.7484460273866655E-18</v>
      </c>
      <c r="AC148" s="22">
        <f t="shared" si="111"/>
        <v>54.500357636424091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-4.1677594708744434E-14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464.3681853739115</v>
      </c>
      <c r="AO148" s="59">
        <f t="shared" si="144"/>
        <v>272.97841038165217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78.345154141026029</v>
      </c>
      <c r="AV148" s="21">
        <f>EXP(-LN(2)/25)*AV147+(1-EXP(-LN(2)/25))/(LN(2)/25)*Calculateur!AQ148*Calculateur!AS148*VLOOKUP('Données projet'!$B$10,Paramètres!$A$1:$I$89,3,0)*0.475*44/12</f>
        <v>16.853516802869379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95.198670943895408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-1.3567387213697657E-13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299.10536994156814</v>
      </c>
      <c r="BJ148" s="59">
        <f t="shared" si="146"/>
        <v>292.57799203101769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28.535064536866969</v>
      </c>
      <c r="BQ148" s="21">
        <f>EXP(-LN(2)/25)*BQ147+(1-EXP(-LN(2)/25))/(LN(2)/25)*Calculateur!BL148*Calculateur!BN148*VLOOKUP('Données projet'!$B$11,Paramètres!$A$1:$I$89,3,0)*0.475*44/12</f>
        <v>0.46767743076352958</v>
      </c>
      <c r="BR148" s="21">
        <f>EXP(-LN(2)/2)*BR147+(1-EXP(-LN(2)/2))/(LN(2)/2)*BL148*BO148*VLOOKUP('Données projet'!$B$11,Paramètres!$A$1:$I$89,3,0)*0.475*44/12</f>
        <v>6.8510222325070194E-9</v>
      </c>
      <c r="BS148" s="22">
        <f t="shared" si="117"/>
        <v>29.00274197448152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-1.7053025658242404E-13</v>
      </c>
      <c r="BZ148" s="13">
        <f>BY148*VLOOKUP('Données projet'!$B$12,Paramètres!$A$1:$I$89,3,0)*VLOOKUP('Données projet'!$B$12,Paramètres!$A$1:$I$89,5,0)</f>
        <v>-1.3567387213697657E-13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299.10536994156814</v>
      </c>
      <c r="CE148" s="59">
        <f t="shared" si="148"/>
        <v>292.57799203101769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28.535064536866969</v>
      </c>
      <c r="CL148" s="21">
        <f>EXP(-LN(2)/25)*CL147+(1-EXP(-LN(2)/25))/(LN(2)/25)*Calculateur!CG148*Calculateur!CI148*VLOOKUP('Données projet'!$B$12,Paramètres!$A$1:$I$89,3,0)*0.475*44/12</f>
        <v>0.46767743076352958</v>
      </c>
      <c r="CM148" s="21">
        <f>EXP(-LN(2)/2)*CM147+(1-EXP(-LN(2)/2))/(LN(2)/2)*CG148*CJ148*VLOOKUP('Données projet'!$B$12,Paramètres!$A$1:$I$89,3,0)*0.475*44/12</f>
        <v>6.8510222325070194E-9</v>
      </c>
      <c r="CN148" s="22">
        <f t="shared" si="120"/>
        <v>29.00274197448152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7.083333333333333</v>
      </c>
      <c r="CT148" s="12">
        <f>IF('Données projet'!$A$140&gt;35,CT147+CS148-DB147,IF(A148&lt;'Données projet'!$A$140,$CQ$205^A148,IF(A148='Données projet'!$A$140,'Données projet'!$B$140,CT147+CS148-DB147)))</f>
        <v>424.33333333333269</v>
      </c>
      <c r="CU148" s="17">
        <f>CT148*VLOOKUP('Données projet'!$B$13,Paramètres!$A$1:$I$89,3,0)*VLOOKUP('Données projet'!$B$13,Paramètres!$A$1:$I$89,5,0)</f>
        <v>383.93679999999944</v>
      </c>
      <c r="CV148" s="13">
        <f t="shared" si="149"/>
        <v>88.512370478571057</v>
      </c>
      <c r="CW148" s="20">
        <f t="shared" si="121"/>
        <v>822.84897191684365</v>
      </c>
      <c r="CX148" s="59">
        <f t="shared" si="122"/>
        <v>1116.182305250177</v>
      </c>
      <c r="CY148" s="59">
        <f ca="1">AVERAGE(OFFSET($CX$3,0,0,'Données projet'!$E$13+1,1))-AVERAGE(OFFSET($H$3,0,0,'Données projet'!$E$13+1,1))</f>
        <v>528.15559695545812</v>
      </c>
      <c r="CZ148" s="59">
        <f t="shared" si="150"/>
        <v>276.26988364830532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48.413055633166749</v>
      </c>
      <c r="DG148" s="21">
        <f>EXP(-LN(2)/25)*DG147+(1-EXP(-LN(2)/25))/(LN(2)/25)*Calculateur!DB148*Calculateur!DD148*VLOOKUP('Données projet'!$B$13,Paramètres!$A$1:$I$89,3,0)*0.475*44/12</f>
        <v>13.811829448916978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62.22488508208373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7.083333333333333</v>
      </c>
      <c r="DO148" s="12">
        <f>IF('Données projet'!$A$166&gt;35,DO147+DN148-DW147,IF(A148&lt;'Données projet'!$A$166,$DL$205^A148,IF(A148='Données projet'!$A$166,'Données projet'!$B$166,DO147+DN148-DW147)))</f>
        <v>424.33333333333269</v>
      </c>
      <c r="DP148" s="17">
        <f>DO148*VLOOKUP('Données projet'!$B$14,Paramètres!$A$1:$I$89,3,0)*VLOOKUP('Données projet'!$B$14,Paramètres!$A$1:$I$89,5,0)</f>
        <v>430.27399999999938</v>
      </c>
      <c r="DQ148" s="13">
        <f t="shared" si="151"/>
        <v>97.887951179058334</v>
      </c>
      <c r="DR148" s="20">
        <f t="shared" si="124"/>
        <v>919.88206497019212</v>
      </c>
      <c r="DS148" s="59">
        <f t="shared" si="125"/>
        <v>1213.2153983035255</v>
      </c>
      <c r="DT148" s="59">
        <f ca="1">AVERAGE(OFFSET($DS$3,0,0,'Données projet'!$E$14+1,1))-AVERAGE(OFFSET($H$3,0,0,'Données projet'!$E$14+1,1))</f>
        <v>586.50020405958992</v>
      </c>
      <c r="DU148" s="59">
        <f t="shared" si="152"/>
        <v>304.44184537595294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54.256010623376532</v>
      </c>
      <c r="EB148" s="21">
        <f>EXP(-LN(2)/25)*EB147+(1-EXP(-LN(2)/25))/(LN(2)/25)*Calculateur!DW148*Calculateur!DY148*VLOOKUP('Données projet'!$B$14,Paramètres!$A$1:$I$89,3,0)*0.475*44/12</f>
        <v>15.478774382406963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69.734785005783493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-1.7053025658242404E-13</v>
      </c>
      <c r="EK148" s="17">
        <f>EJ148*VLOOKUP('Données projet'!$B$15,Paramètres!$A$1:$I$89,3,0)*VLOOKUP('Données projet'!$B$15,Paramètres!$A$1:$I$89,5,0)</f>
        <v>-1.6493686416652052E-13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355.72173590705142</v>
      </c>
      <c r="EP148" s="59">
        <f t="shared" si="154"/>
        <v>346.30980704469363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28.14446246958466</v>
      </c>
      <c r="EW148" s="21">
        <f>EXP(-LN(2)/25)*EW147+(1-EXP(-LN(2)/25))/(LN(2)/25)*Calculateur!ER148*Calculateur!ET148*VLOOKUP('Données projet'!$B$15,Paramètres!$A$1:$I$89,3,0)*0.475*44/12</f>
        <v>0.46127563093435842</v>
      </c>
      <c r="EX148" s="21">
        <f>EXP(-LN(2)/2)*EX147+(1-EXP(-LN(2)/2))/(LN(2)/2)*ER148*EU148*VLOOKUP('Données projet'!$B$15,Paramètres!$A$1:$I$89,3,0)*0.475*44/12</f>
        <v>8.3286936944202925E-9</v>
      </c>
      <c r="EY148" s="22">
        <f t="shared" si="129"/>
        <v>28.605738108847714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-1.383341441396624E-13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304.26232113495314</v>
      </c>
      <c r="FK148" s="59">
        <f t="shared" si="156"/>
        <v>297.47246687305056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29.094575606217333</v>
      </c>
      <c r="FR148" s="21">
        <f>EXP(-LN(2)/25)*FR147+(1-EXP(-LN(2)/25))/(LN(2)/25)*Calculateur!FM148*Calculateur!FO148*VLOOKUP('Données projet'!$B$16,Paramètres!$A$1:$I$89,3,0)*0.475*44/12</f>
        <v>0.47684757646477566</v>
      </c>
      <c r="FS148" s="21">
        <f>EXP(-LN(2)/2)*FS147+(1-EXP(-LN(2)/2))/(LN(2)/2)*FM148*FP148*VLOOKUP('Données projet'!$B$16,Paramètres!$A$1:$I$89,3,0)*0.475*44/12</f>
        <v>6.9853560017718824E-9</v>
      </c>
      <c r="FT148" s="22">
        <f t="shared" si="132"/>
        <v>29.571423189667463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-1.4897523215040567E-13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381.72225529388083</v>
      </c>
      <c r="T149" s="59">
        <f t="shared" si="142"/>
        <v>360.05900046417361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48.043810426016009</v>
      </c>
      <c r="AA149" s="21">
        <f>EXP(-LN(2)/25)*AA148+(1-EXP(-LN(2)/25))/(LN(2)/25)*Calculateur!V149*Calculateur!X149*VLOOKUP('Données projet'!$B$9,Paramètres!$A$1:$I$89,3,0)*0.475*44/12</f>
        <v>5.3453163810034159</v>
      </c>
      <c r="AB149" s="21">
        <f>EXP(-LN(2)/2)*AB148+(1-EXP(-LN(2)/2))/(LN(2)/2)*V149*Y149*VLOOKUP('Données projet'!$B$9,Paramètres!$A$1:$I$89,3,0)*0.475*44/12</f>
        <v>5.4789787296230763E-18</v>
      </c>
      <c r="AC149" s="22">
        <f t="shared" si="111"/>
        <v>53.389126807019423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-4.1677594708744434E-14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464.3681853739115</v>
      </c>
      <c r="AO149" s="59">
        <f t="shared" si="144"/>
        <v>272.97841038165217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76.808853454146075</v>
      </c>
      <c r="AV149" s="21">
        <f>EXP(-LN(2)/25)*AV148+(1-EXP(-LN(2)/25))/(LN(2)/25)*Calculateur!AQ149*Calculateur!AS149*VLOOKUP('Données projet'!$B$10,Paramètres!$A$1:$I$89,3,0)*0.475*44/12</f>
        <v>16.392656499606986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93.20150995375306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-1.3567387213697657E-13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299.10536994156814</v>
      </c>
      <c r="BJ149" s="59">
        <f t="shared" si="146"/>
        <v>292.57799203101769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27.975509325969806</v>
      </c>
      <c r="BQ149" s="21">
        <f>EXP(-LN(2)/25)*BQ148+(1-EXP(-LN(2)/25))/(LN(2)/25)*Calculateur!BL149*Calculateur!BN149*VLOOKUP('Données projet'!$B$11,Paramètres!$A$1:$I$89,3,0)*0.475*44/12</f>
        <v>0.45488876682521368</v>
      </c>
      <c r="BR149" s="21">
        <f>EXP(-LN(2)/2)*BR148+(1-EXP(-LN(2)/2))/(LN(2)/2)*BL149*BO149*VLOOKUP('Données projet'!$B$11,Paramètres!$A$1:$I$89,3,0)*0.475*44/12</f>
        <v>4.8444042786655132E-9</v>
      </c>
      <c r="BS149" s="22">
        <f t="shared" si="117"/>
        <v>28.430398097639426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-1.7053025658242404E-13</v>
      </c>
      <c r="BZ149" s="13">
        <f>BY149*VLOOKUP('Données projet'!$B$12,Paramètres!$A$1:$I$89,3,0)*VLOOKUP('Données projet'!$B$12,Paramètres!$A$1:$I$89,5,0)</f>
        <v>-1.3567387213697657E-13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299.10536994156814</v>
      </c>
      <c r="CE149" s="59">
        <f t="shared" si="148"/>
        <v>292.57799203101769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27.975509325969806</v>
      </c>
      <c r="CL149" s="21">
        <f>EXP(-LN(2)/25)*CL148+(1-EXP(-LN(2)/25))/(LN(2)/25)*Calculateur!CG149*Calculateur!CI149*VLOOKUP('Données projet'!$B$12,Paramètres!$A$1:$I$89,3,0)*0.475*44/12</f>
        <v>0.45488876682521368</v>
      </c>
      <c r="CM149" s="21">
        <f>EXP(-LN(2)/2)*CM148+(1-EXP(-LN(2)/2))/(LN(2)/2)*CG149*CJ149*VLOOKUP('Données projet'!$B$12,Paramètres!$A$1:$I$89,3,0)*0.475*44/12</f>
        <v>4.8444042786655132E-9</v>
      </c>
      <c r="CN149" s="22">
        <f t="shared" si="120"/>
        <v>28.430398097639426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7.083333333333333</v>
      </c>
      <c r="CT149" s="12">
        <f>IF('Données projet'!$A$140&gt;35,CT148+CS149-DB148,IF(A149&lt;'Données projet'!$A$140,$CQ$205^A149,IF(A149='Données projet'!$A$140,'Données projet'!$B$140,CT148+CS149-DB148)))</f>
        <v>431.416666666666</v>
      </c>
      <c r="CU149" s="17">
        <f>CT149*VLOOKUP('Données projet'!$B$13,Paramètres!$A$1:$I$89,3,0)*VLOOKUP('Données projet'!$B$13,Paramètres!$A$1:$I$89,5,0)</f>
        <v>390.34579999999937</v>
      </c>
      <c r="CV149" s="13">
        <f t="shared" si="149"/>
        <v>89.816650007185274</v>
      </c>
      <c r="CW149" s="20">
        <f t="shared" si="121"/>
        <v>836.28293376251315</v>
      </c>
      <c r="CX149" s="59">
        <f t="shared" si="122"/>
        <v>1129.6162670958465</v>
      </c>
      <c r="CY149" s="59">
        <f ca="1">AVERAGE(OFFSET($CX$3,0,0,'Données projet'!$E$13+1,1))-AVERAGE(OFFSET($H$3,0,0,'Données projet'!$E$13+1,1))</f>
        <v>528.15559695545812</v>
      </c>
      <c r="CZ149" s="59">
        <f t="shared" si="150"/>
        <v>276.26988364830532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47.463705141248532</v>
      </c>
      <c r="DG149" s="21">
        <f>EXP(-LN(2)/25)*DG148+(1-EXP(-LN(2)/25))/(LN(2)/25)*Calculateur!DB149*Calculateur!DD149*VLOOKUP('Données projet'!$B$13,Paramètres!$A$1:$I$89,3,0)*0.475*44/12</f>
        <v>13.4341442463038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60.897849387552334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7.083333333333333</v>
      </c>
      <c r="DO149" s="12">
        <f>IF('Données projet'!$A$166&gt;35,DO148+DN149-DW148,IF(A149&lt;'Données projet'!$A$166,$DL$205^A149,IF(A149='Données projet'!$A$166,'Données projet'!$B$166,DO148+DN149-DW148)))</f>
        <v>431.416666666666</v>
      </c>
      <c r="DP149" s="17">
        <f>DO149*VLOOKUP('Données projet'!$B$14,Paramètres!$A$1:$I$89,3,0)*VLOOKUP('Données projet'!$B$14,Paramètres!$A$1:$I$89,5,0)</f>
        <v>437.45649999999932</v>
      </c>
      <c r="DQ149" s="13">
        <f t="shared" si="151"/>
        <v>99.33038515897006</v>
      </c>
      <c r="DR149" s="20">
        <f t="shared" si="124"/>
        <v>934.90382498520512</v>
      </c>
      <c r="DS149" s="59">
        <f t="shared" si="125"/>
        <v>1228.2371583185384</v>
      </c>
      <c r="DT149" s="59">
        <f ca="1">AVERAGE(OFFSET($DS$3,0,0,'Données projet'!$E$14+1,1))-AVERAGE(OFFSET($H$3,0,0,'Données projet'!$E$14+1,1))</f>
        <v>586.50020405958992</v>
      </c>
      <c r="DU149" s="59">
        <f t="shared" si="152"/>
        <v>304.44184537595294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53.192083347950948</v>
      </c>
      <c r="EB149" s="21">
        <f>EXP(-LN(2)/25)*EB148+(1-EXP(-LN(2)/25))/(LN(2)/25)*Calculateur!DW149*Calculateur!DY149*VLOOKUP('Données projet'!$B$14,Paramètres!$A$1:$I$89,3,0)*0.475*44/12</f>
        <v>15.055506482926676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68.247589830877629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-1.7053025658242404E-13</v>
      </c>
      <c r="EK149" s="17">
        <f>EJ149*VLOOKUP('Données projet'!$B$15,Paramètres!$A$1:$I$89,3,0)*VLOOKUP('Données projet'!$B$15,Paramètres!$A$1:$I$89,5,0)</f>
        <v>-1.6493686416652052E-13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355.72173590705142</v>
      </c>
      <c r="EP149" s="59">
        <f t="shared" si="154"/>
        <v>346.30980704469363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27.592566726983168</v>
      </c>
      <c r="EW149" s="21">
        <f>EXP(-LN(2)/25)*EW148+(1-EXP(-LN(2)/25))/(LN(2)/25)*Calculateur!ER149*Calculateur!ET149*VLOOKUP('Données projet'!$B$15,Paramètres!$A$1:$I$89,3,0)*0.475*44/12</f>
        <v>0.44866202454902721</v>
      </c>
      <c r="EX149" s="21">
        <f>EXP(-LN(2)/2)*EX148+(1-EXP(-LN(2)/2))/(LN(2)/2)*ER149*EU149*VLOOKUP('Données projet'!$B$15,Paramètres!$A$1:$I$89,3,0)*0.475*44/12</f>
        <v>5.8892757897502281E-9</v>
      </c>
      <c r="EY149" s="22">
        <f t="shared" si="129"/>
        <v>28.041228757421472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-1.383341441396624E-13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304.26232113495314</v>
      </c>
      <c r="FK149" s="59">
        <f t="shared" si="156"/>
        <v>297.47246687305056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28.524048724518266</v>
      </c>
      <c r="FR149" s="21">
        <f>EXP(-LN(2)/25)*FR148+(1-EXP(-LN(2)/25))/(LN(2)/25)*Calculateur!FM149*Calculateur!FO149*VLOOKUP('Données projet'!$B$16,Paramètres!$A$1:$I$89,3,0)*0.475*44/12</f>
        <v>0.46380815441002216</v>
      </c>
      <c r="FS149" s="21">
        <f>EXP(-LN(2)/2)*FS148+(1-EXP(-LN(2)/2))/(LN(2)/2)*FM149*FP149*VLOOKUP('Données projet'!$B$16,Paramètres!$A$1:$I$89,3,0)*0.475*44/12</f>
        <v>4.9393925978550469E-9</v>
      </c>
      <c r="FT149" s="22">
        <f t="shared" si="132"/>
        <v>28.987856883867678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-1.4897523215040567E-13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381.72225529388083</v>
      </c>
      <c r="T150" s="59">
        <f t="shared" si="142"/>
        <v>360.05900046417361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47.101700607392679</v>
      </c>
      <c r="AA150" s="21">
        <f>EXP(-LN(2)/25)*AA149+(1-EXP(-LN(2)/25))/(LN(2)/25)*Calculateur!V150*Calculateur!X150*VLOOKUP('Données projet'!$B$9,Paramètres!$A$1:$I$89,3,0)*0.475*44/12</f>
        <v>5.1991484234669061</v>
      </c>
      <c r="AB150" s="21">
        <f>EXP(-LN(2)/2)*AB149+(1-EXP(-LN(2)/2))/(LN(2)/2)*V150*Y150*VLOOKUP('Données projet'!$B$9,Paramètres!$A$1:$I$89,3,0)*0.475*44/12</f>
        <v>3.8742230136933327E-18</v>
      </c>
      <c r="AC150" s="22">
        <f t="shared" si="111"/>
        <v>52.300849030859588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-4.1677594708744434E-14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464.3681853739115</v>
      </c>
      <c r="AO150" s="59">
        <f t="shared" si="144"/>
        <v>272.97841038165217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75.302678686684942</v>
      </c>
      <c r="AV150" s="21">
        <f>EXP(-LN(2)/25)*AV149+(1-EXP(-LN(2)/25))/(LN(2)/25)*Calculateur!AQ150*Calculateur!AS150*VLOOKUP('Données projet'!$B$10,Paramètres!$A$1:$I$89,3,0)*0.475*44/12</f>
        <v>15.944398445572894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91.247077132257829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-1.3567387213697657E-13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299.10536994156814</v>
      </c>
      <c r="BJ150" s="59">
        <f t="shared" si="146"/>
        <v>292.57799203101769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27.426926651463358</v>
      </c>
      <c r="BQ150" s="21">
        <f>EXP(-LN(2)/25)*BQ149+(1-EXP(-LN(2)/25))/(LN(2)/25)*Calculateur!BL150*Calculateur!BN150*VLOOKUP('Données projet'!$B$11,Paramètres!$A$1:$I$89,3,0)*0.475*44/12</f>
        <v>0.44244980957481761</v>
      </c>
      <c r="BR150" s="21">
        <f>EXP(-LN(2)/2)*BR149+(1-EXP(-LN(2)/2))/(LN(2)/2)*BL150*BO150*VLOOKUP('Données projet'!$B$11,Paramètres!$A$1:$I$89,3,0)*0.475*44/12</f>
        <v>3.4255111162535097E-9</v>
      </c>
      <c r="BS150" s="22">
        <f t="shared" si="117"/>
        <v>27.869376464463688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-1.7053025658242404E-13</v>
      </c>
      <c r="BZ150" s="13">
        <f>BY150*VLOOKUP('Données projet'!$B$12,Paramètres!$A$1:$I$89,3,0)*VLOOKUP('Données projet'!$B$12,Paramètres!$A$1:$I$89,5,0)</f>
        <v>-1.3567387213697657E-13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299.10536994156814</v>
      </c>
      <c r="CE150" s="59">
        <f t="shared" si="148"/>
        <v>292.57799203101769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27.426926651463358</v>
      </c>
      <c r="CL150" s="21">
        <f>EXP(-LN(2)/25)*CL149+(1-EXP(-LN(2)/25))/(LN(2)/25)*Calculateur!CG150*Calculateur!CI150*VLOOKUP('Données projet'!$B$12,Paramètres!$A$1:$I$89,3,0)*0.475*44/12</f>
        <v>0.44244980957481761</v>
      </c>
      <c r="CM150" s="21">
        <f>EXP(-LN(2)/2)*CM149+(1-EXP(-LN(2)/2))/(LN(2)/2)*CG150*CJ150*VLOOKUP('Données projet'!$B$12,Paramètres!$A$1:$I$89,3,0)*0.475*44/12</f>
        <v>3.4255111162535097E-9</v>
      </c>
      <c r="CN150" s="22">
        <f t="shared" si="120"/>
        <v>27.869376464463688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7.083333333333333</v>
      </c>
      <c r="CT150" s="12">
        <f>IF('Données projet'!$A$140&gt;35,CT149+CS150-DB149,IF(A150&lt;'Données projet'!$A$140,$CQ$205^A150,IF(A150='Données projet'!$A$140,'Données projet'!$B$140,CT149+CS150-DB149)))</f>
        <v>438.49999999999932</v>
      </c>
      <c r="CU150" s="17">
        <f>CT150*VLOOKUP('Données projet'!$B$13,Paramètres!$A$1:$I$89,3,0)*VLOOKUP('Données projet'!$B$13,Paramètres!$A$1:$I$89,5,0)</f>
        <v>396.75479999999936</v>
      </c>
      <c r="CV150" s="13">
        <f t="shared" si="149"/>
        <v>91.118439130021159</v>
      </c>
      <c r="CW150" s="20">
        <f t="shared" si="121"/>
        <v>849.71255815145241</v>
      </c>
      <c r="CX150" s="59">
        <f t="shared" si="122"/>
        <v>1143.0458914847857</v>
      </c>
      <c r="CY150" s="59">
        <f ca="1">AVERAGE(OFFSET($CX$3,0,0,'Données projet'!$E$13+1,1))-AVERAGE(OFFSET($H$3,0,0,'Données projet'!$E$13+1,1))</f>
        <v>528.15559695545812</v>
      </c>
      <c r="CZ150" s="59">
        <f t="shared" si="150"/>
        <v>276.26988364830532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46.532970833430213</v>
      </c>
      <c r="DG150" s="21">
        <f>EXP(-LN(2)/25)*DG149+(1-EXP(-LN(2)/25))/(LN(2)/25)*Calculateur!DB150*Calculateur!DD150*VLOOKUP('Données projet'!$B$13,Paramètres!$A$1:$I$89,3,0)*0.475*44/12</f>
        <v>13.066786865417681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59.599757698847895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7.083333333333333</v>
      </c>
      <c r="DO150" s="12">
        <f>IF('Données projet'!$A$166&gt;35,DO149+DN150-DW149,IF(A150&lt;'Données projet'!$A$166,$DL$205^A150,IF(A150='Données projet'!$A$166,'Données projet'!$B$166,DO149+DN150-DW149)))</f>
        <v>438.49999999999932</v>
      </c>
      <c r="DP150" s="17">
        <f>DO150*VLOOKUP('Données projet'!$B$14,Paramètres!$A$1:$I$89,3,0)*VLOOKUP('Données projet'!$B$14,Paramètres!$A$1:$I$89,5,0)</f>
        <v>444.63899999999938</v>
      </c>
      <c r="DQ150" s="13">
        <f t="shared" si="151"/>
        <v>100.77006493946399</v>
      </c>
      <c r="DR150" s="20">
        <f t="shared" si="124"/>
        <v>949.92078810289877</v>
      </c>
      <c r="DS150" s="59">
        <f t="shared" si="125"/>
        <v>1243.254121436232</v>
      </c>
      <c r="DT150" s="59">
        <f ca="1">AVERAGE(OFFSET($DS$3,0,0,'Données projet'!$E$14+1,1))-AVERAGE(OFFSET($H$3,0,0,'Données projet'!$E$14+1,1))</f>
        <v>586.50020405958992</v>
      </c>
      <c r="DU150" s="59">
        <f t="shared" si="152"/>
        <v>304.44184537595294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52.149019037464896</v>
      </c>
      <c r="EB150" s="21">
        <f>EXP(-LN(2)/25)*EB149+(1-EXP(-LN(2)/25))/(LN(2)/25)*Calculateur!DW150*Calculateur!DY150*VLOOKUP('Données projet'!$B$14,Paramètres!$A$1:$I$89,3,0)*0.475*44/12</f>
        <v>14.64381286641637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66.792831903881265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-1.7053025658242404E-13</v>
      </c>
      <c r="EK150" s="17">
        <f>EJ150*VLOOKUP('Données projet'!$B$15,Paramètres!$A$1:$I$89,3,0)*VLOOKUP('Données projet'!$B$15,Paramètres!$A$1:$I$89,5,0)</f>
        <v>-1.6493686416652052E-13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355.72173590705142</v>
      </c>
      <c r="EP150" s="59">
        <f t="shared" si="154"/>
        <v>346.30980704469363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27.051493323270925</v>
      </c>
      <c r="EW150" s="21">
        <f>EXP(-LN(2)/25)*EW149+(1-EXP(-LN(2)/25))/(LN(2)/25)*Calculateur!ER150*Calculateur!ET150*VLOOKUP('Données projet'!$B$15,Paramètres!$A$1:$I$89,3,0)*0.475*44/12</f>
        <v>0.43639333789362361</v>
      </c>
      <c r="EX150" s="21">
        <f>EXP(-LN(2)/2)*EX149+(1-EXP(-LN(2)/2))/(LN(2)/2)*ER150*EU150*VLOOKUP('Données projet'!$B$15,Paramètres!$A$1:$I$89,3,0)*0.475*44/12</f>
        <v>4.1643468472101463E-9</v>
      </c>
      <c r="EY150" s="22">
        <f t="shared" si="129"/>
        <v>27.487886665328894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-1.383341441396624E-13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304.26232113495314</v>
      </c>
      <c r="FK150" s="59">
        <f t="shared" si="156"/>
        <v>297.47246687305056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27.964709526982279</v>
      </c>
      <c r="FR150" s="21">
        <f>EXP(-LN(2)/25)*FR149+(1-EXP(-LN(2)/25))/(LN(2)/25)*Calculateur!FM150*Calculateur!FO150*VLOOKUP('Données projet'!$B$16,Paramètres!$A$1:$I$89,3,0)*0.475*44/12</f>
        <v>0.4511252960370693</v>
      </c>
      <c r="FS150" s="21">
        <f>EXP(-LN(2)/2)*FS149+(1-EXP(-LN(2)/2))/(LN(2)/2)*FM150*FP150*VLOOKUP('Données projet'!$B$16,Paramètres!$A$1:$I$89,3,0)*0.475*44/12</f>
        <v>3.4926780008859412E-9</v>
      </c>
      <c r="FT150" s="22">
        <f t="shared" si="132"/>
        <v>28.415834826512025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-1.4897523215040567E-13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381.72225529388083</v>
      </c>
      <c r="T151" s="59">
        <f t="shared" si="142"/>
        <v>360.05900046417361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46.178064987682305</v>
      </c>
      <c r="AA151" s="21">
        <f>EXP(-LN(2)/25)*AA150+(1-EXP(-LN(2)/25))/(LN(2)/25)*Calculateur!V151*Calculateur!X151*VLOOKUP('Données projet'!$B$9,Paramètres!$A$1:$I$89,3,0)*0.475*44/12</f>
        <v>5.0569774364158704</v>
      </c>
      <c r="AB151" s="21">
        <f>EXP(-LN(2)/2)*AB150+(1-EXP(-LN(2)/2))/(LN(2)/2)*V151*Y151*VLOOKUP('Données projet'!$B$9,Paramètres!$A$1:$I$89,3,0)*0.475*44/12</f>
        <v>2.7394893648115382E-18</v>
      </c>
      <c r="AC151" s="22">
        <f t="shared" si="111"/>
        <v>51.235042424098175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-4.1677594708744434E-14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464.3681853739115</v>
      </c>
      <c r="AO151" s="59">
        <f t="shared" si="144"/>
        <v>272.97841038165217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73.826039087737826</v>
      </c>
      <c r="AV151" s="21">
        <f>EXP(-LN(2)/25)*AV150+(1-EXP(-LN(2)/25))/(LN(2)/25)*Calculateur!AQ151*Calculateur!AS151*VLOOKUP('Données projet'!$B$10,Paramètres!$A$1:$I$89,3,0)*0.475*44/12</f>
        <v>15.50839803159923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89.334437119337053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-1.3567387213697657E-13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299.10536994156814</v>
      </c>
      <c r="BJ151" s="59">
        <f t="shared" si="146"/>
        <v>292.57799203101769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26.889101348601589</v>
      </c>
      <c r="BQ151" s="21">
        <f>EXP(-LN(2)/25)*BQ150+(1-EXP(-LN(2)/25))/(LN(2)/25)*Calculateur!BL151*Calculateur!BN151*VLOOKUP('Données projet'!$B$11,Paramètres!$A$1:$I$89,3,0)*0.475*44/12</f>
        <v>0.43035099626456996</v>
      </c>
      <c r="BR151" s="21">
        <f>EXP(-LN(2)/2)*BR150+(1-EXP(-LN(2)/2))/(LN(2)/2)*BL151*BO151*VLOOKUP('Données projet'!$B$11,Paramètres!$A$1:$I$89,3,0)*0.475*44/12</f>
        <v>2.4222021393327566E-9</v>
      </c>
      <c r="BS151" s="22">
        <f t="shared" si="117"/>
        <v>27.319452347288358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-1.7053025658242404E-13</v>
      </c>
      <c r="BZ151" s="13">
        <f>BY151*VLOOKUP('Données projet'!$B$12,Paramètres!$A$1:$I$89,3,0)*VLOOKUP('Données projet'!$B$12,Paramètres!$A$1:$I$89,5,0)</f>
        <v>-1.3567387213697657E-13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299.10536994156814</v>
      </c>
      <c r="CE151" s="59">
        <f t="shared" si="148"/>
        <v>292.57799203101769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26.889101348601589</v>
      </c>
      <c r="CL151" s="21">
        <f>EXP(-LN(2)/25)*CL150+(1-EXP(-LN(2)/25))/(LN(2)/25)*Calculateur!CG151*Calculateur!CI151*VLOOKUP('Données projet'!$B$12,Paramètres!$A$1:$I$89,3,0)*0.475*44/12</f>
        <v>0.43035099626456996</v>
      </c>
      <c r="CM151" s="21">
        <f>EXP(-LN(2)/2)*CM150+(1-EXP(-LN(2)/2))/(LN(2)/2)*CG151*CJ151*VLOOKUP('Données projet'!$B$12,Paramètres!$A$1:$I$89,3,0)*0.475*44/12</f>
        <v>2.4222021393327566E-9</v>
      </c>
      <c r="CN151" s="22">
        <f t="shared" si="120"/>
        <v>27.319452347288358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7.083333333333333</v>
      </c>
      <c r="CT151" s="12">
        <f>IF('Données projet'!$A$140&gt;35,CT150+CS151-DB150,IF(A151&lt;'Données projet'!$A$140,$CQ$205^A151,IF(A151='Données projet'!$A$140,'Données projet'!$B$140,CT150+CS151-DB150)))</f>
        <v>445.58333333333263</v>
      </c>
      <c r="CU151" s="17">
        <f>CT151*VLOOKUP('Données projet'!$B$13,Paramètres!$A$1:$I$89,3,0)*VLOOKUP('Données projet'!$B$13,Paramètres!$A$1:$I$89,5,0)</f>
        <v>403.16379999999941</v>
      </c>
      <c r="CV151" s="13">
        <f t="shared" si="149"/>
        <v>92.417782720361771</v>
      </c>
      <c r="CW151" s="20">
        <f t="shared" si="121"/>
        <v>863.13792323796235</v>
      </c>
      <c r="CX151" s="59">
        <f t="shared" si="122"/>
        <v>1156.4712565712957</v>
      </c>
      <c r="CY151" s="59">
        <f ca="1">AVERAGE(OFFSET($CX$3,0,0,'Données projet'!$E$13+1,1))-AVERAGE(OFFSET($H$3,0,0,'Données projet'!$E$13+1,1))</f>
        <v>528.15559695545812</v>
      </c>
      <c r="CZ151" s="59">
        <f t="shared" si="150"/>
        <v>276.26988364830532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45.620487657696337</v>
      </c>
      <c r="DG151" s="21">
        <f>EXP(-LN(2)/25)*DG150+(1-EXP(-LN(2)/25))/(LN(2)/25)*Calculateur!DB151*Calculateur!DD151*VLOOKUP('Données projet'!$B$13,Paramètres!$A$1:$I$89,3,0)*0.475*44/12</f>
        <v>12.709474891430379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58.329962549126719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7.083333333333333</v>
      </c>
      <c r="DO151" s="12">
        <f>IF('Données projet'!$A$166&gt;35,DO150+DN151-DW150,IF(A151&lt;'Données projet'!$A$166,$DL$205^A151,IF(A151='Données projet'!$A$166,'Données projet'!$B$166,DO150+DN151-DW150)))</f>
        <v>445.58333333333263</v>
      </c>
      <c r="DP151" s="17">
        <f>DO151*VLOOKUP('Données projet'!$B$14,Paramètres!$A$1:$I$89,3,0)*VLOOKUP('Données projet'!$B$14,Paramètres!$A$1:$I$89,5,0)</f>
        <v>451.82149999999928</v>
      </c>
      <c r="DQ151" s="13">
        <f t="shared" si="151"/>
        <v>102.20704014697904</v>
      </c>
      <c r="DR151" s="20">
        <f t="shared" si="124"/>
        <v>964.93304075598735</v>
      </c>
      <c r="DS151" s="59">
        <f t="shared" si="125"/>
        <v>1258.2663740893206</v>
      </c>
      <c r="DT151" s="59">
        <f ca="1">AVERAGE(OFFSET($DS$3,0,0,'Données projet'!$E$14+1,1))-AVERAGE(OFFSET($H$3,0,0,'Données projet'!$E$14+1,1))</f>
        <v>586.50020405958992</v>
      </c>
      <c r="DU151" s="59">
        <f t="shared" si="152"/>
        <v>304.44184537595294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51.126408581901067</v>
      </c>
      <c r="EB151" s="21">
        <f>EXP(-LN(2)/25)*EB150+(1-EXP(-LN(2)/25))/(LN(2)/25)*Calculateur!DW151*Calculateur!DY151*VLOOKUP('Données projet'!$B$14,Paramètres!$A$1:$I$89,3,0)*0.475*44/12</f>
        <v>14.243377033499565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65.36978561540063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-1.7053025658242404E-13</v>
      </c>
      <c r="EK151" s="17">
        <f>EJ151*VLOOKUP('Données projet'!$B$15,Paramètres!$A$1:$I$89,3,0)*VLOOKUP('Données projet'!$B$15,Paramètres!$A$1:$I$89,5,0)</f>
        <v>-1.6493686416652052E-13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355.72173590705142</v>
      </c>
      <c r="EP151" s="59">
        <f t="shared" si="154"/>
        <v>346.30980704469363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26.521030038983291</v>
      </c>
      <c r="EW151" s="21">
        <f>EXP(-LN(2)/25)*EW150+(1-EXP(-LN(2)/25))/(LN(2)/25)*Calculateur!ER151*Calculateur!ET151*VLOOKUP('Données projet'!$B$15,Paramètres!$A$1:$I$89,3,0)*0.475*44/12</f>
        <v>0.42446013911999425</v>
      </c>
      <c r="EX151" s="21">
        <f>EXP(-LN(2)/2)*EX150+(1-EXP(-LN(2)/2))/(LN(2)/2)*ER151*EU151*VLOOKUP('Données projet'!$B$15,Paramètres!$A$1:$I$89,3,0)*0.475*44/12</f>
        <v>2.944637894875114E-9</v>
      </c>
      <c r="EY151" s="22">
        <f t="shared" si="129"/>
        <v>26.945490181047923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-1.383341441396624E-13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304.26232113495314</v>
      </c>
      <c r="FK151" s="59">
        <f t="shared" si="156"/>
        <v>297.47246687305056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27.41633862994675</v>
      </c>
      <c r="FR151" s="21">
        <f>EXP(-LN(2)/25)*FR150+(1-EXP(-LN(2)/25))/(LN(2)/25)*Calculateur!FM151*Calculateur!FO151*VLOOKUP('Données projet'!$B$16,Paramètres!$A$1:$I$89,3,0)*0.475*44/12</f>
        <v>0.43878925109328737</v>
      </c>
      <c r="FS151" s="21">
        <f>EXP(-LN(2)/2)*FS150+(1-EXP(-LN(2)/2))/(LN(2)/2)*FM151*FP151*VLOOKUP('Données projet'!$B$16,Paramètres!$A$1:$I$89,3,0)*0.475*44/12</f>
        <v>2.4696962989275234E-9</v>
      </c>
      <c r="FT151" s="22">
        <f t="shared" si="132"/>
        <v>27.855127883509734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-1.4897523215040567E-13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381.72225529388083</v>
      </c>
      <c r="T152" s="59">
        <f t="shared" si="142"/>
        <v>360.05900046417361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45.272541299112355</v>
      </c>
      <c r="AA152" s="21">
        <f>EXP(-LN(2)/25)*AA151+(1-EXP(-LN(2)/25))/(LN(2)/25)*Calculateur!V152*Calculateur!X152*VLOOKUP('Données projet'!$B$9,Paramètres!$A$1:$I$89,3,0)*0.475*44/12</f>
        <v>4.9186941224821927</v>
      </c>
      <c r="AB152" s="21">
        <f>EXP(-LN(2)/2)*AB151+(1-EXP(-LN(2)/2))/(LN(2)/2)*V152*Y152*VLOOKUP('Données projet'!$B$9,Paramètres!$A$1:$I$89,3,0)*0.475*44/12</f>
        <v>1.9371115068466664E-18</v>
      </c>
      <c r="AC152" s="22">
        <f t="shared" si="111"/>
        <v>50.191235421594548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-4.1677594708744434E-14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464.3681853739115</v>
      </c>
      <c r="AO152" s="59">
        <f t="shared" si="144"/>
        <v>272.97841038165217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72.378355490664845</v>
      </c>
      <c r="AV152" s="21">
        <f>EXP(-LN(2)/25)*AV151+(1-EXP(-LN(2)/25))/(LN(2)/25)*Calculateur!AQ152*Calculateur!AS152*VLOOKUP('Données projet'!$B$10,Paramètres!$A$1:$I$89,3,0)*0.475*44/12</f>
        <v>15.084320071873941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87.462675562538791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-1.3567387213697657E-13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299.10536994156814</v>
      </c>
      <c r="BJ152" s="59">
        <f t="shared" si="146"/>
        <v>292.57799203101769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26.361822471887898</v>
      </c>
      <c r="BQ152" s="21">
        <f>EXP(-LN(2)/25)*BQ151+(1-EXP(-LN(2)/25))/(LN(2)/25)*Calculateur!BL152*Calculateur!BN152*VLOOKUP('Données projet'!$B$11,Paramètres!$A$1:$I$89,3,0)*0.475*44/12</f>
        <v>0.41858302564054001</v>
      </c>
      <c r="BR152" s="21">
        <f>EXP(-LN(2)/2)*BR151+(1-EXP(-LN(2)/2))/(LN(2)/2)*BL152*BO152*VLOOKUP('Données projet'!$B$11,Paramètres!$A$1:$I$89,3,0)*0.475*44/12</f>
        <v>1.7127555581267549E-9</v>
      </c>
      <c r="BS152" s="22">
        <f t="shared" si="117"/>
        <v>26.780405499241194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-1.7053025658242404E-13</v>
      </c>
      <c r="BZ152" s="13">
        <f>BY152*VLOOKUP('Données projet'!$B$12,Paramètres!$A$1:$I$89,3,0)*VLOOKUP('Données projet'!$B$12,Paramètres!$A$1:$I$89,5,0)</f>
        <v>-1.3567387213697657E-13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299.10536994156814</v>
      </c>
      <c r="CE152" s="59">
        <f t="shared" si="148"/>
        <v>292.57799203101769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26.361822471887898</v>
      </c>
      <c r="CL152" s="21">
        <f>EXP(-LN(2)/25)*CL151+(1-EXP(-LN(2)/25))/(LN(2)/25)*Calculateur!CG152*Calculateur!CI152*VLOOKUP('Données projet'!$B$12,Paramètres!$A$1:$I$89,3,0)*0.475*44/12</f>
        <v>0.41858302564054001</v>
      </c>
      <c r="CM152" s="21">
        <f>EXP(-LN(2)/2)*CM151+(1-EXP(-LN(2)/2))/(LN(2)/2)*CG152*CJ152*VLOOKUP('Données projet'!$B$12,Paramètres!$A$1:$I$89,3,0)*0.475*44/12</f>
        <v>1.7127555581267549E-9</v>
      </c>
      <c r="CN152" s="22">
        <f t="shared" si="120"/>
        <v>26.780405499241194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7.083333333333333</v>
      </c>
      <c r="CT152" s="12">
        <f>IF('Données projet'!$A$140&gt;35,CT151+CS152-DB151,IF(A152&lt;'Données projet'!$A$140,$CQ$205^A152,IF(A152='Données projet'!$A$140,'Données projet'!$B$140,CT151+CS152-DB151)))</f>
        <v>452.66666666666595</v>
      </c>
      <c r="CU152" s="17">
        <f>CT152*VLOOKUP('Données projet'!$B$13,Paramètres!$A$1:$I$89,3,0)*VLOOKUP('Données projet'!$B$13,Paramètres!$A$1:$I$89,5,0)</f>
        <v>409.57279999999935</v>
      </c>
      <c r="CV152" s="13">
        <f t="shared" si="149"/>
        <v>93.714724142983599</v>
      </c>
      <c r="CW152" s="20">
        <f t="shared" si="121"/>
        <v>876.55910454902858</v>
      </c>
      <c r="CX152" s="59">
        <f t="shared" si="122"/>
        <v>1169.8924378823619</v>
      </c>
      <c r="CY152" s="59">
        <f ca="1">AVERAGE(OFFSET($CX$3,0,0,'Données projet'!$E$13+1,1))-AVERAGE(OFFSET($H$3,0,0,'Données projet'!$E$13+1,1))</f>
        <v>528.15559695545812</v>
      </c>
      <c r="CZ152" s="59">
        <f t="shared" si="150"/>
        <v>276.26988364830532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44.72589772047882</v>
      </c>
      <c r="DG152" s="21">
        <f>EXP(-LN(2)/25)*DG151+(1-EXP(-LN(2)/25))/(LN(2)/25)*Calculateur!DB152*Calculateur!DD152*VLOOKUP('Données projet'!$B$13,Paramètres!$A$1:$I$89,3,0)*0.475*44/12</f>
        <v>12.361933632161978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57.087831352640798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7.083333333333333</v>
      </c>
      <c r="DO152" s="12">
        <f>IF('Données projet'!$A$166&gt;35,DO151+DN152-DW151,IF(A152&lt;'Données projet'!$A$166,$DL$205^A152,IF(A152='Données projet'!$A$166,'Données projet'!$B$166,DO151+DN152-DW151)))</f>
        <v>452.66666666666595</v>
      </c>
      <c r="DP152" s="17">
        <f>DO152*VLOOKUP('Données projet'!$B$14,Paramètres!$A$1:$I$89,3,0)*VLOOKUP('Données projet'!$B$14,Paramètres!$A$1:$I$89,5,0)</f>
        <v>459.00399999999934</v>
      </c>
      <c r="DQ152" s="13">
        <f t="shared" si="151"/>
        <v>103.64135873966028</v>
      </c>
      <c r="DR152" s="20">
        <f t="shared" si="124"/>
        <v>979.94066647157388</v>
      </c>
      <c r="DS152" s="59">
        <f t="shared" si="125"/>
        <v>1273.2739998049071</v>
      </c>
      <c r="DT152" s="59">
        <f ca="1">AVERAGE(OFFSET($DS$3,0,0,'Données projet'!$E$14+1,1))-AVERAGE(OFFSET($H$3,0,0,'Données projet'!$E$14+1,1))</f>
        <v>586.50020405958992</v>
      </c>
      <c r="DU152" s="59">
        <f t="shared" si="152"/>
        <v>304.44184537595294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50.123850893640054</v>
      </c>
      <c r="EB152" s="21">
        <f>EXP(-LN(2)/25)*EB151+(1-EXP(-LN(2)/25))/(LN(2)/25)*Calculateur!DW152*Calculateur!DY152*VLOOKUP('Données projet'!$B$14,Paramètres!$A$1:$I$89,3,0)*0.475*44/12</f>
        <v>13.853891139491875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63.977742033131932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-1.7053025658242404E-13</v>
      </c>
      <c r="EK152" s="17">
        <f>EJ152*VLOOKUP('Données projet'!$B$15,Paramètres!$A$1:$I$89,3,0)*VLOOKUP('Données projet'!$B$15,Paramètres!$A$1:$I$89,5,0)</f>
        <v>-1.6493686416652052E-13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355.72173590705142</v>
      </c>
      <c r="EP152" s="59">
        <f t="shared" si="154"/>
        <v>346.30980704469363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26.000968816149882</v>
      </c>
      <c r="EW152" s="21">
        <f>EXP(-LN(2)/25)*EW151+(1-EXP(-LN(2)/25))/(LN(2)/25)*Calculateur!ER152*Calculateur!ET152*VLOOKUP('Données projet'!$B$15,Paramètres!$A$1:$I$89,3,0)*0.475*44/12</f>
        <v>0.41285325429436942</v>
      </c>
      <c r="EX152" s="21">
        <f>EXP(-LN(2)/2)*EX151+(1-EXP(-LN(2)/2))/(LN(2)/2)*ER152*EU152*VLOOKUP('Données projet'!$B$15,Paramètres!$A$1:$I$89,3,0)*0.475*44/12</f>
        <v>2.0821734236050731E-9</v>
      </c>
      <c r="EY152" s="22">
        <f t="shared" si="129"/>
        <v>26.413822072526425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-1.383341441396624E-13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304.26232113495314</v>
      </c>
      <c r="FK152" s="59">
        <f t="shared" si="156"/>
        <v>297.47246687305056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26.878720951728866</v>
      </c>
      <c r="FR152" s="21">
        <f>EXP(-LN(2)/25)*FR151+(1-EXP(-LN(2)/25))/(LN(2)/25)*Calculateur!FM152*Calculateur!FO152*VLOOKUP('Données projet'!$B$16,Paramètres!$A$1:$I$89,3,0)*0.475*44/12</f>
        <v>0.42679053594721755</v>
      </c>
      <c r="FS152" s="21">
        <f>EXP(-LN(2)/2)*FS151+(1-EXP(-LN(2)/2))/(LN(2)/2)*FM152*FP152*VLOOKUP('Données projet'!$B$16,Paramètres!$A$1:$I$89,3,0)*0.475*44/12</f>
        <v>1.7463390004429706E-9</v>
      </c>
      <c r="FT152" s="22">
        <f t="shared" si="132"/>
        <v>27.305511489422422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-1.4897523215040567E-13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381.72225529388083</v>
      </c>
      <c r="T153" s="59">
        <f t="shared" si="142"/>
        <v>360.05900046417361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44.384774377760344</v>
      </c>
      <c r="AA153" s="21">
        <f>EXP(-LN(2)/25)*AA152+(1-EXP(-LN(2)/25))/(LN(2)/25)*Calculateur!V153*Calculateur!X153*VLOOKUP('Données projet'!$B$9,Paramètres!$A$1:$I$89,3,0)*0.475*44/12</f>
        <v>4.7841921730400347</v>
      </c>
      <c r="AB153" s="21">
        <f>EXP(-LN(2)/2)*AB152+(1-EXP(-LN(2)/2))/(LN(2)/2)*V153*Y153*VLOOKUP('Données projet'!$B$9,Paramètres!$A$1:$I$89,3,0)*0.475*44/12</f>
        <v>1.3697446824057691E-18</v>
      </c>
      <c r="AC153" s="22">
        <f t="shared" si="111"/>
        <v>49.168966550800377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-4.1677594708744434E-14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464.3681853739115</v>
      </c>
      <c r="AO153" s="59">
        <f t="shared" si="144"/>
        <v>272.97841038165217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70.959060085930659</v>
      </c>
      <c r="AV153" s="21">
        <f>EXP(-LN(2)/25)*AV152+(1-EXP(-LN(2)/25))/(LN(2)/25)*Calculateur!AQ153*Calculateur!AS153*VLOOKUP('Données projet'!$B$10,Paramètres!$A$1:$I$89,3,0)*0.475*44/12</f>
        <v>14.671838546258632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85.630898632189286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-1.3567387213697657E-13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299.10536994156814</v>
      </c>
      <c r="BJ153" s="59">
        <f t="shared" si="146"/>
        <v>292.57799203101769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25.844883212338203</v>
      </c>
      <c r="BQ153" s="21">
        <f>EXP(-LN(2)/25)*BQ152+(1-EXP(-LN(2)/25))/(LN(2)/25)*Calculateur!BL153*Calculateur!BN153*VLOOKUP('Données projet'!$B$11,Paramètres!$A$1:$I$89,3,0)*0.475*44/12</f>
        <v>0.40713685079207479</v>
      </c>
      <c r="BR153" s="21">
        <f>EXP(-LN(2)/2)*BR152+(1-EXP(-LN(2)/2))/(LN(2)/2)*BL153*BO153*VLOOKUP('Données projet'!$B$11,Paramètres!$A$1:$I$89,3,0)*0.475*44/12</f>
        <v>1.2111010696663783E-9</v>
      </c>
      <c r="BS153" s="22">
        <f t="shared" si="117"/>
        <v>26.25202006434138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-1.7053025658242404E-13</v>
      </c>
      <c r="BZ153" s="13">
        <f>BY153*VLOOKUP('Données projet'!$B$12,Paramètres!$A$1:$I$89,3,0)*VLOOKUP('Données projet'!$B$12,Paramètres!$A$1:$I$89,5,0)</f>
        <v>-1.3567387213697657E-13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299.10536994156814</v>
      </c>
      <c r="CE153" s="59">
        <f t="shared" si="148"/>
        <v>292.57799203101769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25.844883212338203</v>
      </c>
      <c r="CL153" s="21">
        <f>EXP(-LN(2)/25)*CL152+(1-EXP(-LN(2)/25))/(LN(2)/25)*Calculateur!CG153*Calculateur!CI153*VLOOKUP('Données projet'!$B$12,Paramètres!$A$1:$I$89,3,0)*0.475*44/12</f>
        <v>0.40713685079207479</v>
      </c>
      <c r="CM153" s="21">
        <f>EXP(-LN(2)/2)*CM152+(1-EXP(-LN(2)/2))/(LN(2)/2)*CG153*CJ153*VLOOKUP('Données projet'!$B$12,Paramètres!$A$1:$I$89,3,0)*0.475*44/12</f>
        <v>1.2111010696663783E-9</v>
      </c>
      <c r="CN153" s="22">
        <f t="shared" si="120"/>
        <v>26.25202006434138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7.083333333333333</v>
      </c>
      <c r="CT153" s="12">
        <f>IF('Données projet'!$A$140&gt;35,CT152+CS153-DB152,IF(A153&lt;'Données projet'!$A$140,$CQ$205^A153,IF(A153='Données projet'!$A$140,'Données projet'!$B$140,CT152+CS153-DB152)))</f>
        <v>459.74999999999926</v>
      </c>
      <c r="CU153" s="17">
        <f>CT153*VLOOKUP('Données projet'!$B$13,Paramètres!$A$1:$I$89,3,0)*VLOOKUP('Données projet'!$B$13,Paramètres!$A$1:$I$89,5,0)</f>
        <v>415.98179999999934</v>
      </c>
      <c r="CV153" s="13">
        <f t="shared" si="149"/>
        <v>95.009305327664421</v>
      </c>
      <c r="CW153" s="20">
        <f t="shared" si="121"/>
        <v>889.97617511234773</v>
      </c>
      <c r="CX153" s="59">
        <f t="shared" si="122"/>
        <v>1183.3095084456811</v>
      </c>
      <c r="CY153" s="59">
        <f ca="1">AVERAGE(OFFSET($CX$3,0,0,'Données projet'!$E$13+1,1))-AVERAGE(OFFSET($H$3,0,0,'Données projet'!$E$13+1,1))</f>
        <v>528.15559695545812</v>
      </c>
      <c r="CZ153" s="59">
        <f t="shared" si="150"/>
        <v>276.26988364830532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43.84885014628415</v>
      </c>
      <c r="DG153" s="21">
        <f>EXP(-LN(2)/25)*DG152+(1-EXP(-LN(2)/25))/(LN(2)/25)*Calculateur!DB153*Calculateur!DD153*VLOOKUP('Données projet'!$B$13,Paramètres!$A$1:$I$89,3,0)*0.475*44/12</f>
        <v>12.023895906904674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55.87274605318882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7.083333333333333</v>
      </c>
      <c r="DO153" s="12">
        <f>IF('Données projet'!$A$166&gt;35,DO152+DN153-DW152,IF(A153&lt;'Données projet'!$A$166,$DL$205^A153,IF(A153='Données projet'!$A$166,'Données projet'!$B$166,DO152+DN153-DW152)))</f>
        <v>459.74999999999926</v>
      </c>
      <c r="DP153" s="17">
        <f>DO153*VLOOKUP('Données projet'!$B$14,Paramètres!$A$1:$I$89,3,0)*VLOOKUP('Données projet'!$B$14,Paramètres!$A$1:$I$89,5,0)</f>
        <v>466.18649999999928</v>
      </c>
      <c r="DQ153" s="13">
        <f t="shared" si="151"/>
        <v>105.07306708865363</v>
      </c>
      <c r="DR153" s="20">
        <f t="shared" si="124"/>
        <v>994.94374601273728</v>
      </c>
      <c r="DS153" s="59">
        <f t="shared" si="125"/>
        <v>1288.2770793460706</v>
      </c>
      <c r="DT153" s="59">
        <f ca="1">AVERAGE(OFFSET($DS$3,0,0,'Données projet'!$E$14+1,1))-AVERAGE(OFFSET($H$3,0,0,'Données projet'!$E$14+1,1))</f>
        <v>586.50020405958992</v>
      </c>
      <c r="DU153" s="59">
        <f t="shared" si="152"/>
        <v>304.44184537595294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49.140952750146027</v>
      </c>
      <c r="EB153" s="21">
        <f>EXP(-LN(2)/25)*EB152+(1-EXP(-LN(2)/25))/(LN(2)/25)*Calculateur!DW153*Calculateur!DY153*VLOOKUP('Données projet'!$B$14,Paramètres!$A$1:$I$89,3,0)*0.475*44/12</f>
        <v>13.475055757737998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62.616008507884025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-1.7053025658242404E-13</v>
      </c>
      <c r="EK153" s="17">
        <f>EJ153*VLOOKUP('Données projet'!$B$15,Paramètres!$A$1:$I$89,3,0)*VLOOKUP('Données projet'!$B$15,Paramètres!$A$1:$I$89,5,0)</f>
        <v>-1.6493686416652052E-13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355.72173590705142</v>
      </c>
      <c r="EP153" s="59">
        <f t="shared" si="154"/>
        <v>346.30980704469363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25.491105676690211</v>
      </c>
      <c r="EW153" s="21">
        <f>EXP(-LN(2)/25)*EW152+(1-EXP(-LN(2)/25))/(LN(2)/25)*Calculateur!ER153*Calculateur!ET153*VLOOKUP('Données projet'!$B$15,Paramètres!$A$1:$I$89,3,0)*0.475*44/12</f>
        <v>0.40156376034468083</v>
      </c>
      <c r="EX153" s="21">
        <f>EXP(-LN(2)/2)*EX152+(1-EXP(-LN(2)/2))/(LN(2)/2)*ER153*EU153*VLOOKUP('Données projet'!$B$15,Paramètres!$A$1:$I$89,3,0)*0.475*44/12</f>
        <v>1.472318947437557E-9</v>
      </c>
      <c r="EY153" s="22">
        <f t="shared" si="129"/>
        <v>25.892669438507209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-1.383341441396624E-13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304.26232113495314</v>
      </c>
      <c r="FK153" s="59">
        <f t="shared" si="156"/>
        <v>297.47246687305056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26.351645628266432</v>
      </c>
      <c r="FR153" s="21">
        <f>EXP(-LN(2)/25)*FR152+(1-EXP(-LN(2)/25))/(LN(2)/25)*Calculateur!FM153*Calculateur!FO153*VLOOKUP('Données projet'!$B$16,Paramètres!$A$1:$I$89,3,0)*0.475*44/12</f>
        <v>0.41511992629780203</v>
      </c>
      <c r="FS153" s="21">
        <f>EXP(-LN(2)/2)*FS152+(1-EXP(-LN(2)/2))/(LN(2)/2)*FM153*FP153*VLOOKUP('Données projet'!$B$16,Paramètres!$A$1:$I$89,3,0)*0.475*44/12</f>
        <v>1.2348481494637617E-9</v>
      </c>
      <c r="FT153" s="22">
        <f t="shared" si="132"/>
        <v>26.766765555799083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-1.4897523215040567E-13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381.72225529388083</v>
      </c>
      <c r="T154" s="59">
        <f t="shared" si="142"/>
        <v>360.05900046417361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43.514416024251695</v>
      </c>
      <c r="AA154" s="21">
        <f>EXP(-LN(2)/25)*AA153+(1-EXP(-LN(2)/25))/(LN(2)/25)*Calculateur!V154*Calculateur!X154*VLOOKUP('Données projet'!$B$9,Paramètres!$A$1:$I$89,3,0)*0.475*44/12</f>
        <v>4.6533681864785228</v>
      </c>
      <c r="AB154" s="21">
        <f>EXP(-LN(2)/2)*AB153+(1-EXP(-LN(2)/2))/(LN(2)/2)*V154*Y154*VLOOKUP('Données projet'!$B$9,Paramètres!$A$1:$I$89,3,0)*0.475*44/12</f>
        <v>9.6855575342333318E-19</v>
      </c>
      <c r="AC154" s="22">
        <f t="shared" ref="AC154:AC203" si="163">SUM(Z154:AB154)</f>
        <v>48.167784210730218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-4.1677594708744434E-14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464.3681853739115</v>
      </c>
      <c r="AO154" s="59">
        <f t="shared" si="144"/>
        <v>272.97841038165217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69.56759619839859</v>
      </c>
      <c r="AV154" s="21">
        <f>EXP(-LN(2)/25)*AV153+(1-EXP(-LN(2)/25))/(LN(2)/25)*Calculateur!AQ154*Calculateur!AS154*VLOOKUP('Données projet'!$B$10,Paramètres!$A$1:$I$89,3,0)*0.475*44/12</f>
        <v>14.270636349652733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83.838232548051323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-1.3567387213697657E-13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299.10536994156814</v>
      </c>
      <c r="BJ154" s="59">
        <f t="shared" si="146"/>
        <v>292.57799203101769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25.338080816366464</v>
      </c>
      <c r="BQ154" s="21">
        <f>EXP(-LN(2)/25)*BQ153+(1-EXP(-LN(2)/25))/(LN(2)/25)*Calculateur!BL154*Calculateur!BN154*VLOOKUP('Données projet'!$B$11,Paramètres!$A$1:$I$89,3,0)*0.475*44/12</f>
        <v>0.39600367219676902</v>
      </c>
      <c r="BR154" s="21">
        <f>EXP(-LN(2)/2)*BR153+(1-EXP(-LN(2)/2))/(LN(2)/2)*BL154*BO154*VLOOKUP('Données projet'!$B$11,Paramètres!$A$1:$I$89,3,0)*0.475*44/12</f>
        <v>8.5637777906337743E-10</v>
      </c>
      <c r="BS154" s="22">
        <f t="shared" ref="BS154:BS203" si="169">SUM(BP154:BR154)</f>
        <v>25.734084489419612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-1.7053025658242404E-13</v>
      </c>
      <c r="BZ154" s="13">
        <f>BY154*VLOOKUP('Données projet'!$B$12,Paramètres!$A$1:$I$89,3,0)*VLOOKUP('Données projet'!$B$12,Paramètres!$A$1:$I$89,5,0)</f>
        <v>-1.3567387213697657E-13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299.10536994156814</v>
      </c>
      <c r="CE154" s="59">
        <f t="shared" si="148"/>
        <v>292.57799203101769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25.338080816366464</v>
      </c>
      <c r="CL154" s="21">
        <f>EXP(-LN(2)/25)*CL153+(1-EXP(-LN(2)/25))/(LN(2)/25)*Calculateur!CG154*Calculateur!CI154*VLOOKUP('Données projet'!$B$12,Paramètres!$A$1:$I$89,3,0)*0.475*44/12</f>
        <v>0.39600367219676902</v>
      </c>
      <c r="CM154" s="21">
        <f>EXP(-LN(2)/2)*CM153+(1-EXP(-LN(2)/2))/(LN(2)/2)*CG154*CJ154*VLOOKUP('Données projet'!$B$12,Paramètres!$A$1:$I$89,3,0)*0.475*44/12</f>
        <v>8.5637777906337743E-10</v>
      </c>
      <c r="CN154" s="22">
        <f t="shared" ref="CN154:CN203" si="172">SUM(CK154:CM154)</f>
        <v>25.734084489419612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7.083333333333333</v>
      </c>
      <c r="CT154" s="12">
        <f>IF('Données projet'!$A$140&gt;35,CT153+CS154-DB153,IF(A154&lt;'Données projet'!$A$140,$CQ$205^A154,IF(A154='Données projet'!$A$140,'Données projet'!$B$140,CT153+CS154-DB153)))</f>
        <v>466.83333333333258</v>
      </c>
      <c r="CU154" s="17">
        <f>CT154*VLOOKUP('Données projet'!$B$13,Paramètres!$A$1:$I$89,3,0)*VLOOKUP('Données projet'!$B$13,Paramètres!$A$1:$I$89,5,0)</f>
        <v>422.39079999999927</v>
      </c>
      <c r="CV154" s="13">
        <f t="shared" ref="CV154:CV203" si="173">EXP(-1.0587+0.8836*LN(CU154)+0.284)</f>
        <v>96.301566838032542</v>
      </c>
      <c r="CW154" s="20">
        <f t="shared" ref="CW154:CW203" si="174">(CU154+CV154)*0.475*44/12</f>
        <v>903.38920557623862</v>
      </c>
      <c r="CX154" s="59">
        <f t="shared" si="122"/>
        <v>1196.722538909572</v>
      </c>
      <c r="CY154" s="59">
        <f ca="1">AVERAGE(OFFSET($CX$3,0,0,'Données projet'!$E$13+1,1))-AVERAGE(OFFSET($H$3,0,0,'Données projet'!$E$13+1,1))</f>
        <v>528.15559695545812</v>
      </c>
      <c r="CZ154" s="59">
        <f t="shared" si="150"/>
        <v>276.26988364830532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42.98900094007324</v>
      </c>
      <c r="DG154" s="21">
        <f>EXP(-LN(2)/25)*DG153+(1-EXP(-LN(2)/25))/(LN(2)/25)*Calculateur!DB154*Calculateur!DD154*VLOOKUP('Données projet'!$B$13,Paramètres!$A$1:$I$89,3,0)*0.475*44/12</f>
        <v>11.695101841021161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54.684102781094403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7.083333333333333</v>
      </c>
      <c r="DO154" s="12">
        <f>IF('Données projet'!$A$166&gt;35,DO153+DN154-DW153,IF(A154&lt;'Données projet'!$A$166,$DL$205^A154,IF(A154='Données projet'!$A$166,'Données projet'!$B$166,DO153+DN154-DW153)))</f>
        <v>466.83333333333258</v>
      </c>
      <c r="DP154" s="17">
        <f>DO154*VLOOKUP('Données projet'!$B$14,Paramètres!$A$1:$I$89,3,0)*VLOOKUP('Données projet'!$B$14,Paramètres!$A$1:$I$89,5,0)</f>
        <v>473.36899999999929</v>
      </c>
      <c r="DQ154" s="13">
        <f t="shared" ref="DQ154:DQ203" si="176">EXP(-1.0587+0.8836*LN(DP154)+0.284)</f>
        <v>106.50221005424753</v>
      </c>
      <c r="DR154" s="20">
        <f t="shared" ref="DR154:DR203" si="177">(DP154+DQ154)*0.475*44/12</f>
        <v>1009.9423575111465</v>
      </c>
      <c r="DS154" s="59">
        <f t="shared" si="125"/>
        <v>1303.2756908444799</v>
      </c>
      <c r="DT154" s="59">
        <f ca="1">AVERAGE(OFFSET($DS$3,0,0,'Données projet'!$E$14+1,1))-AVERAGE(OFFSET($H$3,0,0,'Données projet'!$E$14+1,1))</f>
        <v>586.50020405958992</v>
      </c>
      <c r="DU154" s="59">
        <f t="shared" si="152"/>
        <v>304.44184537595294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48.177328639737254</v>
      </c>
      <c r="EB154" s="21">
        <f>EXP(-LN(2)/25)*EB153+(1-EXP(-LN(2)/25))/(LN(2)/25)*Calculateur!DW154*Calculateur!DY154*VLOOKUP('Données projet'!$B$14,Paramètres!$A$1:$I$89,3,0)*0.475*44/12</f>
        <v>13.106579649420267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61.283908289157523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-1.7053025658242404E-13</v>
      </c>
      <c r="EK154" s="17">
        <f>EJ154*VLOOKUP('Données projet'!$B$15,Paramètres!$A$1:$I$89,3,0)*VLOOKUP('Données projet'!$B$15,Paramètres!$A$1:$I$89,5,0)</f>
        <v>-1.6493686416652052E-13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355.72173590705142</v>
      </c>
      <c r="EP154" s="59">
        <f t="shared" si="154"/>
        <v>346.30980704469363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24.991240642409537</v>
      </c>
      <c r="EW154" s="21">
        <f>EXP(-LN(2)/25)*EW153+(1-EXP(-LN(2)/25))/(LN(2)/25)*Calculateur!ER154*Calculateur!ET154*VLOOKUP('Données projet'!$B$15,Paramètres!$A$1:$I$89,3,0)*0.475*44/12</f>
        <v>0.39058297820073518</v>
      </c>
      <c r="EX154" s="21">
        <f>EXP(-LN(2)/2)*EX153+(1-EXP(-LN(2)/2))/(LN(2)/2)*ER154*EU154*VLOOKUP('Données projet'!$B$15,Paramètres!$A$1:$I$89,3,0)*0.475*44/12</f>
        <v>1.0410867118025366E-9</v>
      </c>
      <c r="EY154" s="22">
        <f t="shared" ref="EY154:EY203" si="181">SUM(EV154:EX154)</f>
        <v>25.38182362165136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-1.383341441396624E-13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304.26232113495314</v>
      </c>
      <c r="FK154" s="59">
        <f t="shared" si="156"/>
        <v>297.47246687305056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25.834905930412891</v>
      </c>
      <c r="FR154" s="21">
        <f>EXP(-LN(2)/25)*FR153+(1-EXP(-LN(2)/25))/(LN(2)/25)*Calculateur!FM154*Calculateur!FO154*VLOOKUP('Données projet'!$B$16,Paramètres!$A$1:$I$89,3,0)*0.475*44/12</f>
        <v>0.40376845008298046</v>
      </c>
      <c r="FS154" s="21">
        <f>EXP(-LN(2)/2)*FS153+(1-EXP(-LN(2)/2))/(LN(2)/2)*FM154*FP154*VLOOKUP('Données projet'!$B$16,Paramètres!$A$1:$I$89,3,0)*0.475*44/12</f>
        <v>8.731695002214853E-10</v>
      </c>
      <c r="FT154" s="22">
        <f t="shared" ref="FT154:FT203" si="184">SUM(FQ154:FS154)</f>
        <v>26.238674381369041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-1.4897523215040567E-13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381.72225529388083</v>
      </c>
      <c r="T155" s="59">
        <f t="shared" si="142"/>
        <v>360.05900046417361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42.661124867189173</v>
      </c>
      <c r="AA155" s="21">
        <f>EXP(-LN(2)/25)*AA154+(1-EXP(-LN(2)/25))/(LN(2)/25)*Calculateur!V155*Calculateur!X155*VLOOKUP('Données projet'!$B$9,Paramètres!$A$1:$I$89,3,0)*0.475*44/12</f>
        <v>4.5261215887092705</v>
      </c>
      <c r="AB155" s="21">
        <f>EXP(-LN(2)/2)*AB154+(1-EXP(-LN(2)/2))/(LN(2)/2)*V155*Y155*VLOOKUP('Données projet'!$B$9,Paramètres!$A$1:$I$89,3,0)*0.475*44/12</f>
        <v>6.8487234120288454E-19</v>
      </c>
      <c r="AC155" s="22">
        <f t="shared" si="163"/>
        <v>47.187246455898446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-4.1677594708744434E-14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464.3681853739115</v>
      </c>
      <c r="AO155" s="59">
        <f t="shared" si="144"/>
        <v>272.97841038165217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68.203418068991851</v>
      </c>
      <c r="AV155" s="21">
        <f>EXP(-LN(2)/25)*AV154+(1-EXP(-LN(2)/25))/(LN(2)/25)*Calculateur!AQ155*Calculateur!AS155*VLOOKUP('Données projet'!$B$10,Paramètres!$A$1:$I$89,3,0)*0.475*44/12</f>
        <v>13.88040504821133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82.083823117203181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-1.3567387213697657E-13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299.10536994156814</v>
      </c>
      <c r="BJ155" s="59">
        <f t="shared" si="146"/>
        <v>292.57799203101769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24.841216506260789</v>
      </c>
      <c r="BQ155" s="21">
        <f>EXP(-LN(2)/25)*BQ154+(1-EXP(-LN(2)/25))/(LN(2)/25)*Calculateur!BL155*Calculateur!BN155*VLOOKUP('Données projet'!$B$11,Paramètres!$A$1:$I$89,3,0)*0.475*44/12</f>
        <v>0.38517493095562033</v>
      </c>
      <c r="BR155" s="21">
        <f>EXP(-LN(2)/2)*BR154+(1-EXP(-LN(2)/2))/(LN(2)/2)*BL155*BO155*VLOOKUP('Données projet'!$B$11,Paramètres!$A$1:$I$89,3,0)*0.475*44/12</f>
        <v>6.0555053483318915E-10</v>
      </c>
      <c r="BS155" s="22">
        <f t="shared" si="169"/>
        <v>25.22639143782196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-1.7053025658242404E-13</v>
      </c>
      <c r="BZ155" s="13">
        <f>BY155*VLOOKUP('Données projet'!$B$12,Paramètres!$A$1:$I$89,3,0)*VLOOKUP('Données projet'!$B$12,Paramètres!$A$1:$I$89,5,0)</f>
        <v>-1.3567387213697657E-13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299.10536994156814</v>
      </c>
      <c r="CE155" s="59">
        <f t="shared" si="148"/>
        <v>292.57799203101769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24.841216506260789</v>
      </c>
      <c r="CL155" s="21">
        <f>EXP(-LN(2)/25)*CL154+(1-EXP(-LN(2)/25))/(LN(2)/25)*Calculateur!CG155*Calculateur!CI155*VLOOKUP('Données projet'!$B$12,Paramètres!$A$1:$I$89,3,0)*0.475*44/12</f>
        <v>0.38517493095562033</v>
      </c>
      <c r="CM155" s="21">
        <f>EXP(-LN(2)/2)*CM154+(1-EXP(-LN(2)/2))/(LN(2)/2)*CG155*CJ155*VLOOKUP('Données projet'!$B$12,Paramètres!$A$1:$I$89,3,0)*0.475*44/12</f>
        <v>6.0555053483318915E-10</v>
      </c>
      <c r="CN155" s="22">
        <f t="shared" si="172"/>
        <v>25.22639143782196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7.083333333333333</v>
      </c>
      <c r="CT155" s="12">
        <f>IF('Données projet'!$A$140&gt;35,CT154+CS155-DB154,IF(A155&lt;'Données projet'!$A$140,$CQ$205^A155,IF(A155='Données projet'!$A$140,'Données projet'!$B$140,CT154+CS155-DB154)))</f>
        <v>473.91666666666589</v>
      </c>
      <c r="CU155" s="17">
        <f>CT155*VLOOKUP('Données projet'!$B$13,Paramètres!$A$1:$I$89,3,0)*VLOOKUP('Données projet'!$B$13,Paramètres!$A$1:$I$89,5,0)</f>
        <v>428.79979999999932</v>
      </c>
      <c r="CV155" s="13">
        <f t="shared" si="173"/>
        <v>97.591547936119014</v>
      </c>
      <c r="CW155" s="20">
        <f t="shared" si="174"/>
        <v>916.79826432207267</v>
      </c>
      <c r="CX155" s="59">
        <f t="shared" si="122"/>
        <v>1210.131597655406</v>
      </c>
      <c r="CY155" s="59">
        <f ca="1">AVERAGE(OFFSET($CX$3,0,0,'Données projet'!$E$13+1,1))-AVERAGE(OFFSET($H$3,0,0,'Données projet'!$E$13+1,1))</f>
        <v>528.15559695545812</v>
      </c>
      <c r="CZ155" s="59">
        <f t="shared" si="150"/>
        <v>276.26988364830532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42.146012852339901</v>
      </c>
      <c r="DG155" s="21">
        <f>EXP(-LN(2)/25)*DG154+(1-EXP(-LN(2)/25))/(LN(2)/25)*Calculateur!DB155*Calculateur!DD155*VLOOKUP('Données projet'!$B$13,Paramètres!$A$1:$I$89,3,0)*0.475*44/12</f>
        <v>11.375298666159761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53.521311518499658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7.083333333333333</v>
      </c>
      <c r="DO155" s="12">
        <f>IF('Données projet'!$A$166&gt;35,DO154+DN155-DW154,IF(A155&lt;'Données projet'!$A$166,$DL$205^A155,IF(A155='Données projet'!$A$166,'Données projet'!$B$166,DO154+DN155-DW154)))</f>
        <v>473.91666666666589</v>
      </c>
      <c r="DP155" s="17">
        <f>DO155*VLOOKUP('Données projet'!$B$14,Paramètres!$A$1:$I$89,3,0)*VLOOKUP('Données projet'!$B$14,Paramètres!$A$1:$I$89,5,0)</f>
        <v>480.55149999999924</v>
      </c>
      <c r="DQ155" s="13">
        <f t="shared" si="176"/>
        <v>107.92883105726278</v>
      </c>
      <c r="DR155" s="20">
        <f t="shared" si="177"/>
        <v>1024.9365765913979</v>
      </c>
      <c r="DS155" s="59">
        <f t="shared" si="125"/>
        <v>1318.2699099247311</v>
      </c>
      <c r="DT155" s="59">
        <f ca="1">AVERAGE(OFFSET($DS$3,0,0,'Données projet'!$E$14+1,1))-AVERAGE(OFFSET($H$3,0,0,'Données projet'!$E$14+1,1))</f>
        <v>586.50020405958992</v>
      </c>
      <c r="DU155" s="59">
        <f t="shared" si="152"/>
        <v>304.44184537595294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47.232600610380921</v>
      </c>
      <c r="EB155" s="21">
        <f>EXP(-LN(2)/25)*EB154+(1-EXP(-LN(2)/25))/(LN(2)/25)*Calculateur!DW155*Calculateur!DY155*VLOOKUP('Données projet'!$B$14,Paramètres!$A$1:$I$89,3,0)*0.475*44/12</f>
        <v>12.748179539661802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59.980780150042719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-1.7053025658242404E-13</v>
      </c>
      <c r="EK155" s="17">
        <f>EJ155*VLOOKUP('Données projet'!$B$15,Paramètres!$A$1:$I$89,3,0)*VLOOKUP('Données projet'!$B$15,Paramètres!$A$1:$I$89,5,0)</f>
        <v>-1.6493686416652052E-13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355.72173590705142</v>
      </c>
      <c r="EP155" s="59">
        <f t="shared" si="154"/>
        <v>346.30980704469363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24.501177656563542</v>
      </c>
      <c r="EW155" s="21">
        <f>EXP(-LN(2)/25)*EW154+(1-EXP(-LN(2)/25))/(LN(2)/25)*Calculateur!ER155*Calculateur!ET155*VLOOKUP('Données projet'!$B$15,Paramètres!$A$1:$I$89,3,0)*0.475*44/12</f>
        <v>0.37990246612196993</v>
      </c>
      <c r="EX155" s="21">
        <f>EXP(-LN(2)/2)*EX154+(1-EXP(-LN(2)/2))/(LN(2)/2)*ER155*EU155*VLOOKUP('Données projet'!$B$15,Paramètres!$A$1:$I$89,3,0)*0.475*44/12</f>
        <v>7.3615947371877851E-10</v>
      </c>
      <c r="EY155" s="22">
        <f t="shared" si="181"/>
        <v>24.881080123421668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-1.383341441396624E-13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304.26232113495314</v>
      </c>
      <c r="FK155" s="59">
        <f t="shared" si="156"/>
        <v>297.47246687305056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25.328299182854163</v>
      </c>
      <c r="FR155" s="21">
        <f>EXP(-LN(2)/25)*FR154+(1-EXP(-LN(2)/25))/(LN(2)/25)*Calculateur!FM155*Calculateur!FO155*VLOOKUP('Données projet'!$B$16,Paramètres!$A$1:$I$89,3,0)*0.475*44/12</f>
        <v>0.39272738058220141</v>
      </c>
      <c r="FS155" s="21">
        <f>EXP(-LN(2)/2)*FS154+(1-EXP(-LN(2)/2))/(LN(2)/2)*FM155*FP155*VLOOKUP('Données projet'!$B$16,Paramètres!$A$1:$I$89,3,0)*0.475*44/12</f>
        <v>6.1742407473188086E-10</v>
      </c>
      <c r="FT155" s="22">
        <f t="shared" si="184"/>
        <v>25.721026564053787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-1.4897523215040567E-13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381.72225529388083</v>
      </c>
      <c r="T156" s="59">
        <f t="shared" si="142"/>
        <v>360.05900046417361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41.824566229260427</v>
      </c>
      <c r="AA156" s="21">
        <f>EXP(-LN(2)/25)*AA155+(1-EXP(-LN(2)/25))/(LN(2)/25)*Calculateur!V156*Calculateur!X156*VLOOKUP('Données projet'!$B$9,Paramètres!$A$1:$I$89,3,0)*0.475*44/12</f>
        <v>4.4023545558476256</v>
      </c>
      <c r="AB156" s="21">
        <f>EXP(-LN(2)/2)*AB155+(1-EXP(-LN(2)/2))/(LN(2)/2)*V156*Y156*VLOOKUP('Données projet'!$B$9,Paramètres!$A$1:$I$89,3,0)*0.475*44/12</f>
        <v>4.8427787671166659E-19</v>
      </c>
      <c r="AC156" s="22">
        <f t="shared" si="163"/>
        <v>46.226920785108049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-4.1677594708744434E-14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464.3681853739115</v>
      </c>
      <c r="AO156" s="59">
        <f t="shared" si="144"/>
        <v>272.97841038165217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66.865990640636284</v>
      </c>
      <c r="AV156" s="21">
        <f>EXP(-LN(2)/25)*AV155+(1-EXP(-LN(2)/25))/(LN(2)/25)*Calculateur!AQ156*Calculateur!AS156*VLOOKUP('Données projet'!$B$10,Paramètres!$A$1:$I$89,3,0)*0.475*44/12</f>
        <v>13.500844642229213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80.366835282865495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-1.3567387213697657E-13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299.10536994156814</v>
      </c>
      <c r="BJ156" s="59">
        <f t="shared" si="146"/>
        <v>292.57799203101769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24.354095402218984</v>
      </c>
      <c r="BQ156" s="21">
        <f>EXP(-LN(2)/25)*BQ155+(1-EXP(-LN(2)/25))/(LN(2)/25)*Calculateur!BL156*Calculateur!BN156*VLOOKUP('Données projet'!$B$11,Paramètres!$A$1:$I$89,3,0)*0.475*44/12</f>
        <v>0.37464230221316963</v>
      </c>
      <c r="BR156" s="21">
        <f>EXP(-LN(2)/2)*BR155+(1-EXP(-LN(2)/2))/(LN(2)/2)*BL156*BO156*VLOOKUP('Données projet'!$B$11,Paramètres!$A$1:$I$89,3,0)*0.475*44/12</f>
        <v>4.2818888953168871E-10</v>
      </c>
      <c r="BS156" s="22">
        <f t="shared" si="169"/>
        <v>24.72873770486034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-1.7053025658242404E-13</v>
      </c>
      <c r="BZ156" s="13">
        <f>BY156*VLOOKUP('Données projet'!$B$12,Paramètres!$A$1:$I$89,3,0)*VLOOKUP('Données projet'!$B$12,Paramètres!$A$1:$I$89,5,0)</f>
        <v>-1.3567387213697657E-13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299.10536994156814</v>
      </c>
      <c r="CE156" s="59">
        <f t="shared" si="148"/>
        <v>292.57799203101769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24.354095402218984</v>
      </c>
      <c r="CL156" s="21">
        <f>EXP(-LN(2)/25)*CL155+(1-EXP(-LN(2)/25))/(LN(2)/25)*Calculateur!CG156*Calculateur!CI156*VLOOKUP('Données projet'!$B$12,Paramètres!$A$1:$I$89,3,0)*0.475*44/12</f>
        <v>0.37464230221316963</v>
      </c>
      <c r="CM156" s="21">
        <f>EXP(-LN(2)/2)*CM155+(1-EXP(-LN(2)/2))/(LN(2)/2)*CG156*CJ156*VLOOKUP('Données projet'!$B$12,Paramètres!$A$1:$I$89,3,0)*0.475*44/12</f>
        <v>4.2818888953168871E-10</v>
      </c>
      <c r="CN156" s="22">
        <f t="shared" si="172"/>
        <v>24.72873770486034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481</v>
      </c>
      <c r="CR156" s="12">
        <f>VLOOKUP(A156,'Données projet'!$A$139:$I$159,9,0)</f>
        <v>7.083333333333333</v>
      </c>
      <c r="CS156" s="12">
        <f t="array" ref="CS156">INDEX(CR:CR,MIN(IF(ISNUMBER(CR156:CR352),ROW(CR156:CR352),"")))</f>
        <v>7.083333333333333</v>
      </c>
      <c r="CT156" s="12">
        <f>IF('Données projet'!$A$140&gt;35,CT155+CS156-DB155,IF(A156&lt;'Données projet'!$A$140,$CQ$205^A156,IF(A156='Données projet'!$A$140,'Données projet'!$B$140,CT155+CS156-DB155)))</f>
        <v>480.9999999999992</v>
      </c>
      <c r="CU156" s="17">
        <f>CT156*VLOOKUP('Données projet'!$B$13,Paramètres!$A$1:$I$89,3,0)*VLOOKUP('Données projet'!$B$13,Paramètres!$A$1:$I$89,5,0)</f>
        <v>435.20879999999926</v>
      </c>
      <c r="CV156" s="13">
        <f t="shared" si="173"/>
        <v>98.879286642940571</v>
      </c>
      <c r="CW156" s="20">
        <f t="shared" si="174"/>
        <v>930.20341756978689</v>
      </c>
      <c r="CX156" s="59">
        <f t="shared" si="122"/>
        <v>1223.5367509031203</v>
      </c>
      <c r="CY156" s="59">
        <f ca="1">AVERAGE(OFFSET($CX$3,0,0,'Données projet'!$E$13+1,1))-AVERAGE(OFFSET($H$3,0,0,'Données projet'!$E$13+1,1))</f>
        <v>528.15559695545812</v>
      </c>
      <c r="CZ156" s="59">
        <f t="shared" si="150"/>
        <v>276.26988364830532</v>
      </c>
      <c r="DA156" s="15" t="str">
        <f>IF(ISNA(VLOOKUP(A156,'Données projet'!$A$139:$I$159,3,0)),0,VLOOKUP(A156,'Données projet'!$A$139:$I$159,3,0))</f>
        <v>CR</v>
      </c>
      <c r="DB156" s="15">
        <f>IF(ISNA(VLOOKUP(A156,'Données projet'!$A$139:$I$159,4,0)),0,VLOOKUP(A156,'Données projet'!$A$139:$I$159,4,0))</f>
        <v>481</v>
      </c>
      <c r="DC156" s="16">
        <f>IF(ISNA(VLOOKUP(A156,'Données projet'!$A$139:$I$159,5,0)),0%,VLOOKUP(A156,'Données projet'!$A$139:$I$159,5,0)*VLOOKUP('Données projet'!$B$13,Paramètres!$A$1:$I$89,7,0))</f>
        <v>0.30099999999999999</v>
      </c>
      <c r="DD156" s="16">
        <f>IF(ISNA(VLOOKUP(A156,'Données projet'!$A$139:$I$159,6,0)),0%,VLOOKUP(A156,'Données projet'!$A$139:$I$159,6,0)*VLOOKUP('Données projet'!$B$13,Paramètres!$A$1:$I$89,7,0))</f>
        <v>4.3000000000000003E-2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186.13379687777106</v>
      </c>
      <c r="DG156" s="21">
        <f>EXP(-LN(2)/25)*DG155+(1-EXP(-LN(2)/25))/(LN(2)/25)*Calculateur!DB156*Calculateur!DD156*VLOOKUP('Données projet'!$B$13,Paramètres!$A$1:$I$89,3,0)*0.475*44/12</f>
        <v>31.670533780658815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217.80433065842988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481</v>
      </c>
      <c r="DM156" s="12">
        <f>VLOOKUP(A156,'Données projet'!$A$165:$I$185,9,0)</f>
        <v>7.083333333333333</v>
      </c>
      <c r="DN156" s="12">
        <f t="array" ref="DN156">INDEX(DM:DM,MIN(IF(ISNUMBER(DM156:DM352),ROW(DM156:DM352),"")))</f>
        <v>7.083333333333333</v>
      </c>
      <c r="DO156" s="12">
        <f>IF('Données projet'!$A$166&gt;35,DO155+DN156-DW155,IF(A156&lt;'Données projet'!$A$166,$DL$205^A156,IF(A156='Données projet'!$A$166,'Données projet'!$B$166,DO155+DN156-DW155)))</f>
        <v>480.9999999999992</v>
      </c>
      <c r="DP156" s="17">
        <f>DO156*VLOOKUP('Données projet'!$B$14,Paramètres!$A$1:$I$89,3,0)*VLOOKUP('Données projet'!$B$14,Paramètres!$A$1:$I$89,5,0)</f>
        <v>487.73399999999918</v>
      </c>
      <c r="DQ156" s="13">
        <f t="shared" si="176"/>
        <v>109.35297214605265</v>
      </c>
      <c r="DR156" s="20">
        <f t="shared" si="177"/>
        <v>1039.9264764877069</v>
      </c>
      <c r="DS156" s="59">
        <f t="shared" si="125"/>
        <v>1333.2598098210401</v>
      </c>
      <c r="DT156" s="59">
        <f ca="1">AVERAGE(OFFSET($DS$3,0,0,'Données projet'!$E$14+1,1))-AVERAGE(OFFSET($H$3,0,0,'Données projet'!$E$14+1,1))</f>
        <v>586.50020405958992</v>
      </c>
      <c r="DU156" s="59">
        <f t="shared" si="152"/>
        <v>304.44184537595294</v>
      </c>
      <c r="DV156" s="15" t="str">
        <f>IF(ISNA(VLOOKUP(A156,'Données projet'!$A$165:$I$185,3,0)),0,VLOOKUP(A156,'Données projet'!$A$165:$I$185,3,0))</f>
        <v>CR</v>
      </c>
      <c r="DW156" s="15">
        <f>IF(ISNA(VLOOKUP(A156,'Données projet'!$A$165:$I$185,4,0)),0,VLOOKUP(A156,'Données projet'!$A$165:$I$185,4,0))</f>
        <v>481</v>
      </c>
      <c r="DX156" s="16">
        <f>IF(ISNA(VLOOKUP(A156,'Données projet'!$A$165:$I$185,5,0)),0%,VLOOKUP(A156,'Données projet'!$A$165:$I$185,5,0)*VLOOKUP('Données projet'!$B$14,Paramètres!$A$1:$I$89,7,0))</f>
        <v>0.30099999999999999</v>
      </c>
      <c r="DY156" s="16">
        <f>IF(ISNA(VLOOKUP(A156,'Données projet'!$A$165:$I$185,6,0)),0%,VLOOKUP(A156,'Données projet'!$A$165:$I$185,6,0)*VLOOKUP('Données projet'!$B$14,Paramètres!$A$1:$I$89,7,0))</f>
        <v>4.3000000000000003E-2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208.5982206388814</v>
      </c>
      <c r="EB156" s="21">
        <f>EXP(-LN(2)/25)*EB155+(1-EXP(-LN(2)/25))/(LN(2)/25)*Calculateur!DW156*Calculateur!DY156*VLOOKUP('Données projet'!$B$14,Paramètres!$A$1:$I$89,3,0)*0.475*44/12</f>
        <v>35.492839581772813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244.09106022065421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-1.7053025658242404E-13</v>
      </c>
      <c r="EK156" s="17">
        <f>EJ156*VLOOKUP('Données projet'!$B$15,Paramètres!$A$1:$I$89,3,0)*VLOOKUP('Données projet'!$B$15,Paramètres!$A$1:$I$89,5,0)</f>
        <v>-1.6493686416652052E-13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355.72173590705142</v>
      </c>
      <c r="EP156" s="59">
        <f t="shared" si="154"/>
        <v>346.30980704469363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24.020724506961081</v>
      </c>
      <c r="EW156" s="21">
        <f>EXP(-LN(2)/25)*EW155+(1-EXP(-LN(2)/25))/(LN(2)/25)*Calculateur!ER156*Calculateur!ET156*VLOOKUP('Données projet'!$B$15,Paramètres!$A$1:$I$89,3,0)*0.475*44/12</f>
        <v>0.36951401320766225</v>
      </c>
      <c r="EX156" s="21">
        <f>EXP(-LN(2)/2)*EX155+(1-EXP(-LN(2)/2))/(LN(2)/2)*ER156*EU156*VLOOKUP('Données projet'!$B$15,Paramètres!$A$1:$I$89,3,0)*0.475*44/12</f>
        <v>5.2054335590126828E-10</v>
      </c>
      <c r="EY156" s="22">
        <f t="shared" si="181"/>
        <v>24.390238520689287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-1.383341441396624E-13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304.26232113495314</v>
      </c>
      <c r="FK156" s="59">
        <f t="shared" si="156"/>
        <v>297.47246687305056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24.831626684615458</v>
      </c>
      <c r="FR156" s="21">
        <f>EXP(-LN(2)/25)*FR155+(1-EXP(-LN(2)/25))/(LN(2)/25)*Calculateur!FM156*Calculateur!FO156*VLOOKUP('Données projet'!$B$16,Paramètres!$A$1:$I$89,3,0)*0.475*44/12</f>
        <v>0.38198822970754576</v>
      </c>
      <c r="FS156" s="21">
        <f>EXP(-LN(2)/2)*FS155+(1-EXP(-LN(2)/2))/(LN(2)/2)*FM156*FP156*VLOOKUP('Données projet'!$B$16,Paramètres!$A$1:$I$89,3,0)*0.475*44/12</f>
        <v>4.3658475011074265E-10</v>
      </c>
      <c r="FT156" s="22">
        <f t="shared" si="184"/>
        <v>25.213614914759589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-1.4897523215040567E-13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381.72225529388083</v>
      </c>
      <c r="T157" s="59">
        <f t="shared" si="142"/>
        <v>360.05900046417361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41.004411995971083</v>
      </c>
      <c r="AA157" s="21">
        <f>EXP(-LN(2)/25)*AA156+(1-EXP(-LN(2)/25))/(LN(2)/25)*Calculateur!V157*Calculateur!X157*VLOOKUP('Données projet'!$B$9,Paramètres!$A$1:$I$89,3,0)*0.475*44/12</f>
        <v>4.2819719390082076</v>
      </c>
      <c r="AB157" s="21">
        <f>EXP(-LN(2)/2)*AB156+(1-EXP(-LN(2)/2))/(LN(2)/2)*V157*Y157*VLOOKUP('Données projet'!$B$9,Paramètres!$A$1:$I$89,3,0)*0.475*44/12</f>
        <v>3.4243617060144227E-19</v>
      </c>
      <c r="AC157" s="22">
        <f t="shared" si="163"/>
        <v>45.286383934979291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-4.1677594708744434E-14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464.3681853739115</v>
      </c>
      <c r="AO157" s="59">
        <f t="shared" si="144"/>
        <v>272.97841038165217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65.55478934840059</v>
      </c>
      <c r="AV157" s="21">
        <f>EXP(-LN(2)/25)*AV156+(1-EXP(-LN(2)/25))/(LN(2)/25)*Calculateur!AQ157*Calculateur!AS157*VLOOKUP('Données projet'!$B$10,Paramètres!$A$1:$I$89,3,0)*0.475*44/12</f>
        <v>13.131663335508891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78.686452683909479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-1.3567387213697657E-13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299.10536994156814</v>
      </c>
      <c r="BJ157" s="59">
        <f t="shared" si="146"/>
        <v>292.57799203101769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23.876526445912901</v>
      </c>
      <c r="BQ157" s="21">
        <f>EXP(-LN(2)/25)*BQ156+(1-EXP(-LN(2)/25))/(LN(2)/25)*Calculateur!BL157*Calculateur!BN157*VLOOKUP('Données projet'!$B$11,Paramètres!$A$1:$I$89,3,0)*0.475*44/12</f>
        <v>0.36439768875756812</v>
      </c>
      <c r="BR157" s="21">
        <f>EXP(-LN(2)/2)*BR156+(1-EXP(-LN(2)/2))/(LN(2)/2)*BL157*BO157*VLOOKUP('Données projet'!$B$11,Paramètres!$A$1:$I$89,3,0)*0.475*44/12</f>
        <v>3.0277526741659458E-10</v>
      </c>
      <c r="BS157" s="22">
        <f t="shared" si="169"/>
        <v>24.240924134973245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-1.7053025658242404E-13</v>
      </c>
      <c r="BZ157" s="13">
        <f>BY157*VLOOKUP('Données projet'!$B$12,Paramètres!$A$1:$I$89,3,0)*VLOOKUP('Données projet'!$B$12,Paramètres!$A$1:$I$89,5,0)</f>
        <v>-1.3567387213697657E-13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299.10536994156814</v>
      </c>
      <c r="CE157" s="59">
        <f t="shared" si="148"/>
        <v>292.57799203101769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23.876526445912901</v>
      </c>
      <c r="CL157" s="21">
        <f>EXP(-LN(2)/25)*CL156+(1-EXP(-LN(2)/25))/(LN(2)/25)*Calculateur!CG157*Calculateur!CI157*VLOOKUP('Données projet'!$B$12,Paramètres!$A$1:$I$89,3,0)*0.475*44/12</f>
        <v>0.36439768875756812</v>
      </c>
      <c r="CM157" s="21">
        <f>EXP(-LN(2)/2)*CM156+(1-EXP(-LN(2)/2))/(LN(2)/2)*CG157*CJ157*VLOOKUP('Données projet'!$B$12,Paramètres!$A$1:$I$89,3,0)*0.475*44/12</f>
        <v>3.0277526741659458E-10</v>
      </c>
      <c r="CN157" s="22">
        <f t="shared" si="172"/>
        <v>24.240924134973245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-7.9580786405131221E-13</v>
      </c>
      <c r="CU157" s="17">
        <f>CT157*VLOOKUP('Données projet'!$B$13,Paramètres!$A$1:$I$89,3,0)*VLOOKUP('Données projet'!$B$13,Paramètres!$A$1:$I$89,5,0)</f>
        <v>-7.2004695539362725E-13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528.15559695545812</v>
      </c>
      <c r="CZ157" s="59">
        <f t="shared" si="150"/>
        <v>276.26988364830532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182.48382665140386</v>
      </c>
      <c r="DG157" s="21">
        <f>EXP(-LN(2)/25)*DG156+(1-EXP(-LN(2)/25))/(LN(2)/25)*Calculateur!DB157*Calculateur!DD157*VLOOKUP('Données projet'!$B$13,Paramètres!$A$1:$I$89,3,0)*0.475*44/12</f>
        <v>30.804501368945711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213.28832802034958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-7.9580786405131221E-13</v>
      </c>
      <c r="DP157" s="17">
        <f>DO157*VLOOKUP('Données projet'!$B$14,Paramètres!$A$1:$I$89,3,0)*VLOOKUP('Données projet'!$B$14,Paramètres!$A$1:$I$89,5,0)</f>
        <v>-8.0694917414803056E-13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586.50020405958992</v>
      </c>
      <c r="DU157" s="59">
        <f t="shared" si="152"/>
        <v>304.44184537595294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204.50773676450439</v>
      </c>
      <c r="EB157" s="21">
        <f>EXP(-LN(2)/25)*EB156+(1-EXP(-LN(2)/25))/(LN(2)/25)*Calculateur!DW157*Calculateur!DY157*VLOOKUP('Données projet'!$B$14,Paramètres!$A$1:$I$89,3,0)*0.475*44/12</f>
        <v>34.522286016921925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239.03002278142631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-1.7053025658242404E-13</v>
      </c>
      <c r="EK157" s="17">
        <f>EJ157*VLOOKUP('Données projet'!$B$15,Paramètres!$A$1:$I$89,3,0)*VLOOKUP('Données projet'!$B$15,Paramètres!$A$1:$I$89,5,0)</f>
        <v>-1.6493686416652052E-13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355.72173590705142</v>
      </c>
      <c r="EP157" s="59">
        <f t="shared" si="154"/>
        <v>346.30980704469363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23.549692750574838</v>
      </c>
      <c r="EW157" s="21">
        <f>EXP(-LN(2)/25)*EW156+(1-EXP(-LN(2)/25))/(LN(2)/25)*Calculateur!ER157*Calculateur!ET157*VLOOKUP('Données projet'!$B$15,Paramètres!$A$1:$I$89,3,0)*0.475*44/12</f>
        <v>0.35940963308460133</v>
      </c>
      <c r="EX157" s="21">
        <f>EXP(-LN(2)/2)*EX156+(1-EXP(-LN(2)/2))/(LN(2)/2)*ER157*EU157*VLOOKUP('Données projet'!$B$15,Paramètres!$A$1:$I$89,3,0)*0.475*44/12</f>
        <v>3.6807973685938925E-10</v>
      </c>
      <c r="EY157" s="22">
        <f t="shared" si="181"/>
        <v>23.90910238402752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-1.383341441396624E-13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304.26232113495314</v>
      </c>
      <c r="FK157" s="59">
        <f t="shared" si="156"/>
        <v>297.47246687305056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24.344693631126901</v>
      </c>
      <c r="FR157" s="21">
        <f>EXP(-LN(2)/25)*FR156+(1-EXP(-LN(2)/25))/(LN(2)/25)*Calculateur!FM157*Calculateur!FO157*VLOOKUP('Données projet'!$B$16,Paramètres!$A$1:$I$89,3,0)*0.475*44/12</f>
        <v>0.37154274147830496</v>
      </c>
      <c r="FS157" s="21">
        <f>EXP(-LN(2)/2)*FS156+(1-EXP(-LN(2)/2))/(LN(2)/2)*FM157*FP157*VLOOKUP('Données projet'!$B$16,Paramètres!$A$1:$I$89,3,0)*0.475*44/12</f>
        <v>3.0871203736594043E-10</v>
      </c>
      <c r="FT157" s="22">
        <f t="shared" si="184"/>
        <v>24.716236372913919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-1.4897523215040567E-13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381.72225529388083</v>
      </c>
      <c r="T158" s="59">
        <f t="shared" si="142"/>
        <v>360.05900046417361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40.200340486951852</v>
      </c>
      <c r="AA158" s="21">
        <f>EXP(-LN(2)/25)*AA157+(1-EXP(-LN(2)/25))/(LN(2)/25)*Calculateur!V158*Calculateur!X158*VLOOKUP('Données projet'!$B$9,Paramètres!$A$1:$I$89,3,0)*0.475*44/12</f>
        <v>4.1648811911569101</v>
      </c>
      <c r="AB158" s="21">
        <f>EXP(-LN(2)/2)*AB157+(1-EXP(-LN(2)/2))/(LN(2)/2)*V158*Y158*VLOOKUP('Données projet'!$B$9,Paramètres!$A$1:$I$89,3,0)*0.475*44/12</f>
        <v>2.421389383558333E-19</v>
      </c>
      <c r="AC158" s="22">
        <f t="shared" si="163"/>
        <v>44.36522167810876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-4.1677594708744434E-14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464.3681853739115</v>
      </c>
      <c r="AO158" s="59">
        <f t="shared" si="144"/>
        <v>272.97841038165217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64.269299913751823</v>
      </c>
      <c r="AV158" s="21">
        <f>EXP(-LN(2)/25)*AV157+(1-EXP(-LN(2)/25))/(LN(2)/25)*Calculateur!AQ158*Calculateur!AS158*VLOOKUP('Données projet'!$B$10,Paramètres!$A$1:$I$89,3,0)*0.475*44/12</f>
        <v>12.772577311035239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77.041877224787058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-1.3567387213697657E-13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299.10536994156814</v>
      </c>
      <c r="BJ158" s="59">
        <f t="shared" si="146"/>
        <v>292.57799203101769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23.40832232555168</v>
      </c>
      <c r="BQ158" s="21">
        <f>EXP(-LN(2)/25)*BQ157+(1-EXP(-LN(2)/25))/(LN(2)/25)*Calculateur!BL158*Calculateur!BN158*VLOOKUP('Données projet'!$B$11,Paramètres!$A$1:$I$89,3,0)*0.475*44/12</f>
        <v>0.35443321479565082</v>
      </c>
      <c r="BR158" s="21">
        <f>EXP(-LN(2)/2)*BR157+(1-EXP(-LN(2)/2))/(LN(2)/2)*BL158*BO158*VLOOKUP('Données projet'!$B$11,Paramètres!$A$1:$I$89,3,0)*0.475*44/12</f>
        <v>2.1409444476584436E-10</v>
      </c>
      <c r="BS158" s="22">
        <f t="shared" si="169"/>
        <v>23.762755540561425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-1.7053025658242404E-13</v>
      </c>
      <c r="BZ158" s="13">
        <f>BY158*VLOOKUP('Données projet'!$B$12,Paramètres!$A$1:$I$89,3,0)*VLOOKUP('Données projet'!$B$12,Paramètres!$A$1:$I$89,5,0)</f>
        <v>-1.3567387213697657E-13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299.10536994156814</v>
      </c>
      <c r="CE158" s="59">
        <f t="shared" si="148"/>
        <v>292.57799203101769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23.40832232555168</v>
      </c>
      <c r="CL158" s="21">
        <f>EXP(-LN(2)/25)*CL157+(1-EXP(-LN(2)/25))/(LN(2)/25)*Calculateur!CG158*Calculateur!CI158*VLOOKUP('Données projet'!$B$12,Paramètres!$A$1:$I$89,3,0)*0.475*44/12</f>
        <v>0.35443321479565082</v>
      </c>
      <c r="CM158" s="21">
        <f>EXP(-LN(2)/2)*CM157+(1-EXP(-LN(2)/2))/(LN(2)/2)*CG158*CJ158*VLOOKUP('Données projet'!$B$12,Paramètres!$A$1:$I$89,3,0)*0.475*44/12</f>
        <v>2.1409444476584436E-10</v>
      </c>
      <c r="CN158" s="22">
        <f t="shared" si="172"/>
        <v>23.762755540561425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-7.9580786405131221E-13</v>
      </c>
      <c r="CU158" s="17">
        <f>CT158*VLOOKUP('Données projet'!$B$13,Paramètres!$A$1:$I$89,3,0)*VLOOKUP('Données projet'!$B$13,Paramètres!$A$1:$I$89,5,0)</f>
        <v>-7.2004695539362725E-13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528.15559695545812</v>
      </c>
      <c r="CZ158" s="59">
        <f t="shared" si="150"/>
        <v>276.26988364830532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178.90543011491371</v>
      </c>
      <c r="DG158" s="21">
        <f>EXP(-LN(2)/25)*DG157+(1-EXP(-LN(2)/25))/(LN(2)/25)*Calculateur!DB158*Calculateur!DD158*VLOOKUP('Données projet'!$B$13,Paramètres!$A$1:$I$89,3,0)*0.475*44/12</f>
        <v>29.962150659073568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208.86758077398727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-7.9580786405131221E-13</v>
      </c>
      <c r="DP158" s="17">
        <f>DO158*VLOOKUP('Données projet'!$B$14,Paramètres!$A$1:$I$89,3,0)*VLOOKUP('Données projet'!$B$14,Paramètres!$A$1:$I$89,5,0)</f>
        <v>-8.0694917414803056E-13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586.50020405958992</v>
      </c>
      <c r="DU158" s="59">
        <f t="shared" si="152"/>
        <v>304.44184537595294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200.49746478395508</v>
      </c>
      <c r="EB158" s="21">
        <f>EXP(-LN(2)/25)*EB157+(1-EXP(-LN(2)/25))/(LN(2)/25)*Calculateur!DW158*Calculateur!DY158*VLOOKUP('Données projet'!$B$14,Paramètres!$A$1:$I$89,3,0)*0.475*44/12</f>
        <v>33.578272290341076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234.07573707429617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-1.7053025658242404E-13</v>
      </c>
      <c r="EK158" s="17">
        <f>EJ158*VLOOKUP('Données projet'!$B$15,Paramètres!$A$1:$I$89,3,0)*VLOOKUP('Données projet'!$B$15,Paramètres!$A$1:$I$89,5,0)</f>
        <v>-1.6493686416652052E-13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355.72173590705142</v>
      </c>
      <c r="EP158" s="59">
        <f t="shared" si="154"/>
        <v>346.30980704469363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23.087897639630327</v>
      </c>
      <c r="EW158" s="21">
        <f>EXP(-LN(2)/25)*EW157+(1-EXP(-LN(2)/25))/(LN(2)/25)*Calculateur!ER158*Calculateur!ET158*VLOOKUP('Données projet'!$B$15,Paramètres!$A$1:$I$89,3,0)*0.475*44/12</f>
        <v>0.34958155776737176</v>
      </c>
      <c r="EX158" s="21">
        <f>EXP(-LN(2)/2)*EX157+(1-EXP(-LN(2)/2))/(LN(2)/2)*ER158*EU158*VLOOKUP('Données projet'!$B$15,Paramètres!$A$1:$I$89,3,0)*0.475*44/12</f>
        <v>2.6027167795063414E-10</v>
      </c>
      <c r="EY158" s="22">
        <f t="shared" si="181"/>
        <v>23.437479197657971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-1.383341441396624E-13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304.26232113495314</v>
      </c>
      <c r="FK158" s="59">
        <f t="shared" si="156"/>
        <v>297.47246687305056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23.867309037817421</v>
      </c>
      <c r="FR158" s="21">
        <f>EXP(-LN(2)/25)*FR157+(1-EXP(-LN(2)/25))/(LN(2)/25)*Calculateur!FM158*Calculateur!FO158*VLOOKUP('Données projet'!$B$16,Paramètres!$A$1:$I$89,3,0)*0.475*44/12</f>
        <v>0.36138288567399712</v>
      </c>
      <c r="FS158" s="21">
        <f>EXP(-LN(2)/2)*FS157+(1-EXP(-LN(2)/2))/(LN(2)/2)*FM158*FP158*VLOOKUP('Données projet'!$B$16,Paramètres!$A$1:$I$89,3,0)*0.475*44/12</f>
        <v>2.1829237505537133E-10</v>
      </c>
      <c r="FT158" s="22">
        <f t="shared" si="184"/>
        <v>24.228691923709711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-1.4897523215040567E-13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381.72225529388083</v>
      </c>
      <c r="T159" s="59">
        <f t="shared" si="142"/>
        <v>360.05900046417361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39.412036329789295</v>
      </c>
      <c r="AA159" s="21">
        <f>EXP(-LN(2)/25)*AA158+(1-EXP(-LN(2)/25))/(LN(2)/25)*Calculateur!V159*Calculateur!X159*VLOOKUP('Données projet'!$B$9,Paramètres!$A$1:$I$89,3,0)*0.475*44/12</f>
        <v>4.0509922959631419</v>
      </c>
      <c r="AB159" s="21">
        <f>EXP(-LN(2)/2)*AB158+(1-EXP(-LN(2)/2))/(LN(2)/2)*V159*Y159*VLOOKUP('Données projet'!$B$9,Paramètres!$A$1:$I$89,3,0)*0.475*44/12</f>
        <v>1.7121808530072114E-19</v>
      </c>
      <c r="AC159" s="22">
        <f t="shared" si="163"/>
        <v>43.463028625752436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-4.1677594708744434E-14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464.3681853739115</v>
      </c>
      <c r="AO159" s="59">
        <f t="shared" si="144"/>
        <v>272.97841038165217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63.009018142845377</v>
      </c>
      <c r="AV159" s="21">
        <f>EXP(-LN(2)/25)*AV158+(1-EXP(-LN(2)/25))/(LN(2)/25)*Calculateur!AQ159*Calculateur!AS159*VLOOKUP('Données projet'!$B$10,Paramètres!$A$1:$I$89,3,0)*0.475*44/12</f>
        <v>12.423310512784331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75.432328655629703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-1.3567387213697657E-13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299.10536994156814</v>
      </c>
      <c r="BJ159" s="59">
        <f t="shared" si="146"/>
        <v>292.57799203101769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22.949299402414429</v>
      </c>
      <c r="BQ159" s="21">
        <f>EXP(-LN(2)/25)*BQ158+(1-EXP(-LN(2)/25))/(LN(2)/25)*Calculateur!BL159*Calculateur!BN159*VLOOKUP('Données projet'!$B$11,Paramètres!$A$1:$I$89,3,0)*0.475*44/12</f>
        <v>0.34474121989823103</v>
      </c>
      <c r="BR159" s="21">
        <f>EXP(-LN(2)/2)*BR158+(1-EXP(-LN(2)/2))/(LN(2)/2)*BL159*BO159*VLOOKUP('Données projet'!$B$11,Paramètres!$A$1:$I$89,3,0)*0.475*44/12</f>
        <v>1.5138763370829729E-10</v>
      </c>
      <c r="BS159" s="22">
        <f t="shared" si="169"/>
        <v>23.294040622464049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-1.7053025658242404E-13</v>
      </c>
      <c r="BZ159" s="13">
        <f>BY159*VLOOKUP('Données projet'!$B$12,Paramètres!$A$1:$I$89,3,0)*VLOOKUP('Données projet'!$B$12,Paramètres!$A$1:$I$89,5,0)</f>
        <v>-1.3567387213697657E-13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299.10536994156814</v>
      </c>
      <c r="CE159" s="59">
        <f t="shared" si="148"/>
        <v>292.57799203101769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22.949299402414429</v>
      </c>
      <c r="CL159" s="21">
        <f>EXP(-LN(2)/25)*CL158+(1-EXP(-LN(2)/25))/(LN(2)/25)*Calculateur!CG159*Calculateur!CI159*VLOOKUP('Données projet'!$B$12,Paramètres!$A$1:$I$89,3,0)*0.475*44/12</f>
        <v>0.34474121989823103</v>
      </c>
      <c r="CM159" s="21">
        <f>EXP(-LN(2)/2)*CM158+(1-EXP(-LN(2)/2))/(LN(2)/2)*CG159*CJ159*VLOOKUP('Données projet'!$B$12,Paramètres!$A$1:$I$89,3,0)*0.475*44/12</f>
        <v>1.5138763370829729E-10</v>
      </c>
      <c r="CN159" s="22">
        <f t="shared" si="172"/>
        <v>23.294040622464049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-7.9580786405131221E-13</v>
      </c>
      <c r="CU159" s="17">
        <f>CT159*VLOOKUP('Données projet'!$B$13,Paramètres!$A$1:$I$89,3,0)*VLOOKUP('Données projet'!$B$13,Paramètres!$A$1:$I$89,5,0)</f>
        <v>-7.2004695539362725E-13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528.15559695545812</v>
      </c>
      <c r="CZ159" s="59">
        <f t="shared" si="150"/>
        <v>276.26988364830532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175.39720375189776</v>
      </c>
      <c r="DG159" s="21">
        <f>EXP(-LN(2)/25)*DG158+(1-EXP(-LN(2)/25))/(LN(2)/25)*Calculateur!DB159*Calculateur!DD159*VLOOKUP('Données projet'!$B$13,Paramètres!$A$1:$I$89,3,0)*0.475*44/12</f>
        <v>29.142834073660179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204.54003782555793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-7.9580786405131221E-13</v>
      </c>
      <c r="DP159" s="17">
        <f>DO159*VLOOKUP('Données projet'!$B$14,Paramètres!$A$1:$I$89,3,0)*VLOOKUP('Données projet'!$B$14,Paramètres!$A$1:$I$89,5,0)</f>
        <v>-8.0694917414803056E-13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586.50020405958992</v>
      </c>
      <c r="DU159" s="59">
        <f t="shared" si="152"/>
        <v>304.44184537595294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196.56583179091996</v>
      </c>
      <c r="EB159" s="21">
        <f>EXP(-LN(2)/25)*EB158+(1-EXP(-LN(2)/25))/(LN(2)/25)*Calculateur!DW159*Calculateur!DY159*VLOOKUP('Données projet'!$B$14,Paramètres!$A$1:$I$89,3,0)*0.475*44/12</f>
        <v>32.660072668757103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229.22590445967705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-1.7053025658242404E-13</v>
      </c>
      <c r="EK159" s="17">
        <f>EJ159*VLOOKUP('Données projet'!$B$15,Paramètres!$A$1:$I$89,3,0)*VLOOKUP('Données projet'!$B$15,Paramètres!$A$1:$I$89,5,0)</f>
        <v>-1.6493686416652052E-13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355.72173590705142</v>
      </c>
      <c r="EP159" s="59">
        <f t="shared" si="154"/>
        <v>346.30980704469363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22.635158049144231</v>
      </c>
      <c r="EW159" s="21">
        <f>EXP(-LN(2)/25)*EW158+(1-EXP(-LN(2)/25))/(LN(2)/25)*Calculateur!ER159*Calculateur!ET159*VLOOKUP('Données projet'!$B$15,Paramètres!$A$1:$I$89,3,0)*0.475*44/12</f>
        <v>0.34002223168652784</v>
      </c>
      <c r="EX159" s="21">
        <f>EXP(-LN(2)/2)*EX158+(1-EXP(-LN(2)/2))/(LN(2)/2)*ER159*EU159*VLOOKUP('Données projet'!$B$15,Paramètres!$A$1:$I$89,3,0)*0.475*44/12</f>
        <v>1.8403986842969463E-10</v>
      </c>
      <c r="EY159" s="22">
        <f t="shared" si="181"/>
        <v>22.975180281014801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-1.383341441396624E-13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304.26232113495314</v>
      </c>
      <c r="FK159" s="59">
        <f t="shared" si="156"/>
        <v>297.47246687305056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23.399285665206889</v>
      </c>
      <c r="FR159" s="21">
        <f>EXP(-LN(2)/25)*FR158+(1-EXP(-LN(2)/25))/(LN(2)/25)*Calculateur!FM159*Calculateur!FO159*VLOOKUP('Données projet'!$B$16,Paramètres!$A$1:$I$89,3,0)*0.475*44/12</f>
        <v>0.35150085166094169</v>
      </c>
      <c r="FS159" s="21">
        <f>EXP(-LN(2)/2)*FS158+(1-EXP(-LN(2)/2))/(LN(2)/2)*FM159*FP159*VLOOKUP('Données projet'!$B$16,Paramètres!$A$1:$I$89,3,0)*0.475*44/12</f>
        <v>1.5435601868297022E-10</v>
      </c>
      <c r="FT159" s="22">
        <f t="shared" si="184"/>
        <v>23.750786517022185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-1.4897523215040567E-13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381.72225529388083</v>
      </c>
      <c r="T160" s="59">
        <f t="shared" si="142"/>
        <v>360.05900046417361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38.639190336330635</v>
      </c>
      <c r="AA160" s="21">
        <f>EXP(-LN(2)/25)*AA159+(1-EXP(-LN(2)/25))/(LN(2)/25)*Calculateur!V160*Calculateur!X160*VLOOKUP('Données projet'!$B$9,Paramètres!$A$1:$I$89,3,0)*0.475*44/12</f>
        <v>3.9402176985976038</v>
      </c>
      <c r="AB160" s="21">
        <f>EXP(-LN(2)/2)*AB159+(1-EXP(-LN(2)/2))/(LN(2)/2)*V160*Y160*VLOOKUP('Données projet'!$B$9,Paramètres!$A$1:$I$89,3,0)*0.475*44/12</f>
        <v>1.2106946917791665E-19</v>
      </c>
      <c r="AC160" s="22">
        <f t="shared" si="163"/>
        <v>42.579408034928242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-4.1677594708744434E-14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464.3681853739115</v>
      </c>
      <c r="AO160" s="59">
        <f t="shared" si="144"/>
        <v>272.97841038165217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61.77344972877043</v>
      </c>
      <c r="AV160" s="21">
        <f>EXP(-LN(2)/25)*AV159+(1-EXP(-LN(2)/25))/(LN(2)/25)*Calculateur!AQ160*Calculateur!AS160*VLOOKUP('Données projet'!$B$10,Paramètres!$A$1:$I$89,3,0)*0.475*44/12</f>
        <v>12.083594433498737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73.857044162269162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-1.3567387213697657E-13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299.10536994156814</v>
      </c>
      <c r="BJ160" s="59">
        <f t="shared" si="146"/>
        <v>292.57799203101769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22.49927763882356</v>
      </c>
      <c r="BQ160" s="21">
        <f>EXP(-LN(2)/25)*BQ159+(1-EXP(-LN(2)/25))/(LN(2)/25)*Calculateur!BL160*Calculateur!BN160*VLOOKUP('Données projet'!$B$11,Paramètres!$A$1:$I$89,3,0)*0.475*44/12</f>
        <v>0.33531425311096108</v>
      </c>
      <c r="BR160" s="21">
        <f>EXP(-LN(2)/2)*BR159+(1-EXP(-LN(2)/2))/(LN(2)/2)*BL160*BO160*VLOOKUP('Données projet'!$B$11,Paramètres!$A$1:$I$89,3,0)*0.475*44/12</f>
        <v>1.0704722238292218E-10</v>
      </c>
      <c r="BS160" s="22">
        <f t="shared" si="169"/>
        <v>22.834591892041569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-1.7053025658242404E-13</v>
      </c>
      <c r="BZ160" s="13">
        <f>BY160*VLOOKUP('Données projet'!$B$12,Paramètres!$A$1:$I$89,3,0)*VLOOKUP('Données projet'!$B$12,Paramètres!$A$1:$I$89,5,0)</f>
        <v>-1.3567387213697657E-13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299.10536994156814</v>
      </c>
      <c r="CE160" s="59">
        <f t="shared" si="148"/>
        <v>292.57799203101769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22.49927763882356</v>
      </c>
      <c r="CL160" s="21">
        <f>EXP(-LN(2)/25)*CL159+(1-EXP(-LN(2)/25))/(LN(2)/25)*Calculateur!CG160*Calculateur!CI160*VLOOKUP('Données projet'!$B$12,Paramètres!$A$1:$I$89,3,0)*0.475*44/12</f>
        <v>0.33531425311096108</v>
      </c>
      <c r="CM160" s="21">
        <f>EXP(-LN(2)/2)*CM159+(1-EXP(-LN(2)/2))/(LN(2)/2)*CG160*CJ160*VLOOKUP('Données projet'!$B$12,Paramètres!$A$1:$I$89,3,0)*0.475*44/12</f>
        <v>1.0704722238292218E-10</v>
      </c>
      <c r="CN160" s="22">
        <f t="shared" si="172"/>
        <v>22.834591892041569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-7.9580786405131221E-13</v>
      </c>
      <c r="CU160" s="17">
        <f>CT160*VLOOKUP('Données projet'!$B$13,Paramètres!$A$1:$I$89,3,0)*VLOOKUP('Données projet'!$B$13,Paramètres!$A$1:$I$89,5,0)</f>
        <v>-7.2004695539362725E-13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528.15559695545812</v>
      </c>
      <c r="CZ160" s="59">
        <f t="shared" si="150"/>
        <v>276.26988364830532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171.95777156805377</v>
      </c>
      <c r="DG160" s="21">
        <f>EXP(-LN(2)/25)*DG159+(1-EXP(-LN(2)/25))/(LN(2)/25)*Calculateur!DB160*Calculateur!DD160*VLOOKUP('Données projet'!$B$13,Paramètres!$A$1:$I$89,3,0)*0.475*44/12</f>
        <v>28.345921743360904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200.30369331141469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-7.9580786405131221E-13</v>
      </c>
      <c r="DP160" s="17">
        <f>DO160*VLOOKUP('Données projet'!$B$14,Paramètres!$A$1:$I$89,3,0)*VLOOKUP('Données projet'!$B$14,Paramètres!$A$1:$I$89,5,0)</f>
        <v>-8.0694917414803056E-13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586.50020405958992</v>
      </c>
      <c r="DU160" s="59">
        <f t="shared" si="152"/>
        <v>304.44184537595294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192.71129572281893</v>
      </c>
      <c r="EB160" s="21">
        <f>EXP(-LN(2)/25)*EB159+(1-EXP(-LN(2)/25))/(LN(2)/25)*Calculateur!DW160*Calculateur!DY160*VLOOKUP('Données projet'!$B$14,Paramètres!$A$1:$I$89,3,0)*0.475*44/12</f>
        <v>31.766981264111365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224.4782769869303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-1.7053025658242404E-13</v>
      </c>
      <c r="EK160" s="17">
        <f>EJ160*VLOOKUP('Données projet'!$B$15,Paramètres!$A$1:$I$89,3,0)*VLOOKUP('Données projet'!$B$15,Paramètres!$A$1:$I$89,5,0)</f>
        <v>-1.6493686416652052E-13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355.72173590705142</v>
      </c>
      <c r="EP160" s="59">
        <f t="shared" si="154"/>
        <v>346.30980704469363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22.191296405883683</v>
      </c>
      <c r="EW160" s="21">
        <f>EXP(-LN(2)/25)*EW159+(1-EXP(-LN(2)/25))/(LN(2)/25)*Calculateur!ER160*Calculateur!ET160*VLOOKUP('Données projet'!$B$15,Paramètres!$A$1:$I$89,3,0)*0.475*44/12</f>
        <v>0.33072430588006768</v>
      </c>
      <c r="EX160" s="21">
        <f>EXP(-LN(2)/2)*EX159+(1-EXP(-LN(2)/2))/(LN(2)/2)*ER160*EU160*VLOOKUP('Données projet'!$B$15,Paramètres!$A$1:$I$89,3,0)*0.475*44/12</f>
        <v>1.3013583897531707E-10</v>
      </c>
      <c r="EY160" s="22">
        <f t="shared" si="181"/>
        <v>22.522020711893887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-1.383341441396624E-13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304.26232113495314</v>
      </c>
      <c r="FK160" s="59">
        <f t="shared" si="156"/>
        <v>297.47246687305056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22.94043994546718</v>
      </c>
      <c r="FR160" s="21">
        <f>EXP(-LN(2)/25)*FR159+(1-EXP(-LN(2)/25))/(LN(2)/25)*Calculateur!FM160*Calculateur!FO160*VLOOKUP('Données projet'!$B$16,Paramètres!$A$1:$I$89,3,0)*0.475*44/12</f>
        <v>0.34188904238764684</v>
      </c>
      <c r="FS160" s="21">
        <f>EXP(-LN(2)/2)*FS159+(1-EXP(-LN(2)/2))/(LN(2)/2)*FM160*FP160*VLOOKUP('Données projet'!$B$16,Paramètres!$A$1:$I$89,3,0)*0.475*44/12</f>
        <v>1.0914618752768566E-10</v>
      </c>
      <c r="FT160" s="22">
        <f t="shared" si="184"/>
        <v>23.282328987963972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-1.4897523215040567E-13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381.72225529388083</v>
      </c>
      <c r="T161" s="59">
        <f t="shared" si="142"/>
        <v>360.05900046417361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37.881499381414194</v>
      </c>
      <c r="AA161" s="21">
        <f>EXP(-LN(2)/25)*AA160+(1-EXP(-LN(2)/25))/(LN(2)/25)*Calculateur!V161*Calculateur!X161*VLOOKUP('Données projet'!$B$9,Paramètres!$A$1:$I$89,3,0)*0.475*44/12</f>
        <v>3.832472238422409</v>
      </c>
      <c r="AB161" s="21">
        <f>EXP(-LN(2)/2)*AB160+(1-EXP(-LN(2)/2))/(LN(2)/2)*V161*Y161*VLOOKUP('Données projet'!$B$9,Paramètres!$A$1:$I$89,3,0)*0.475*44/12</f>
        <v>8.5609042650360568E-20</v>
      </c>
      <c r="AC161" s="22">
        <f t="shared" si="163"/>
        <v>41.713971619836606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-4.1677594708744434E-14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464.3681853739115</v>
      </c>
      <c r="AO161" s="59">
        <f t="shared" si="144"/>
        <v>272.97841038165217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60.562110057673173</v>
      </c>
      <c r="AV161" s="21">
        <f>EXP(-LN(2)/25)*AV160+(1-EXP(-LN(2)/25))/(LN(2)/25)*Calculateur!AQ161*Calculateur!AS161*VLOOKUP('Données projet'!$B$10,Paramètres!$A$1:$I$89,3,0)*0.475*44/12</f>
        <v>11.7531679082661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72.315277965939273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-1.3567387213697657E-13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299.10536994156814</v>
      </c>
      <c r="BJ161" s="59">
        <f t="shared" si="146"/>
        <v>292.57799203101769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22.058080527530535</v>
      </c>
      <c r="BQ161" s="21">
        <f>EXP(-LN(2)/25)*BQ160+(1-EXP(-LN(2)/25))/(LN(2)/25)*Calculateur!BL161*Calculateur!BN161*VLOOKUP('Données projet'!$B$11,Paramètres!$A$1:$I$89,3,0)*0.475*44/12</f>
        <v>0.32614506722623166</v>
      </c>
      <c r="BR161" s="21">
        <f>EXP(-LN(2)/2)*BR160+(1-EXP(-LN(2)/2))/(LN(2)/2)*BL161*BO161*VLOOKUP('Données projet'!$B$11,Paramètres!$A$1:$I$89,3,0)*0.475*44/12</f>
        <v>7.5693816854148644E-11</v>
      </c>
      <c r="BS161" s="22">
        <f t="shared" si="169"/>
        <v>22.384225594832461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-1.7053025658242404E-13</v>
      </c>
      <c r="BZ161" s="13">
        <f>BY161*VLOOKUP('Données projet'!$B$12,Paramètres!$A$1:$I$89,3,0)*VLOOKUP('Données projet'!$B$12,Paramètres!$A$1:$I$89,5,0)</f>
        <v>-1.3567387213697657E-13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299.10536994156814</v>
      </c>
      <c r="CE161" s="59">
        <f t="shared" si="148"/>
        <v>292.57799203101769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22.058080527530535</v>
      </c>
      <c r="CL161" s="21">
        <f>EXP(-LN(2)/25)*CL160+(1-EXP(-LN(2)/25))/(LN(2)/25)*Calculateur!CG161*Calculateur!CI161*VLOOKUP('Données projet'!$B$12,Paramètres!$A$1:$I$89,3,0)*0.475*44/12</f>
        <v>0.32614506722623166</v>
      </c>
      <c r="CM161" s="21">
        <f>EXP(-LN(2)/2)*CM160+(1-EXP(-LN(2)/2))/(LN(2)/2)*CG161*CJ161*VLOOKUP('Données projet'!$B$12,Paramètres!$A$1:$I$89,3,0)*0.475*44/12</f>
        <v>7.5693816854148644E-11</v>
      </c>
      <c r="CN161" s="22">
        <f t="shared" si="172"/>
        <v>22.384225594832461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-7.9580786405131221E-13</v>
      </c>
      <c r="CU161" s="17">
        <f>CT161*VLOOKUP('Données projet'!$B$13,Paramètres!$A$1:$I$89,3,0)*VLOOKUP('Données projet'!$B$13,Paramètres!$A$1:$I$89,5,0)</f>
        <v>-7.2004695539362725E-13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528.15559695545812</v>
      </c>
      <c r="CZ161" s="59">
        <f t="shared" si="150"/>
        <v>276.26988364830532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168.58578455148847</v>
      </c>
      <c r="DG161" s="21">
        <f>EXP(-LN(2)/25)*DG160+(1-EXP(-LN(2)/25))/(LN(2)/25)*Calculateur!DB161*Calculateur!DD161*VLOOKUP('Données projet'!$B$13,Paramètres!$A$1:$I$89,3,0)*0.475*44/12</f>
        <v>27.570801022641461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196.15658557412993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-7.9580786405131221E-13</v>
      </c>
      <c r="DP161" s="17">
        <f>DO161*VLOOKUP('Données projet'!$B$14,Paramètres!$A$1:$I$89,3,0)*VLOOKUP('Données projet'!$B$14,Paramètres!$A$1:$I$89,5,0)</f>
        <v>-8.0694917414803056E-13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586.50020405958992</v>
      </c>
      <c r="DU161" s="59">
        <f t="shared" si="152"/>
        <v>304.44184537595294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188.93234475597851</v>
      </c>
      <c r="EB161" s="21">
        <f>EXP(-LN(2)/25)*EB160+(1-EXP(-LN(2)/25))/(LN(2)/25)*Calculateur!DW161*Calculateur!DY161*VLOOKUP('Données projet'!$B$14,Paramètres!$A$1:$I$89,3,0)*0.475*44/12</f>
        <v>30.898311490891299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219.83065624686981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-1.7053025658242404E-13</v>
      </c>
      <c r="EK161" s="17">
        <f>EJ161*VLOOKUP('Données projet'!$B$15,Paramètres!$A$1:$I$89,3,0)*VLOOKUP('Données projet'!$B$15,Paramètres!$A$1:$I$89,5,0)</f>
        <v>-1.6493686416652052E-13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355.72173590705142</v>
      </c>
      <c r="EP161" s="59">
        <f t="shared" si="154"/>
        <v>346.30980704469363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21.756138618718605</v>
      </c>
      <c r="EW161" s="21">
        <f>EXP(-LN(2)/25)*EW160+(1-EXP(-LN(2)/25))/(LN(2)/25)*Calculateur!ER161*Calculateur!ET161*VLOOKUP('Données projet'!$B$15,Paramètres!$A$1:$I$89,3,0)*0.475*44/12</f>
        <v>0.32168063234374189</v>
      </c>
      <c r="EX161" s="21">
        <f>EXP(-LN(2)/2)*EX160+(1-EXP(-LN(2)/2))/(LN(2)/2)*ER161*EU161*VLOOKUP('Données projet'!$B$15,Paramètres!$A$1:$I$89,3,0)*0.475*44/12</f>
        <v>9.2019934214847314E-11</v>
      </c>
      <c r="EY161" s="22">
        <f t="shared" si="181"/>
        <v>22.077819251154366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-1.383341441396624E-13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304.26232113495314</v>
      </c>
      <c r="FK161" s="59">
        <f t="shared" si="156"/>
        <v>297.47246687305056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22.490591910423312</v>
      </c>
      <c r="FR161" s="21">
        <f>EXP(-LN(2)/25)*FR160+(1-EXP(-LN(2)/25))/(LN(2)/25)*Calculateur!FM161*Calculateur!FO161*VLOOKUP('Données projet'!$B$16,Paramètres!$A$1:$I$89,3,0)*0.475*44/12</f>
        <v>0.33254006854439327</v>
      </c>
      <c r="FS161" s="21">
        <f>EXP(-LN(2)/2)*FS160+(1-EXP(-LN(2)/2))/(LN(2)/2)*FM161*FP161*VLOOKUP('Données projet'!$B$16,Paramètres!$A$1:$I$89,3,0)*0.475*44/12</f>
        <v>7.7178009341485108E-11</v>
      </c>
      <c r="FT161" s="22">
        <f t="shared" si="184"/>
        <v>22.823131979044884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-1.4897523215040567E-13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381.72225529388083</v>
      </c>
      <c r="T162" s="59">
        <f t="shared" si="142"/>
        <v>360.05900046417361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37.138666283977813</v>
      </c>
      <c r="AA162" s="21">
        <f>EXP(-LN(2)/25)*AA161+(1-EXP(-LN(2)/25))/(LN(2)/25)*Calculateur!V162*Calculateur!X162*VLOOKUP('Données projet'!$B$9,Paramètres!$A$1:$I$89,3,0)*0.475*44/12</f>
        <v>3.7276730835217924</v>
      </c>
      <c r="AB162" s="21">
        <f>EXP(-LN(2)/2)*AB161+(1-EXP(-LN(2)/2))/(LN(2)/2)*V162*Y162*VLOOKUP('Données projet'!$B$9,Paramètres!$A$1:$I$89,3,0)*0.475*44/12</f>
        <v>6.0534734588958324E-20</v>
      </c>
      <c r="AC162" s="22">
        <f t="shared" si="163"/>
        <v>40.866339367499606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-4.1677594708744434E-14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464.3681853739115</v>
      </c>
      <c r="AO162" s="59">
        <f t="shared" si="144"/>
        <v>272.97841038165217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59.374524018681889</v>
      </c>
      <c r="AV162" s="21">
        <f>EXP(-LN(2)/25)*AV161+(1-EXP(-LN(2)/25))/(LN(2)/25)*Calculateur!AQ162*Calculateur!AS162*VLOOKUP('Données projet'!$B$10,Paramètres!$A$1:$I$89,3,0)*0.475*44/12</f>
        <v>11.431776913742326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70.806300932424222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-1.3567387213697657E-13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299.10536994156814</v>
      </c>
      <c r="BJ162" s="59">
        <f t="shared" si="146"/>
        <v>292.57799203101769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21.6255350224863</v>
      </c>
      <c r="BQ162" s="21">
        <f>EXP(-LN(2)/25)*BQ161+(1-EXP(-LN(2)/25))/(LN(2)/25)*Calculateur!BL162*Calculateur!BN162*VLOOKUP('Données projet'!$B$11,Paramètres!$A$1:$I$89,3,0)*0.475*44/12</f>
        <v>0.3172266132117067</v>
      </c>
      <c r="BR162" s="21">
        <f>EXP(-LN(2)/2)*BR161+(1-EXP(-LN(2)/2))/(LN(2)/2)*BL162*BO162*VLOOKUP('Données projet'!$B$11,Paramètres!$A$1:$I$89,3,0)*0.475*44/12</f>
        <v>5.3523611191461089E-11</v>
      </c>
      <c r="BS162" s="22">
        <f t="shared" si="169"/>
        <v>21.94276163575153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-1.7053025658242404E-13</v>
      </c>
      <c r="BZ162" s="13">
        <f>BY162*VLOOKUP('Données projet'!$B$12,Paramètres!$A$1:$I$89,3,0)*VLOOKUP('Données projet'!$B$12,Paramètres!$A$1:$I$89,5,0)</f>
        <v>-1.3567387213697657E-13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299.10536994156814</v>
      </c>
      <c r="CE162" s="59">
        <f t="shared" si="148"/>
        <v>292.57799203101769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21.6255350224863</v>
      </c>
      <c r="CL162" s="21">
        <f>EXP(-LN(2)/25)*CL161+(1-EXP(-LN(2)/25))/(LN(2)/25)*Calculateur!CG162*Calculateur!CI162*VLOOKUP('Données projet'!$B$12,Paramètres!$A$1:$I$89,3,0)*0.475*44/12</f>
        <v>0.3172266132117067</v>
      </c>
      <c r="CM162" s="21">
        <f>EXP(-LN(2)/2)*CM161+(1-EXP(-LN(2)/2))/(LN(2)/2)*CG162*CJ162*VLOOKUP('Données projet'!$B$12,Paramètres!$A$1:$I$89,3,0)*0.475*44/12</f>
        <v>5.3523611191461089E-11</v>
      </c>
      <c r="CN162" s="22">
        <f t="shared" si="172"/>
        <v>21.94276163575153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-7.9580786405131221E-13</v>
      </c>
      <c r="CU162" s="17">
        <f>CT162*VLOOKUP('Données projet'!$B$13,Paramètres!$A$1:$I$89,3,0)*VLOOKUP('Données projet'!$B$13,Paramètres!$A$1:$I$89,5,0)</f>
        <v>-7.2004695539362725E-13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528.15559695545812</v>
      </c>
      <c r="CZ162" s="59">
        <f t="shared" si="150"/>
        <v>276.26988364830532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165.27992014360902</v>
      </c>
      <c r="DG162" s="21">
        <f>EXP(-LN(2)/25)*DG161+(1-EXP(-LN(2)/25))/(LN(2)/25)*Calculateur!DB162*Calculateur!DD162*VLOOKUP('Données projet'!$B$13,Paramètres!$A$1:$I$89,3,0)*0.475*44/12</f>
        <v>26.81687601879192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192.09679616240095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-7.9580786405131221E-13</v>
      </c>
      <c r="DP162" s="17">
        <f>DO162*VLOOKUP('Données projet'!$B$14,Paramètres!$A$1:$I$89,3,0)*VLOOKUP('Données projet'!$B$14,Paramètres!$A$1:$I$89,5,0)</f>
        <v>-8.0694917414803056E-13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586.50020405958992</v>
      </c>
      <c r="DU162" s="59">
        <f t="shared" si="152"/>
        <v>304.44184537595294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185.22749671266533</v>
      </c>
      <c r="EB162" s="21">
        <f>EXP(-LN(2)/25)*EB161+(1-EXP(-LN(2)/25))/(LN(2)/25)*Calculateur!DW162*Calculateur!DY162*VLOOKUP('Données projet'!$B$14,Paramètres!$A$1:$I$89,3,0)*0.475*44/12</f>
        <v>30.053395538301295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215.28089225096662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-1.7053025658242404E-13</v>
      </c>
      <c r="EK162" s="17">
        <f>EJ162*VLOOKUP('Données projet'!$B$15,Paramètres!$A$1:$I$89,3,0)*VLOOKUP('Données projet'!$B$15,Paramètres!$A$1:$I$89,5,0)</f>
        <v>-1.6493686416652052E-13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355.72173590705142</v>
      </c>
      <c r="EP162" s="59">
        <f t="shared" si="154"/>
        <v>346.30980704469363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21.329514010339793</v>
      </c>
      <c r="EW162" s="21">
        <f>EXP(-LN(2)/25)*EW161+(1-EXP(-LN(2)/25))/(LN(2)/25)*Calculateur!ER162*Calculateur!ET162*VLOOKUP('Données projet'!$B$15,Paramètres!$A$1:$I$89,3,0)*0.475*44/12</f>
        <v>0.312884258535853</v>
      </c>
      <c r="EX162" s="21">
        <f>EXP(-LN(2)/2)*EX161+(1-EXP(-LN(2)/2))/(LN(2)/2)*ER162*EU162*VLOOKUP('Données projet'!$B$15,Paramètres!$A$1:$I$89,3,0)*0.475*44/12</f>
        <v>6.5067919487658535E-11</v>
      </c>
      <c r="EY162" s="22">
        <f t="shared" si="181"/>
        <v>21.642398268940713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-1.383341441396624E-13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304.26232113495314</v>
      </c>
      <c r="FK162" s="59">
        <f t="shared" si="156"/>
        <v>297.47246687305056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22.049565120966445</v>
      </c>
      <c r="FR162" s="21">
        <f>EXP(-LN(2)/25)*FR161+(1-EXP(-LN(2)/25))/(LN(2)/25)*Calculateur!FM162*Calculateur!FO162*VLOOKUP('Données projet'!$B$16,Paramètres!$A$1:$I$89,3,0)*0.475*44/12</f>
        <v>0.32344674288252467</v>
      </c>
      <c r="FS162" s="21">
        <f>EXP(-LN(2)/2)*FS161+(1-EXP(-LN(2)/2))/(LN(2)/2)*FM162*FP162*VLOOKUP('Données projet'!$B$16,Paramètres!$A$1:$I$89,3,0)*0.475*44/12</f>
        <v>5.4573093763842831E-11</v>
      </c>
      <c r="FT162" s="22">
        <f t="shared" si="184"/>
        <v>22.373011863903542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-1.4897523215040567E-13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381.72225529388083</v>
      </c>
      <c r="T163" s="59">
        <f t="shared" si="142"/>
        <v>360.05900046417361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36.410399690498707</v>
      </c>
      <c r="AA163" s="21">
        <f>EXP(-LN(2)/25)*AA162+(1-EXP(-LN(2)/25))/(LN(2)/25)*Calculateur!V163*Calculateur!X163*VLOOKUP('Données projet'!$B$9,Paramètres!$A$1:$I$89,3,0)*0.475*44/12</f>
        <v>3.625739667023081</v>
      </c>
      <c r="AB163" s="21">
        <f>EXP(-LN(2)/2)*AB162+(1-EXP(-LN(2)/2))/(LN(2)/2)*V163*Y163*VLOOKUP('Données projet'!$B$9,Paramètres!$A$1:$I$89,3,0)*0.475*44/12</f>
        <v>4.2804521325180284E-20</v>
      </c>
      <c r="AC163" s="22">
        <f t="shared" si="163"/>
        <v>40.03613935752179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-4.1677594708744434E-14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464.3681853739115</v>
      </c>
      <c r="AO163" s="59">
        <f t="shared" si="144"/>
        <v>272.97841038165217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58.210225817559262</v>
      </c>
      <c r="AV163" s="21">
        <f>EXP(-LN(2)/25)*AV162+(1-EXP(-LN(2)/25))/(LN(2)/25)*Calculateur!AQ163*Calculateur!AS163*VLOOKUP('Données projet'!$B$10,Paramètres!$A$1:$I$89,3,0)*0.475*44/12</f>
        <v>11.119174372865022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69.32940019042428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-1.3567387213697657E-13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299.10536994156814</v>
      </c>
      <c r="BJ163" s="59">
        <f t="shared" si="146"/>
        <v>292.57799203101769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21.201471470969278</v>
      </c>
      <c r="BQ163" s="21">
        <f>EXP(-LN(2)/25)*BQ162+(1-EXP(-LN(2)/25))/(LN(2)/25)*Calculateur!BL163*Calculateur!BN163*VLOOKUP('Données projet'!$B$11,Paramètres!$A$1:$I$89,3,0)*0.475*44/12</f>
        <v>0.30855203479121002</v>
      </c>
      <c r="BR163" s="21">
        <f>EXP(-LN(2)/2)*BR162+(1-EXP(-LN(2)/2))/(LN(2)/2)*BL163*BO163*VLOOKUP('Données projet'!$B$11,Paramètres!$A$1:$I$89,3,0)*0.475*44/12</f>
        <v>3.7846908427074322E-11</v>
      </c>
      <c r="BS163" s="22">
        <f t="shared" si="169"/>
        <v>21.510023505798333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-1.7053025658242404E-13</v>
      </c>
      <c r="BZ163" s="13">
        <f>BY163*VLOOKUP('Données projet'!$B$12,Paramètres!$A$1:$I$89,3,0)*VLOOKUP('Données projet'!$B$12,Paramètres!$A$1:$I$89,5,0)</f>
        <v>-1.3567387213697657E-13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299.10536994156814</v>
      </c>
      <c r="CE163" s="59">
        <f t="shared" si="148"/>
        <v>292.57799203101769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21.201471470969278</v>
      </c>
      <c r="CL163" s="21">
        <f>EXP(-LN(2)/25)*CL162+(1-EXP(-LN(2)/25))/(LN(2)/25)*Calculateur!CG163*Calculateur!CI163*VLOOKUP('Données projet'!$B$12,Paramètres!$A$1:$I$89,3,0)*0.475*44/12</f>
        <v>0.30855203479121002</v>
      </c>
      <c r="CM163" s="21">
        <f>EXP(-LN(2)/2)*CM162+(1-EXP(-LN(2)/2))/(LN(2)/2)*CG163*CJ163*VLOOKUP('Données projet'!$B$12,Paramètres!$A$1:$I$89,3,0)*0.475*44/12</f>
        <v>3.7846908427074322E-11</v>
      </c>
      <c r="CN163" s="22">
        <f t="shared" si="172"/>
        <v>21.510023505798333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-7.9580786405131221E-13</v>
      </c>
      <c r="CU163" s="17">
        <f>CT163*VLOOKUP('Données projet'!$B$13,Paramètres!$A$1:$I$89,3,0)*VLOOKUP('Données projet'!$B$13,Paramètres!$A$1:$I$89,5,0)</f>
        <v>-7.2004695539362725E-13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528.15559695545812</v>
      </c>
      <c r="CZ163" s="59">
        <f t="shared" si="150"/>
        <v>276.26988364830532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162.0388817203899</v>
      </c>
      <c r="DG163" s="21">
        <f>EXP(-LN(2)/25)*DG162+(1-EXP(-LN(2)/25))/(LN(2)/25)*Calculateur!DB163*Calculateur!DD163*VLOOKUP('Données projet'!$B$13,Paramètres!$A$1:$I$89,3,0)*0.475*44/12</f>
        <v>26.083567133819837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188.12244885420972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-7.9580786405131221E-13</v>
      </c>
      <c r="DP163" s="17">
        <f>DO163*VLOOKUP('Données projet'!$B$14,Paramètres!$A$1:$I$89,3,0)*VLOOKUP('Données projet'!$B$14,Paramètres!$A$1:$I$89,5,0)</f>
        <v>-8.0694917414803056E-13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586.50020405958992</v>
      </c>
      <c r="DU163" s="59">
        <f t="shared" si="152"/>
        <v>304.44184537595294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181.59529847974736</v>
      </c>
      <c r="EB163" s="21">
        <f>EXP(-LN(2)/25)*EB162+(1-EXP(-LN(2)/25))/(LN(2)/25)*Calculateur!DW163*Calculateur!DY163*VLOOKUP('Données projet'!$B$14,Paramètres!$A$1:$I$89,3,0)*0.475*44/12</f>
        <v>29.231583856867061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210.8268823366144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-1.7053025658242404E-13</v>
      </c>
      <c r="EK163" s="17">
        <f>EJ163*VLOOKUP('Données projet'!$B$15,Paramètres!$A$1:$I$89,3,0)*VLOOKUP('Données projet'!$B$15,Paramètres!$A$1:$I$89,5,0)</f>
        <v>-1.6493686416652052E-13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355.72173590705142</v>
      </c>
      <c r="EP163" s="59">
        <f t="shared" si="154"/>
        <v>346.30980704469363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20.911255250315971</v>
      </c>
      <c r="EW163" s="21">
        <f>EXP(-LN(2)/25)*EW162+(1-EXP(-LN(2)/25))/(LN(2)/25)*Calculateur!ER163*Calculateur!ET163*VLOOKUP('Données projet'!$B$15,Paramètres!$A$1:$I$89,3,0)*0.475*44/12</f>
        <v>0.30432842203232208</v>
      </c>
      <c r="EX163" s="21">
        <f>EXP(-LN(2)/2)*EX162+(1-EXP(-LN(2)/2))/(LN(2)/2)*ER163*EU163*VLOOKUP('Données projet'!$B$15,Paramètres!$A$1:$I$89,3,0)*0.475*44/12</f>
        <v>4.6009967107423657E-11</v>
      </c>
      <c r="EY163" s="22">
        <f t="shared" si="181"/>
        <v>21.215583672394306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-1.383341441396624E-13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304.26232113495314</v>
      </c>
      <c r="FK163" s="59">
        <f t="shared" si="156"/>
        <v>297.47246687305056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21.617186597851049</v>
      </c>
      <c r="FR163" s="21">
        <f>EXP(-LN(2)/25)*FR162+(1-EXP(-LN(2)/25))/(LN(2)/25)*Calculateur!FM163*Calculateur!FO163*VLOOKUP('Données projet'!$B$16,Paramètres!$A$1:$I$89,3,0)*0.475*44/12</f>
        <v>0.31460207468907708</v>
      </c>
      <c r="FS163" s="21">
        <f>EXP(-LN(2)/2)*FS162+(1-EXP(-LN(2)/2))/(LN(2)/2)*FM163*FP163*VLOOKUP('Données projet'!$B$16,Paramètres!$A$1:$I$89,3,0)*0.475*44/12</f>
        <v>3.8589004670742554E-11</v>
      </c>
      <c r="FT163" s="22">
        <f t="shared" si="184"/>
        <v>21.931788672578715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-1.4897523215040567E-13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381.72225529388083</v>
      </c>
      <c r="T164" s="59">
        <f t="shared" si="142"/>
        <v>360.05900046417361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35.696413960718964</v>
      </c>
      <c r="AA164" s="21">
        <f>EXP(-LN(2)/25)*AA163+(1-EXP(-LN(2)/25))/(LN(2)/25)*Calculateur!V164*Calculateur!X164*VLOOKUP('Données projet'!$B$9,Paramètres!$A$1:$I$89,3,0)*0.475*44/12</f>
        <v>3.5265936251589727</v>
      </c>
      <c r="AB164" s="21">
        <f>EXP(-LN(2)/2)*AB163+(1-EXP(-LN(2)/2))/(LN(2)/2)*V164*Y164*VLOOKUP('Données projet'!$B$9,Paramètres!$A$1:$I$89,3,0)*0.475*44/12</f>
        <v>3.0267367294479162E-20</v>
      </c>
      <c r="AC164" s="22">
        <f t="shared" si="163"/>
        <v>39.223007585877937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-4.1677594708744434E-14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464.3681853739115</v>
      </c>
      <c r="AO164" s="59">
        <f t="shared" si="144"/>
        <v>272.97841038165217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57.068758794008872</v>
      </c>
      <c r="AV164" s="21">
        <f>EXP(-LN(2)/25)*AV163+(1-EXP(-LN(2)/25))/(LN(2)/25)*Calculateur!AQ164*Calculateur!AS164*VLOOKUP('Données projet'!$B$10,Paramètres!$A$1:$I$89,3,0)*0.475*44/12</f>
        <v>10.81511996490706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67.883878758915927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-1.3567387213697657E-13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299.10536994156814</v>
      </c>
      <c r="BJ164" s="59">
        <f t="shared" si="146"/>
        <v>292.57799203101769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20.785723547044277</v>
      </c>
      <c r="BQ164" s="21">
        <f>EXP(-LN(2)/25)*BQ163+(1-EXP(-LN(2)/25))/(LN(2)/25)*Calculateur!BL164*Calculateur!BN164*VLOOKUP('Données projet'!$B$11,Paramètres!$A$1:$I$89,3,0)*0.475*44/12</f>
        <v>0.30011466317379809</v>
      </c>
      <c r="BR164" s="21">
        <f>EXP(-LN(2)/2)*BR163+(1-EXP(-LN(2)/2))/(LN(2)/2)*BL164*BO164*VLOOKUP('Données projet'!$B$11,Paramètres!$A$1:$I$89,3,0)*0.475*44/12</f>
        <v>2.6761805595730545E-11</v>
      </c>
      <c r="BS164" s="22">
        <f t="shared" si="169"/>
        <v>21.085838210244837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-1.7053025658242404E-13</v>
      </c>
      <c r="BZ164" s="13">
        <f>BY164*VLOOKUP('Données projet'!$B$12,Paramètres!$A$1:$I$89,3,0)*VLOOKUP('Données projet'!$B$12,Paramètres!$A$1:$I$89,5,0)</f>
        <v>-1.3567387213697657E-13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299.10536994156814</v>
      </c>
      <c r="CE164" s="59">
        <f t="shared" si="148"/>
        <v>292.57799203101769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20.785723547044277</v>
      </c>
      <c r="CL164" s="21">
        <f>EXP(-LN(2)/25)*CL163+(1-EXP(-LN(2)/25))/(LN(2)/25)*Calculateur!CG164*Calculateur!CI164*VLOOKUP('Données projet'!$B$12,Paramètres!$A$1:$I$89,3,0)*0.475*44/12</f>
        <v>0.30011466317379809</v>
      </c>
      <c r="CM164" s="21">
        <f>EXP(-LN(2)/2)*CM163+(1-EXP(-LN(2)/2))/(LN(2)/2)*CG164*CJ164*VLOOKUP('Données projet'!$B$12,Paramètres!$A$1:$I$89,3,0)*0.475*44/12</f>
        <v>2.6761805595730545E-11</v>
      </c>
      <c r="CN164" s="22">
        <f t="shared" si="172"/>
        <v>21.085838210244837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-7.9580786405131221E-13</v>
      </c>
      <c r="CU164" s="17">
        <f>CT164*VLOOKUP('Données projet'!$B$13,Paramètres!$A$1:$I$89,3,0)*VLOOKUP('Données projet'!$B$13,Paramètres!$A$1:$I$89,5,0)</f>
        <v>-7.2004695539362725E-13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528.15559695545812</v>
      </c>
      <c r="CZ164" s="59">
        <f t="shared" si="150"/>
        <v>276.26988364830532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158.86139808381185</v>
      </c>
      <c r="DG164" s="21">
        <f>EXP(-LN(2)/25)*DG163+(1-EXP(-LN(2)/25))/(LN(2)/25)*Calculateur!DB164*Calculateur!DD164*VLOOKUP('Données projet'!$B$13,Paramètres!$A$1:$I$89,3,0)*0.475*44/12</f>
        <v>25.370310618870352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184.2317087026822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-7.9580786405131221E-13</v>
      </c>
      <c r="DP164" s="17">
        <f>DO164*VLOOKUP('Données projet'!$B$14,Paramètres!$A$1:$I$89,3,0)*VLOOKUP('Données projet'!$B$14,Paramètres!$A$1:$I$89,5,0)</f>
        <v>-8.0694917414803056E-13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586.50020405958992</v>
      </c>
      <c r="DU164" s="59">
        <f t="shared" si="152"/>
        <v>304.44184537595294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178.03432543875473</v>
      </c>
      <c r="EB164" s="21">
        <f>EXP(-LN(2)/25)*EB163+(1-EXP(-LN(2)/25))/(LN(2)/25)*Calculateur!DW164*Calculateur!DY164*VLOOKUP('Données projet'!$B$14,Paramètres!$A$1:$I$89,3,0)*0.475*44/12</f>
        <v>28.432244659078847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206.4665700978336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-1.7053025658242404E-13</v>
      </c>
      <c r="EK164" s="17">
        <f>EJ164*VLOOKUP('Données projet'!$B$15,Paramètres!$A$1:$I$89,3,0)*VLOOKUP('Données projet'!$B$15,Paramètres!$A$1:$I$89,5,0)</f>
        <v>-1.6493686416652052E-13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355.72173590705142</v>
      </c>
      <c r="EP164" s="59">
        <f t="shared" si="154"/>
        <v>346.30980704469363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20.501198289463566</v>
      </c>
      <c r="EW164" s="21">
        <f>EXP(-LN(2)/25)*EW163+(1-EXP(-LN(2)/25))/(LN(2)/25)*Calculateur!ER164*Calculateur!ET164*VLOOKUP('Données projet'!$B$15,Paramètres!$A$1:$I$89,3,0)*0.475*44/12</f>
        <v>0.29600654532791204</v>
      </c>
      <c r="EX164" s="21">
        <f>EXP(-LN(2)/2)*EX163+(1-EXP(-LN(2)/2))/(LN(2)/2)*ER164*EU164*VLOOKUP('Données projet'!$B$15,Paramètres!$A$1:$I$89,3,0)*0.475*44/12</f>
        <v>3.2533959743829268E-11</v>
      </c>
      <c r="EY164" s="22">
        <f t="shared" si="181"/>
        <v>20.797204834824011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-1.383341441396624E-13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304.26232113495314</v>
      </c>
      <c r="FK164" s="59">
        <f t="shared" si="156"/>
        <v>297.47246687305056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21.193286753849087</v>
      </c>
      <c r="FR164" s="21">
        <f>EXP(-LN(2)/25)*FR163+(1-EXP(-LN(2)/25))/(LN(2)/25)*Calculateur!FM164*Calculateur!FO164*VLOOKUP('Données projet'!$B$16,Paramètres!$A$1:$I$89,3,0)*0.475*44/12</f>
        <v>0.30599926441250019</v>
      </c>
      <c r="FS164" s="21">
        <f>EXP(-LN(2)/2)*FS163+(1-EXP(-LN(2)/2))/(LN(2)/2)*FM164*FP164*VLOOKUP('Données projet'!$B$16,Paramètres!$A$1:$I$89,3,0)*0.475*44/12</f>
        <v>2.7286546881921416E-11</v>
      </c>
      <c r="FT164" s="22">
        <f t="shared" si="184"/>
        <v>21.499286018288871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-1.4897523215040567E-13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381.72225529388083</v>
      </c>
      <c r="T165" s="59">
        <f t="shared" si="142"/>
        <v>360.05900046417361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34.996429055611912</v>
      </c>
      <c r="AA165" s="21">
        <f>EXP(-LN(2)/25)*AA164+(1-EXP(-LN(2)/25))/(LN(2)/25)*Calculateur!V165*Calculateur!X165*VLOOKUP('Données projet'!$B$9,Paramètres!$A$1:$I$89,3,0)*0.475*44/12</f>
        <v>3.4301587370235018</v>
      </c>
      <c r="AB165" s="21">
        <f>EXP(-LN(2)/2)*AB164+(1-EXP(-LN(2)/2))/(LN(2)/2)*V165*Y165*VLOOKUP('Données projet'!$B$9,Paramètres!$A$1:$I$89,3,0)*0.475*44/12</f>
        <v>2.1402260662590142E-20</v>
      </c>
      <c r="AC165" s="22">
        <f t="shared" si="163"/>
        <v>38.426587792635416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-4.1677594708744434E-14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464.3681853739115</v>
      </c>
      <c r="AO165" s="59">
        <f t="shared" si="144"/>
        <v>272.97841038165217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55.949675242564169</v>
      </c>
      <c r="AV165" s="21">
        <f>EXP(-LN(2)/25)*AV164+(1-EXP(-LN(2)/25))/(LN(2)/25)*Calculateur!AQ165*Calculateur!AS165*VLOOKUP('Données projet'!$B$10,Paramètres!$A$1:$I$89,3,0)*0.475*44/12</f>
        <v>10.519379940724235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66.469055183288404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-1.3567387213697657E-13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299.10536994156814</v>
      </c>
      <c r="BJ165" s="59">
        <f t="shared" si="146"/>
        <v>292.57799203101769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20.378128186326251</v>
      </c>
      <c r="BQ165" s="21">
        <f>EXP(-LN(2)/25)*BQ164+(1-EXP(-LN(2)/25))/(LN(2)/25)*Calculateur!BL165*Calculateur!BN165*VLOOKUP('Données projet'!$B$11,Paramètres!$A$1:$I$89,3,0)*0.475*44/12</f>
        <v>0.29190801192696636</v>
      </c>
      <c r="BR165" s="21">
        <f>EXP(-LN(2)/2)*BR164+(1-EXP(-LN(2)/2))/(LN(2)/2)*BL165*BO165*VLOOKUP('Données projet'!$B$11,Paramètres!$A$1:$I$89,3,0)*0.475*44/12</f>
        <v>1.8923454213537161E-11</v>
      </c>
      <c r="BS165" s="22">
        <f t="shared" si="169"/>
        <v>20.67003619827214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-1.7053025658242404E-13</v>
      </c>
      <c r="BZ165" s="13">
        <f>BY165*VLOOKUP('Données projet'!$B$12,Paramètres!$A$1:$I$89,3,0)*VLOOKUP('Données projet'!$B$12,Paramètres!$A$1:$I$89,5,0)</f>
        <v>-1.3567387213697657E-13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299.10536994156814</v>
      </c>
      <c r="CE165" s="59">
        <f t="shared" si="148"/>
        <v>292.57799203101769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20.378128186326251</v>
      </c>
      <c r="CL165" s="21">
        <f>EXP(-LN(2)/25)*CL164+(1-EXP(-LN(2)/25))/(LN(2)/25)*Calculateur!CG165*Calculateur!CI165*VLOOKUP('Données projet'!$B$12,Paramètres!$A$1:$I$89,3,0)*0.475*44/12</f>
        <v>0.29190801192696636</v>
      </c>
      <c r="CM165" s="21">
        <f>EXP(-LN(2)/2)*CM164+(1-EXP(-LN(2)/2))/(LN(2)/2)*CG165*CJ165*VLOOKUP('Données projet'!$B$12,Paramètres!$A$1:$I$89,3,0)*0.475*44/12</f>
        <v>1.8923454213537161E-11</v>
      </c>
      <c r="CN165" s="22">
        <f t="shared" si="172"/>
        <v>20.67003619827214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-7.9580786405131221E-13</v>
      </c>
      <c r="CU165" s="17">
        <f>CT165*VLOOKUP('Données projet'!$B$13,Paramètres!$A$1:$I$89,3,0)*VLOOKUP('Données projet'!$B$13,Paramètres!$A$1:$I$89,5,0)</f>
        <v>-7.2004695539362725E-13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528.15559695545812</v>
      </c>
      <c r="CZ165" s="59">
        <f t="shared" si="150"/>
        <v>276.26988364830532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155.74622296327345</v>
      </c>
      <c r="DG165" s="21">
        <f>EXP(-LN(2)/25)*DG164+(1-EXP(-LN(2)/25))/(LN(2)/25)*Calculateur!DB165*Calculateur!DD165*VLOOKUP('Données projet'!$B$13,Paramètres!$A$1:$I$89,3,0)*0.475*44/12</f>
        <v>24.676558140830693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180.42278110410416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-7.9580786405131221E-13</v>
      </c>
      <c r="DP165" s="17">
        <f>DO165*VLOOKUP('Données projet'!$B$14,Paramètres!$A$1:$I$89,3,0)*VLOOKUP('Données projet'!$B$14,Paramètres!$A$1:$I$89,5,0)</f>
        <v>-8.0694917414803056E-13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586.50020405958992</v>
      </c>
      <c r="DU165" s="59">
        <f t="shared" si="152"/>
        <v>304.44184537595294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174.54318090711689</v>
      </c>
      <c r="EB165" s="21">
        <f>EXP(-LN(2)/25)*EB164+(1-EXP(-LN(2)/25))/(LN(2)/25)*Calculateur!DW165*Calculateur!DY165*VLOOKUP('Données projet'!$B$14,Paramètres!$A$1:$I$89,3,0)*0.475*44/12</f>
        <v>27.654763433689574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202.19794434080646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-1.7053025658242404E-13</v>
      </c>
      <c r="EK165" s="17">
        <f>EJ165*VLOOKUP('Données projet'!$B$15,Paramètres!$A$1:$I$89,3,0)*VLOOKUP('Données projet'!$B$15,Paramètres!$A$1:$I$89,5,0)</f>
        <v>-1.6493686416652052E-13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355.72173590705142</v>
      </c>
      <c r="EP165" s="59">
        <f t="shared" si="154"/>
        <v>346.30980704469363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20.099182295503425</v>
      </c>
      <c r="EW165" s="21">
        <f>EXP(-LN(2)/25)*EW164+(1-EXP(-LN(2)/25))/(LN(2)/25)*Calculateur!ER165*Calculateur!ET165*VLOOKUP('Données projet'!$B$15,Paramètres!$A$1:$I$89,3,0)*0.475*44/12</f>
        <v>0.28791223077961259</v>
      </c>
      <c r="EX165" s="21">
        <f>EXP(-LN(2)/2)*EX164+(1-EXP(-LN(2)/2))/(LN(2)/2)*ER165*EU165*VLOOKUP('Données projet'!$B$15,Paramètres!$A$1:$I$89,3,0)*0.475*44/12</f>
        <v>2.3004983553711828E-11</v>
      </c>
      <c r="EY165" s="22">
        <f t="shared" si="181"/>
        <v>20.38709452630604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-1.383341441396624E-13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304.26232113495314</v>
      </c>
      <c r="FK165" s="59">
        <f t="shared" si="156"/>
        <v>297.47246687305056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20.777699327234629</v>
      </c>
      <c r="FR165" s="21">
        <f>EXP(-LN(2)/25)*FR164+(1-EXP(-LN(2)/25))/(LN(2)/25)*Calculateur!FM165*Calculateur!FO165*VLOOKUP('Données projet'!$B$16,Paramètres!$A$1:$I$89,3,0)*0.475*44/12</f>
        <v>0.29763169843533843</v>
      </c>
      <c r="FS165" s="21">
        <f>EXP(-LN(2)/2)*FS164+(1-EXP(-LN(2)/2))/(LN(2)/2)*FM165*FP165*VLOOKUP('Données projet'!$B$16,Paramètres!$A$1:$I$89,3,0)*0.475*44/12</f>
        <v>1.9294502335371277E-11</v>
      </c>
      <c r="FT165" s="22">
        <f t="shared" si="184"/>
        <v>21.075331025689263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-1.4897523215040567E-13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381.72225529388083</v>
      </c>
      <c r="T166" s="59">
        <f t="shared" si="142"/>
        <v>360.05900046417361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34.310170427545373</v>
      </c>
      <c r="AA166" s="21">
        <f>EXP(-LN(2)/25)*AA165+(1-EXP(-LN(2)/25))/(LN(2)/25)*Calculateur!V166*Calculateur!X166*VLOOKUP('Données projet'!$B$9,Paramètres!$A$1:$I$89,3,0)*0.475*44/12</f>
        <v>3.3363608659753861</v>
      </c>
      <c r="AB166" s="21">
        <f>EXP(-LN(2)/2)*AB165+(1-EXP(-LN(2)/2))/(LN(2)/2)*V166*Y166*VLOOKUP('Données projet'!$B$9,Paramètres!$A$1:$I$89,3,0)*0.475*44/12</f>
        <v>1.5133683647239581E-20</v>
      </c>
      <c r="AC166" s="22">
        <f t="shared" si="163"/>
        <v>37.646531293520759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-4.1677594708744434E-14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464.3681853739115</v>
      </c>
      <c r="AO166" s="59">
        <f t="shared" si="144"/>
        <v>272.97841038165217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54.852536236989728</v>
      </c>
      <c r="AV166" s="21">
        <f>EXP(-LN(2)/25)*AV165+(1-EXP(-LN(2)/25))/(LN(2)/25)*Calculateur!AQ166*Calculateur!AS166*VLOOKUP('Données projet'!$B$10,Paramètres!$A$1:$I$89,3,0)*0.475*44/12</f>
        <v>10.231726943054982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65.084263180044715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-1.3567387213697657E-13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299.10536994156814</v>
      </c>
      <c r="BJ166" s="59">
        <f t="shared" si="146"/>
        <v>292.57799203101769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19.978525522023283</v>
      </c>
      <c r="BQ166" s="21">
        <f>EXP(-LN(2)/25)*BQ165+(1-EXP(-LN(2)/25))/(LN(2)/25)*Calculateur!BL166*Calculateur!BN166*VLOOKUP('Données projet'!$B$11,Paramètres!$A$1:$I$89,3,0)*0.475*44/12</f>
        <v>0.28392577199004826</v>
      </c>
      <c r="BR166" s="21">
        <f>EXP(-LN(2)/2)*BR165+(1-EXP(-LN(2)/2))/(LN(2)/2)*BL166*BO166*VLOOKUP('Données projet'!$B$11,Paramètres!$A$1:$I$89,3,0)*0.475*44/12</f>
        <v>1.3380902797865272E-11</v>
      </c>
      <c r="BS166" s="22">
        <f t="shared" si="169"/>
        <v>20.262451294026711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-1.7053025658242404E-13</v>
      </c>
      <c r="BZ166" s="13">
        <f>BY166*VLOOKUP('Données projet'!$B$12,Paramètres!$A$1:$I$89,3,0)*VLOOKUP('Données projet'!$B$12,Paramètres!$A$1:$I$89,5,0)</f>
        <v>-1.3567387213697657E-13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299.10536994156814</v>
      </c>
      <c r="CE166" s="59">
        <f t="shared" si="148"/>
        <v>292.57799203101769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19.978525522023283</v>
      </c>
      <c r="CL166" s="21">
        <f>EXP(-LN(2)/25)*CL165+(1-EXP(-LN(2)/25))/(LN(2)/25)*Calculateur!CG166*Calculateur!CI166*VLOOKUP('Données projet'!$B$12,Paramètres!$A$1:$I$89,3,0)*0.475*44/12</f>
        <v>0.28392577199004826</v>
      </c>
      <c r="CM166" s="21">
        <f>EXP(-LN(2)/2)*CM165+(1-EXP(-LN(2)/2))/(LN(2)/2)*CG166*CJ166*VLOOKUP('Données projet'!$B$12,Paramètres!$A$1:$I$89,3,0)*0.475*44/12</f>
        <v>1.3380902797865272E-11</v>
      </c>
      <c r="CN166" s="22">
        <f t="shared" si="172"/>
        <v>20.262451294026711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-7.9580786405131221E-13</v>
      </c>
      <c r="CU166" s="17">
        <f>CT166*VLOOKUP('Données projet'!$B$13,Paramètres!$A$1:$I$89,3,0)*VLOOKUP('Données projet'!$B$13,Paramètres!$A$1:$I$89,5,0)</f>
        <v>-7.2004695539362725E-13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528.15559695545812</v>
      </c>
      <c r="CZ166" s="59">
        <f t="shared" si="150"/>
        <v>276.26988364830532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152.6921345267796</v>
      </c>
      <c r="DG166" s="21">
        <f>EXP(-LN(2)/25)*DG165+(1-EXP(-LN(2)/25))/(LN(2)/25)*Calculateur!DB166*Calculateur!DD166*VLOOKUP('Données projet'!$B$13,Paramètres!$A$1:$I$89,3,0)*0.475*44/12</f>
        <v>24.001776360785883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176.69391088756549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-7.9580786405131221E-13</v>
      </c>
      <c r="DP166" s="17">
        <f>DO166*VLOOKUP('Données projet'!$B$14,Paramètres!$A$1:$I$89,3,0)*VLOOKUP('Données projet'!$B$14,Paramètres!$A$1:$I$89,5,0)</f>
        <v>-8.0694917414803056E-13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586.50020405958992</v>
      </c>
      <c r="DU166" s="59">
        <f t="shared" si="152"/>
        <v>304.44184537595294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171.12049559035654</v>
      </c>
      <c r="EB166" s="21">
        <f>EXP(-LN(2)/25)*EB165+(1-EXP(-LN(2)/25))/(LN(2)/25)*Calculateur!DW166*Calculateur!DY166*VLOOKUP('Données projet'!$B$14,Paramètres!$A$1:$I$89,3,0)*0.475*44/12</f>
        <v>26.89854247329453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198.01903806365107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-1.7053025658242404E-13</v>
      </c>
      <c r="EK166" s="17">
        <f>EJ166*VLOOKUP('Données projet'!$B$15,Paramètres!$A$1:$I$89,3,0)*VLOOKUP('Données projet'!$B$15,Paramètres!$A$1:$I$89,5,0)</f>
        <v>-1.6493686416652052E-13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355.72173590705142</v>
      </c>
      <c r="EP166" s="59">
        <f t="shared" si="154"/>
        <v>346.30980704469363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19.7050495899793</v>
      </c>
      <c r="EW166" s="21">
        <f>EXP(-LN(2)/25)*EW165+(1-EXP(-LN(2)/25))/(LN(2)/25)*Calculateur!ER166*Calculateur!ET166*VLOOKUP('Données projet'!$B$15,Paramètres!$A$1:$I$89,3,0)*0.475*44/12</f>
        <v>0.28003925568829791</v>
      </c>
      <c r="EX166" s="21">
        <f>EXP(-LN(2)/2)*EX165+(1-EXP(-LN(2)/2))/(LN(2)/2)*ER166*EU166*VLOOKUP('Données projet'!$B$15,Paramètres!$A$1:$I$89,3,0)*0.475*44/12</f>
        <v>1.6266979871914634E-11</v>
      </c>
      <c r="EY166" s="22">
        <f t="shared" si="181"/>
        <v>19.985088845683865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-1.383341441396624E-13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304.26232113495314</v>
      </c>
      <c r="FK166" s="59">
        <f t="shared" si="156"/>
        <v>297.47246687305056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20.37026131657278</v>
      </c>
      <c r="FR166" s="21">
        <f>EXP(-LN(2)/25)*FR165+(1-EXP(-LN(2)/25))/(LN(2)/25)*Calculateur!FM166*Calculateur!FO166*VLOOKUP('Données projet'!$B$16,Paramètres!$A$1:$I$89,3,0)*0.475*44/12</f>
        <v>0.28949294398985331</v>
      </c>
      <c r="FS166" s="21">
        <f>EXP(-LN(2)/2)*FS165+(1-EXP(-LN(2)/2))/(LN(2)/2)*FM166*FP166*VLOOKUP('Données projet'!$B$16,Paramètres!$A$1:$I$89,3,0)*0.475*44/12</f>
        <v>1.3643273440960708E-11</v>
      </c>
      <c r="FT166" s="22">
        <f t="shared" si="184"/>
        <v>20.659754260576275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-1.4897523215040567E-13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381.72225529388083</v>
      </c>
      <c r="T167" s="59">
        <f t="shared" si="142"/>
        <v>360.05900046417361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33.637368912598788</v>
      </c>
      <c r="AA167" s="21">
        <f>EXP(-LN(2)/25)*AA166+(1-EXP(-LN(2)/25))/(LN(2)/25)*Calculateur!V167*Calculateur!X167*VLOOKUP('Données projet'!$B$9,Paramètres!$A$1:$I$89,3,0)*0.475*44/12</f>
        <v>3.2451279026436963</v>
      </c>
      <c r="AB167" s="21">
        <f>EXP(-LN(2)/2)*AB166+(1-EXP(-LN(2)/2))/(LN(2)/2)*V167*Y167*VLOOKUP('Données projet'!$B$9,Paramètres!$A$1:$I$89,3,0)*0.475*44/12</f>
        <v>1.0701130331295071E-20</v>
      </c>
      <c r="AC167" s="22">
        <f t="shared" si="163"/>
        <v>36.882496815242483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-4.1677594708744434E-14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464.3681853739115</v>
      </c>
      <c r="AO167" s="59">
        <f t="shared" si="144"/>
        <v>272.97841038165217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53.776911458125888</v>
      </c>
      <c r="AV167" s="21">
        <f>EXP(-LN(2)/25)*AV166+(1-EXP(-LN(2)/25))/(LN(2)/25)*Calculateur!AQ167*Calculateur!AS167*VLOOKUP('Données projet'!$B$10,Paramètres!$A$1:$I$89,3,0)*0.475*44/12</f>
        <v>9.9519398317340091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63.728851289859897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-1.3567387213697657E-13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299.10536994156814</v>
      </c>
      <c r="BJ167" s="59">
        <f t="shared" si="146"/>
        <v>292.57799203101769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19.586758822233737</v>
      </c>
      <c r="BQ167" s="21">
        <f>EXP(-LN(2)/25)*BQ166+(1-EXP(-LN(2)/25))/(LN(2)/25)*Calculateur!BL167*Calculateur!BN167*VLOOKUP('Données projet'!$B$11,Paramètres!$A$1:$I$89,3,0)*0.475*44/12</f>
        <v>0.27616180682397296</v>
      </c>
      <c r="BR167" s="21">
        <f>EXP(-LN(2)/2)*BR166+(1-EXP(-LN(2)/2))/(LN(2)/2)*BL167*BO167*VLOOKUP('Données projet'!$B$11,Paramètres!$A$1:$I$89,3,0)*0.475*44/12</f>
        <v>9.4617271067685805E-12</v>
      </c>
      <c r="BS167" s="22">
        <f t="shared" si="169"/>
        <v>19.862920629067169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-1.7053025658242404E-13</v>
      </c>
      <c r="BZ167" s="13">
        <f>BY167*VLOOKUP('Données projet'!$B$12,Paramètres!$A$1:$I$89,3,0)*VLOOKUP('Données projet'!$B$12,Paramètres!$A$1:$I$89,5,0)</f>
        <v>-1.3567387213697657E-13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299.10536994156814</v>
      </c>
      <c r="CE167" s="59">
        <f t="shared" si="148"/>
        <v>292.57799203101769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19.586758822233737</v>
      </c>
      <c r="CL167" s="21">
        <f>EXP(-LN(2)/25)*CL166+(1-EXP(-LN(2)/25))/(LN(2)/25)*Calculateur!CG167*Calculateur!CI167*VLOOKUP('Données projet'!$B$12,Paramètres!$A$1:$I$89,3,0)*0.475*44/12</f>
        <v>0.27616180682397296</v>
      </c>
      <c r="CM167" s="21">
        <f>EXP(-LN(2)/2)*CM166+(1-EXP(-LN(2)/2))/(LN(2)/2)*CG167*CJ167*VLOOKUP('Données projet'!$B$12,Paramètres!$A$1:$I$89,3,0)*0.475*44/12</f>
        <v>9.4617271067685805E-12</v>
      </c>
      <c r="CN167" s="22">
        <f t="shared" si="172"/>
        <v>19.862920629067169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-7.9580786405131221E-13</v>
      </c>
      <c r="CU167" s="17">
        <f>CT167*VLOOKUP('Données projet'!$B$13,Paramètres!$A$1:$I$89,3,0)*VLOOKUP('Données projet'!$B$13,Paramètres!$A$1:$I$89,5,0)</f>
        <v>-7.2004695539362725E-13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528.15559695545812</v>
      </c>
      <c r="CZ167" s="59">
        <f t="shared" si="150"/>
        <v>276.26988364830532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149.6979349017154</v>
      </c>
      <c r="DG167" s="21">
        <f>EXP(-LN(2)/25)*DG166+(1-EXP(-LN(2)/25))/(LN(2)/25)*Calculateur!DB167*Calculateur!DD167*VLOOKUP('Données projet'!$B$13,Paramètres!$A$1:$I$89,3,0)*0.475*44/12</f>
        <v>23.34544652400163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173.04338142571703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-7.9580786405131221E-13</v>
      </c>
      <c r="DP167" s="17">
        <f>DO167*VLOOKUP('Données projet'!$B$14,Paramètres!$A$1:$I$89,3,0)*VLOOKUP('Données projet'!$B$14,Paramètres!$A$1:$I$89,5,0)</f>
        <v>-8.0694917414803056E-13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586.50020405958992</v>
      </c>
      <c r="DU167" s="59">
        <f t="shared" si="152"/>
        <v>304.44184537595294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167.76492704502596</v>
      </c>
      <c r="EB167" s="21">
        <f>EXP(-LN(2)/25)*EB166+(1-EXP(-LN(2)/25))/(LN(2)/25)*Calculateur!DW167*Calculateur!DY167*VLOOKUP('Données projet'!$B$14,Paramètres!$A$1:$I$89,3,0)*0.475*44/12</f>
        <v>26.163000414829419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193.92792745985537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-1.7053025658242404E-13</v>
      </c>
      <c r="EK167" s="17">
        <f>EJ167*VLOOKUP('Données projet'!$B$15,Paramètres!$A$1:$I$89,3,0)*VLOOKUP('Données projet'!$B$15,Paramètres!$A$1:$I$89,5,0)</f>
        <v>-1.6493686416652052E-13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355.72173590705142</v>
      </c>
      <c r="EP167" s="59">
        <f t="shared" si="154"/>
        <v>346.30980704469363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19.31864558641329</v>
      </c>
      <c r="EW167" s="21">
        <f>EXP(-LN(2)/25)*EW166+(1-EXP(-LN(2)/25))/(LN(2)/25)*Calculateur!ER167*Calculateur!ET167*VLOOKUP('Données projet'!$B$15,Paramètres!$A$1:$I$89,3,0)*0.475*44/12</f>
        <v>0.27238156751487697</v>
      </c>
      <c r="EX167" s="21">
        <f>EXP(-LN(2)/2)*EX166+(1-EXP(-LN(2)/2))/(LN(2)/2)*ER167*EU167*VLOOKUP('Données projet'!$B$15,Paramètres!$A$1:$I$89,3,0)*0.475*44/12</f>
        <v>1.1502491776855914E-11</v>
      </c>
      <c r="EY167" s="22">
        <f t="shared" si="181"/>
        <v>19.59102715393967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-1.383341441396624E-13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304.26232113495314</v>
      </c>
      <c r="FK167" s="59">
        <f t="shared" si="156"/>
        <v>297.47246687305056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19.970812916787359</v>
      </c>
      <c r="FR167" s="21">
        <f>EXP(-LN(2)/25)*FR166+(1-EXP(-LN(2)/25))/(LN(2)/25)*Calculateur!FM167*Calculateur!FO167*VLOOKUP('Données projet'!$B$16,Paramètres!$A$1:$I$89,3,0)*0.475*44/12</f>
        <v>0.28157674421267848</v>
      </c>
      <c r="FS167" s="21">
        <f>EXP(-LN(2)/2)*FS166+(1-EXP(-LN(2)/2))/(LN(2)/2)*FM167*FP167*VLOOKUP('Données projet'!$B$16,Paramètres!$A$1:$I$89,3,0)*0.475*44/12</f>
        <v>9.6472511676856385E-12</v>
      </c>
      <c r="FT167" s="22">
        <f t="shared" si="184"/>
        <v>20.252389661009683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-1.4897523215040567E-13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381.72225529388083</v>
      </c>
      <c r="T168" s="59">
        <f t="shared" si="142"/>
        <v>360.05900046417361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32.977760624991902</v>
      </c>
      <c r="AA168" s="21">
        <f>EXP(-LN(2)/25)*AA167+(1-EXP(-LN(2)/25))/(LN(2)/25)*Calculateur!V168*Calculateur!X168*VLOOKUP('Données projet'!$B$9,Paramètres!$A$1:$I$89,3,0)*0.475*44/12</f>
        <v>3.156389709492045</v>
      </c>
      <c r="AB168" s="21">
        <f>EXP(-LN(2)/2)*AB167+(1-EXP(-LN(2)/2))/(LN(2)/2)*V168*Y168*VLOOKUP('Données projet'!$B$9,Paramètres!$A$1:$I$89,3,0)*0.475*44/12</f>
        <v>7.5668418236197905E-21</v>
      </c>
      <c r="AC168" s="22">
        <f t="shared" si="163"/>
        <v>36.134150334483948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-4.1677594708744434E-14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464.3681853739115</v>
      </c>
      <c r="AO168" s="59">
        <f t="shared" si="144"/>
        <v>272.97841038165217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52.722379025109234</v>
      </c>
      <c r="AV168" s="21">
        <f>EXP(-LN(2)/25)*AV167+(1-EXP(-LN(2)/25))/(LN(2)/25)*Calculateur!AQ168*Calculateur!AS168*VLOOKUP('Données projet'!$B$10,Paramètres!$A$1:$I$89,3,0)*0.475*44/12</f>
        <v>9.6798035136854725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62.402182538794705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-1.3567387213697657E-13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299.10536994156814</v>
      </c>
      <c r="BJ168" s="59">
        <f t="shared" si="146"/>
        <v>292.57799203101769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19.202674428472971</v>
      </c>
      <c r="BQ168" s="21">
        <f>EXP(-LN(2)/25)*BQ167+(1-EXP(-LN(2)/25))/(LN(2)/25)*Calculateur!BL168*Calculateur!BN168*VLOOKUP('Données projet'!$B$11,Paramètres!$A$1:$I$89,3,0)*0.475*44/12</f>
        <v>0.26861014769365316</v>
      </c>
      <c r="BR168" s="21">
        <f>EXP(-LN(2)/2)*BR167+(1-EXP(-LN(2)/2))/(LN(2)/2)*BL168*BO168*VLOOKUP('Données projet'!$B$11,Paramètres!$A$1:$I$89,3,0)*0.475*44/12</f>
        <v>6.6904513989326361E-12</v>
      </c>
      <c r="BS168" s="22">
        <f t="shared" si="169"/>
        <v>19.471284576173314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-1.7053025658242404E-13</v>
      </c>
      <c r="BZ168" s="13">
        <f>BY168*VLOOKUP('Données projet'!$B$12,Paramètres!$A$1:$I$89,3,0)*VLOOKUP('Données projet'!$B$12,Paramètres!$A$1:$I$89,5,0)</f>
        <v>-1.3567387213697657E-13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299.10536994156814</v>
      </c>
      <c r="CE168" s="59">
        <f t="shared" si="148"/>
        <v>292.57799203101769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19.202674428472971</v>
      </c>
      <c r="CL168" s="21">
        <f>EXP(-LN(2)/25)*CL167+(1-EXP(-LN(2)/25))/(LN(2)/25)*Calculateur!CG168*Calculateur!CI168*VLOOKUP('Données projet'!$B$12,Paramètres!$A$1:$I$89,3,0)*0.475*44/12</f>
        <v>0.26861014769365316</v>
      </c>
      <c r="CM168" s="21">
        <f>EXP(-LN(2)/2)*CM167+(1-EXP(-LN(2)/2))/(LN(2)/2)*CG168*CJ168*VLOOKUP('Données projet'!$B$12,Paramètres!$A$1:$I$89,3,0)*0.475*44/12</f>
        <v>6.6904513989326361E-12</v>
      </c>
      <c r="CN168" s="22">
        <f t="shared" si="172"/>
        <v>19.471284576173314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-7.9580786405131221E-13</v>
      </c>
      <c r="CU168" s="17">
        <f>CT168*VLOOKUP('Données projet'!$B$13,Paramètres!$A$1:$I$89,3,0)*VLOOKUP('Données projet'!$B$13,Paramètres!$A$1:$I$89,5,0)</f>
        <v>-7.2004695539362725E-13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528.15559695545812</v>
      </c>
      <c r="CZ168" s="59">
        <f t="shared" si="150"/>
        <v>276.26988364830532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146.76244970501725</v>
      </c>
      <c r="DG168" s="21">
        <f>EXP(-LN(2)/25)*DG167+(1-EXP(-LN(2)/25))/(LN(2)/25)*Calculateur!DB168*Calculateur!DD168*VLOOKUP('Données projet'!$B$13,Paramètres!$A$1:$I$89,3,0)*0.475*44/12</f>
        <v>22.70706406111913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169.46951376613637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-7.9580786405131221E-13</v>
      </c>
      <c r="DP168" s="17">
        <f>DO168*VLOOKUP('Données projet'!$B$14,Paramètres!$A$1:$I$89,3,0)*VLOOKUP('Données projet'!$B$14,Paramètres!$A$1:$I$89,5,0)</f>
        <v>-8.0694917414803056E-13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586.50020405958992</v>
      </c>
      <c r="DU168" s="59">
        <f t="shared" si="152"/>
        <v>304.44184537595294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164.4751591521746</v>
      </c>
      <c r="EB168" s="21">
        <f>EXP(-LN(2)/25)*EB167+(1-EXP(-LN(2)/25))/(LN(2)/25)*Calculateur!DW168*Calculateur!DY168*VLOOKUP('Données projet'!$B$14,Paramètres!$A$1:$I$89,3,0)*0.475*44/12</f>
        <v>25.447571792633514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189.92273094480811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-1.7053025658242404E-13</v>
      </c>
      <c r="EK168" s="17">
        <f>EJ168*VLOOKUP('Données projet'!$B$15,Paramètres!$A$1:$I$89,3,0)*VLOOKUP('Données projet'!$B$15,Paramètres!$A$1:$I$89,5,0)</f>
        <v>-1.6493686416652052E-13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355.72173590705142</v>
      </c>
      <c r="EP168" s="59">
        <f t="shared" si="154"/>
        <v>346.30980704469363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18.939818729674037</v>
      </c>
      <c r="EW168" s="21">
        <f>EXP(-LN(2)/25)*EW167+(1-EXP(-LN(2)/25))/(LN(2)/25)*Calculateur!ER168*Calculateur!ET168*VLOOKUP('Données projet'!$B$15,Paramètres!$A$1:$I$89,3,0)*0.475*44/12</f>
        <v>0.26493327922725857</v>
      </c>
      <c r="EX168" s="21">
        <f>EXP(-LN(2)/2)*EX167+(1-EXP(-LN(2)/2))/(LN(2)/2)*ER168*EU168*VLOOKUP('Données projet'!$B$15,Paramètres!$A$1:$I$89,3,0)*0.475*44/12</f>
        <v>8.1334899359573169E-12</v>
      </c>
      <c r="EY168" s="22">
        <f t="shared" si="181"/>
        <v>19.204752008909427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-1.383341441396624E-13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304.26232113495314</v>
      </c>
      <c r="FK168" s="59">
        <f t="shared" si="156"/>
        <v>297.47246687305056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19.579197456482266</v>
      </c>
      <c r="FR168" s="21">
        <f>EXP(-LN(2)/25)*FR167+(1-EXP(-LN(2)/25))/(LN(2)/25)*Calculateur!FM168*Calculateur!FO168*VLOOKUP('Données projet'!$B$16,Paramètres!$A$1:$I$89,3,0)*0.475*44/12</f>
        <v>0.27387701333470538</v>
      </c>
      <c r="FS168" s="21">
        <f>EXP(-LN(2)/2)*FS167+(1-EXP(-LN(2)/2))/(LN(2)/2)*FM168*FP168*VLOOKUP('Données projet'!$B$16,Paramètres!$A$1:$I$89,3,0)*0.475*44/12</f>
        <v>6.8216367204803539E-12</v>
      </c>
      <c r="FT168" s="22">
        <f t="shared" si="184"/>
        <v>19.853074469823792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-1.4897523215040567E-13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381.72225529388083</v>
      </c>
      <c r="T169" s="59">
        <f t="shared" si="142"/>
        <v>360.05900046417361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32.331086853583656</v>
      </c>
      <c r="AA169" s="21">
        <f>EXP(-LN(2)/25)*AA168+(1-EXP(-LN(2)/25))/(LN(2)/25)*Calculateur!V169*Calculateur!X169*VLOOKUP('Données projet'!$B$9,Paramètres!$A$1:$I$89,3,0)*0.475*44/12</f>
        <v>3.070078066898664</v>
      </c>
      <c r="AB169" s="21">
        <f>EXP(-LN(2)/2)*AB168+(1-EXP(-LN(2)/2))/(LN(2)/2)*V169*Y169*VLOOKUP('Données projet'!$B$9,Paramètres!$A$1:$I$89,3,0)*0.475*44/12</f>
        <v>5.3505651656475355E-21</v>
      </c>
      <c r="AC169" s="22">
        <f t="shared" si="163"/>
        <v>35.401164920482323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-4.1677594708744434E-14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464.3681853739115</v>
      </c>
      <c r="AO169" s="59">
        <f t="shared" si="144"/>
        <v>272.97841038165217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51.68852532990276</v>
      </c>
      <c r="AV169" s="21">
        <f>EXP(-LN(2)/25)*AV168+(1-EXP(-LN(2)/25))/(LN(2)/25)*Calculateur!AQ169*Calculateur!AS169*VLOOKUP('Données projet'!$B$10,Paramètres!$A$1:$I$89,3,0)*0.475*44/12</f>
        <v>9.4151087775650009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61.103634107467762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-1.3567387213697657E-13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299.10536994156814</v>
      </c>
      <c r="BJ169" s="59">
        <f t="shared" si="146"/>
        <v>292.57799203101769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18.826121695405508</v>
      </c>
      <c r="BQ169" s="21">
        <f>EXP(-LN(2)/25)*BQ168+(1-EXP(-LN(2)/25))/(LN(2)/25)*Calculateur!BL169*Calculateur!BN169*VLOOKUP('Données projet'!$B$11,Paramètres!$A$1:$I$89,3,0)*0.475*44/12</f>
        <v>0.26126498907937645</v>
      </c>
      <c r="BR169" s="21">
        <f>EXP(-LN(2)/2)*BR168+(1-EXP(-LN(2)/2))/(LN(2)/2)*BL169*BO169*VLOOKUP('Données projet'!$B$11,Paramètres!$A$1:$I$89,3,0)*0.475*44/12</f>
        <v>4.7308635533842903E-12</v>
      </c>
      <c r="BS169" s="22">
        <f t="shared" si="169"/>
        <v>19.087386684489616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-1.7053025658242404E-13</v>
      </c>
      <c r="BZ169" s="13">
        <f>BY169*VLOOKUP('Données projet'!$B$12,Paramètres!$A$1:$I$89,3,0)*VLOOKUP('Données projet'!$B$12,Paramètres!$A$1:$I$89,5,0)</f>
        <v>-1.3567387213697657E-13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299.10536994156814</v>
      </c>
      <c r="CE169" s="59">
        <f t="shared" si="148"/>
        <v>292.57799203101769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18.826121695405508</v>
      </c>
      <c r="CL169" s="21">
        <f>EXP(-LN(2)/25)*CL168+(1-EXP(-LN(2)/25))/(LN(2)/25)*Calculateur!CG169*Calculateur!CI169*VLOOKUP('Données projet'!$B$12,Paramètres!$A$1:$I$89,3,0)*0.475*44/12</f>
        <v>0.26126498907937645</v>
      </c>
      <c r="CM169" s="21">
        <f>EXP(-LN(2)/2)*CM168+(1-EXP(-LN(2)/2))/(LN(2)/2)*CG169*CJ169*VLOOKUP('Données projet'!$B$12,Paramètres!$A$1:$I$89,3,0)*0.475*44/12</f>
        <v>4.7308635533842903E-12</v>
      </c>
      <c r="CN169" s="22">
        <f t="shared" si="172"/>
        <v>19.087386684489616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-7.9580786405131221E-13</v>
      </c>
      <c r="CU169" s="17">
        <f>CT169*VLOOKUP('Données projet'!$B$13,Paramètres!$A$1:$I$89,3,0)*VLOOKUP('Données projet'!$B$13,Paramètres!$A$1:$I$89,5,0)</f>
        <v>-7.2004695539362725E-13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528.15559695545812</v>
      </c>
      <c r="CZ169" s="59">
        <f t="shared" si="150"/>
        <v>276.26988364830532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143.88452758255718</v>
      </c>
      <c r="DG169" s="21">
        <f>EXP(-LN(2)/25)*DG168+(1-EXP(-LN(2)/25))/(LN(2)/25)*Calculateur!DB169*Calculateur!DD169*VLOOKUP('Données projet'!$B$13,Paramètres!$A$1:$I$89,3,0)*0.475*44/12</f>
        <v>22.086138200255228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165.9706657828124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-7.9580786405131221E-13</v>
      </c>
      <c r="DP169" s="17">
        <f>DO169*VLOOKUP('Données projet'!$B$14,Paramètres!$A$1:$I$89,3,0)*VLOOKUP('Données projet'!$B$14,Paramètres!$A$1:$I$89,5,0)</f>
        <v>-8.0694917414803056E-13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586.50020405958992</v>
      </c>
      <c r="DU169" s="59">
        <f t="shared" si="152"/>
        <v>304.44184537595294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161.24990160114177</v>
      </c>
      <c r="EB169" s="21">
        <f>EXP(-LN(2)/25)*EB168+(1-EXP(-LN(2)/25))/(LN(2)/25)*Calculateur!DW169*Calculateur!DY169*VLOOKUP('Données projet'!$B$14,Paramètres!$A$1:$I$89,3,0)*0.475*44/12</f>
        <v>24.751706603734313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186.00160820487608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-1.7053025658242404E-13</v>
      </c>
      <c r="EK169" s="17">
        <f>EJ169*VLOOKUP('Données projet'!$B$15,Paramètres!$A$1:$I$89,3,0)*VLOOKUP('Données projet'!$B$15,Paramètres!$A$1:$I$89,5,0)</f>
        <v>-1.6493686416652052E-13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355.72173590705142</v>
      </c>
      <c r="EP169" s="59">
        <f t="shared" si="154"/>
        <v>346.30980704469363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18.568420436533874</v>
      </c>
      <c r="EW169" s="21">
        <f>EXP(-LN(2)/25)*EW168+(1-EXP(-LN(2)/25))/(LN(2)/25)*Calculateur!ER169*Calculateur!ET169*VLOOKUP('Données projet'!$B$15,Paramètres!$A$1:$I$89,3,0)*0.475*44/12</f>
        <v>0.25768866477455354</v>
      </c>
      <c r="EX169" s="21">
        <f>EXP(-LN(2)/2)*EX168+(1-EXP(-LN(2)/2))/(LN(2)/2)*ER169*EU169*VLOOKUP('Données projet'!$B$15,Paramètres!$A$1:$I$89,3,0)*0.475*44/12</f>
        <v>5.7512458884279571E-12</v>
      </c>
      <c r="EY169" s="22">
        <f t="shared" si="181"/>
        <v>18.826109101314177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-1.383341441396624E-13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304.26232113495314</v>
      </c>
      <c r="FK169" s="59">
        <f t="shared" si="156"/>
        <v>297.47246687305056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19.19526133649191</v>
      </c>
      <c r="FR169" s="21">
        <f>EXP(-LN(2)/25)*FR168+(1-EXP(-LN(2)/25))/(LN(2)/25)*Calculateur!FM169*Calculateur!FO169*VLOOKUP('Données projet'!$B$16,Paramètres!$A$1:$I$89,3,0)*0.475*44/12</f>
        <v>0.26638783200250166</v>
      </c>
      <c r="FS169" s="21">
        <f>EXP(-LN(2)/2)*FS168+(1-EXP(-LN(2)/2))/(LN(2)/2)*FM169*FP169*VLOOKUP('Données projet'!$B$16,Paramètres!$A$1:$I$89,3,0)*0.475*44/12</f>
        <v>4.8236255838428192E-12</v>
      </c>
      <c r="FT169" s="22">
        <f t="shared" si="184"/>
        <v>19.461649168499235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-1.4897523215040567E-13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381.72225529388083</v>
      </c>
      <c r="T170" s="59">
        <f t="shared" si="142"/>
        <v>360.05900046417361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31.697093960400672</v>
      </c>
      <c r="AA170" s="21">
        <f>EXP(-LN(2)/25)*AA169+(1-EXP(-LN(2)/25))/(LN(2)/25)*Calculateur!V170*Calculateur!X170*VLOOKUP('Données projet'!$B$9,Paramètres!$A$1:$I$89,3,0)*0.475*44/12</f>
        <v>2.9861266207109312</v>
      </c>
      <c r="AB170" s="21">
        <f>EXP(-LN(2)/2)*AB169+(1-EXP(-LN(2)/2))/(LN(2)/2)*V170*Y170*VLOOKUP('Données projet'!$B$9,Paramètres!$A$1:$I$89,3,0)*0.475*44/12</f>
        <v>3.7834209118098952E-21</v>
      </c>
      <c r="AC170" s="22">
        <f t="shared" si="163"/>
        <v>34.683220581111605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-4.1677594708744434E-14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464.3681853739115</v>
      </c>
      <c r="AO170" s="59">
        <f t="shared" si="144"/>
        <v>272.97841038165217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50.674944875070793</v>
      </c>
      <c r="AV170" s="21">
        <f>EXP(-LN(2)/25)*AV169+(1-EXP(-LN(2)/25))/(LN(2)/25)*Calculateur!AQ170*Calculateur!AS170*VLOOKUP('Données projet'!$B$10,Paramètres!$A$1:$I$89,3,0)*0.475*44/12</f>
        <v>9.1576521329234346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59.832597007994224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-1.3567387213697657E-13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299.10536994156814</v>
      </c>
      <c r="BJ170" s="59">
        <f t="shared" si="146"/>
        <v>292.57799203101769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18.456952931759009</v>
      </c>
      <c r="BQ170" s="21">
        <f>EXP(-LN(2)/25)*BQ169+(1-EXP(-LN(2)/25))/(LN(2)/25)*Calculateur!BL170*Calculateur!BN170*VLOOKUP('Données projet'!$B$11,Paramètres!$A$1:$I$89,3,0)*0.475*44/12</f>
        <v>0.25412068421367223</v>
      </c>
      <c r="BR170" s="21">
        <f>EXP(-LN(2)/2)*BR169+(1-EXP(-LN(2)/2))/(LN(2)/2)*BL170*BO170*VLOOKUP('Données projet'!$B$11,Paramètres!$A$1:$I$89,3,0)*0.475*44/12</f>
        <v>3.3452256994663181E-12</v>
      </c>
      <c r="BS170" s="22">
        <f t="shared" si="169"/>
        <v>18.711073615976026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-1.7053025658242404E-13</v>
      </c>
      <c r="BZ170" s="13">
        <f>BY170*VLOOKUP('Données projet'!$B$12,Paramètres!$A$1:$I$89,3,0)*VLOOKUP('Données projet'!$B$12,Paramètres!$A$1:$I$89,5,0)</f>
        <v>-1.3567387213697657E-13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299.10536994156814</v>
      </c>
      <c r="CE170" s="59">
        <f t="shared" si="148"/>
        <v>292.57799203101769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18.456952931759009</v>
      </c>
      <c r="CL170" s="21">
        <f>EXP(-LN(2)/25)*CL169+(1-EXP(-LN(2)/25))/(LN(2)/25)*Calculateur!CG170*Calculateur!CI170*VLOOKUP('Données projet'!$B$12,Paramètres!$A$1:$I$89,3,0)*0.475*44/12</f>
        <v>0.25412068421367223</v>
      </c>
      <c r="CM170" s="21">
        <f>EXP(-LN(2)/2)*CM169+(1-EXP(-LN(2)/2))/(LN(2)/2)*CG170*CJ170*VLOOKUP('Données projet'!$B$12,Paramètres!$A$1:$I$89,3,0)*0.475*44/12</f>
        <v>3.3452256994663181E-12</v>
      </c>
      <c r="CN170" s="22">
        <f t="shared" si="172"/>
        <v>18.711073615976026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-7.9580786405131221E-13</v>
      </c>
      <c r="CU170" s="17">
        <f>CT170*VLOOKUP('Données projet'!$B$13,Paramètres!$A$1:$I$89,3,0)*VLOOKUP('Données projet'!$B$13,Paramètres!$A$1:$I$89,5,0)</f>
        <v>-7.2004695539362725E-13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528.15559695545812</v>
      </c>
      <c r="CZ170" s="59">
        <f t="shared" si="150"/>
        <v>276.26988364830532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141.06303975755938</v>
      </c>
      <c r="DG170" s="21">
        <f>EXP(-LN(2)/25)*DG169+(1-EXP(-LN(2)/25))/(LN(2)/25)*Calculateur!DB170*Calculateur!DD170*VLOOKUP('Données projet'!$B$13,Paramètres!$A$1:$I$89,3,0)*0.475*44/12</f>
        <v>21.482191589709718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162.54523134726909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-7.9580786405131221E-13</v>
      </c>
      <c r="DP170" s="17">
        <f>DO170*VLOOKUP('Données projet'!$B$14,Paramètres!$A$1:$I$89,3,0)*VLOOKUP('Données projet'!$B$14,Paramètres!$A$1:$I$89,5,0)</f>
        <v>-8.0694917414803056E-13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586.50020405958992</v>
      </c>
      <c r="DU170" s="59">
        <f t="shared" si="152"/>
        <v>304.44184537595294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158.08788938347183</v>
      </c>
      <c r="EB170" s="21">
        <f>EXP(-LN(2)/25)*EB169+(1-EXP(-LN(2)/25))/(LN(2)/25)*Calculateur!DW170*Calculateur!DY170*VLOOKUP('Données projet'!$B$14,Paramètres!$A$1:$I$89,3,0)*0.475*44/12</f>
        <v>24.074869885019517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182.16275926849136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-1.7053025658242404E-13</v>
      </c>
      <c r="EK170" s="17">
        <f>EJ170*VLOOKUP('Données projet'!$B$15,Paramètres!$A$1:$I$89,3,0)*VLOOKUP('Données projet'!$B$15,Paramètres!$A$1:$I$89,5,0)</f>
        <v>-1.6493686416652052E-13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355.72173590705142</v>
      </c>
      <c r="EP170" s="59">
        <f t="shared" si="154"/>
        <v>346.30980704469363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18.204305037391599</v>
      </c>
      <c r="EW170" s="21">
        <f>EXP(-LN(2)/25)*EW169+(1-EXP(-LN(2)/25))/(LN(2)/25)*Calculateur!ER170*Calculateur!ET170*VLOOKUP('Données projet'!$B$15,Paramètres!$A$1:$I$89,3,0)*0.475*44/12</f>
        <v>0.25064215468503548</v>
      </c>
      <c r="EX170" s="21">
        <f>EXP(-LN(2)/2)*EX169+(1-EXP(-LN(2)/2))/(LN(2)/2)*ER170*EU170*VLOOKUP('Données projet'!$B$15,Paramètres!$A$1:$I$89,3,0)*0.475*44/12</f>
        <v>4.0667449679786585E-12</v>
      </c>
      <c r="EY170" s="22">
        <f t="shared" si="181"/>
        <v>18.454947192080702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-1.383341441396624E-13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304.26232113495314</v>
      </c>
      <c r="FK170" s="59">
        <f t="shared" si="156"/>
        <v>297.47246687305056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18.818853969636656</v>
      </c>
      <c r="FR170" s="21">
        <f>EXP(-LN(2)/25)*FR169+(1-EXP(-LN(2)/25))/(LN(2)/25)*Calculateur!FM170*Calculateur!FO170*VLOOKUP('Données projet'!$B$16,Paramètres!$A$1:$I$89,3,0)*0.475*44/12</f>
        <v>0.259103442727666</v>
      </c>
      <c r="FS170" s="21">
        <f>EXP(-LN(2)/2)*FS169+(1-EXP(-LN(2)/2))/(LN(2)/2)*FM170*FP170*VLOOKUP('Données projet'!$B$16,Paramètres!$A$1:$I$89,3,0)*0.475*44/12</f>
        <v>3.410818360240177E-12</v>
      </c>
      <c r="FT170" s="22">
        <f t="shared" si="184"/>
        <v>19.077957412367734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-1.4897523215040567E-13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381.72225529388083</v>
      </c>
      <c r="T171" s="59">
        <f t="shared" si="142"/>
        <v>360.05900046417361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31.075533281155522</v>
      </c>
      <c r="AA171" s="21">
        <f>EXP(-LN(2)/25)*AA170+(1-EXP(-LN(2)/25))/(LN(2)/25)*Calculateur!V171*Calculateur!X171*VLOOKUP('Données projet'!$B$9,Paramètres!$A$1:$I$89,3,0)*0.475*44/12</f>
        <v>2.9044708312340166</v>
      </c>
      <c r="AB171" s="21">
        <f>EXP(-LN(2)/2)*AB170+(1-EXP(-LN(2)/2))/(LN(2)/2)*V171*Y171*VLOOKUP('Données projet'!$B$9,Paramètres!$A$1:$I$89,3,0)*0.475*44/12</f>
        <v>2.6752825828237677E-21</v>
      </c>
      <c r="AC171" s="22">
        <f t="shared" si="163"/>
        <v>33.980004112389537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-4.1677594708744434E-14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464.3681853739115</v>
      </c>
      <c r="AO171" s="59">
        <f t="shared" si="144"/>
        <v>272.97841038165217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49.681240114735054</v>
      </c>
      <c r="AV171" s="21">
        <f>EXP(-LN(2)/25)*AV170+(1-EXP(-LN(2)/25))/(LN(2)/25)*Calculateur!AQ171*Calculateur!AS171*VLOOKUP('Données projet'!$B$10,Paramètres!$A$1:$I$89,3,0)*0.475*44/12</f>
        <v>8.9072356537686481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58.588475768503699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-1.3567387213697657E-13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299.10536994156814</v>
      </c>
      <c r="BJ171" s="59">
        <f t="shared" si="146"/>
        <v>292.57799203101769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18.095023342396903</v>
      </c>
      <c r="BQ171" s="21">
        <f>EXP(-LN(2)/25)*BQ170+(1-EXP(-LN(2)/25))/(LN(2)/25)*Calculateur!BL171*Calculateur!BN171*VLOOKUP('Données projet'!$B$11,Paramètres!$A$1:$I$89,3,0)*0.475*44/12</f>
        <v>0.24717174074022338</v>
      </c>
      <c r="BR171" s="21">
        <f>EXP(-LN(2)/2)*BR170+(1-EXP(-LN(2)/2))/(LN(2)/2)*BL171*BO171*VLOOKUP('Données projet'!$B$11,Paramètres!$A$1:$I$89,3,0)*0.475*44/12</f>
        <v>2.3654317766921451E-12</v>
      </c>
      <c r="BS171" s="22">
        <f t="shared" si="169"/>
        <v>18.342195083139494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-1.7053025658242404E-13</v>
      </c>
      <c r="BZ171" s="13">
        <f>BY171*VLOOKUP('Données projet'!$B$12,Paramètres!$A$1:$I$89,3,0)*VLOOKUP('Données projet'!$B$12,Paramètres!$A$1:$I$89,5,0)</f>
        <v>-1.3567387213697657E-13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299.10536994156814</v>
      </c>
      <c r="CE171" s="59">
        <f t="shared" si="148"/>
        <v>292.57799203101769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18.095023342396903</v>
      </c>
      <c r="CL171" s="21">
        <f>EXP(-LN(2)/25)*CL170+(1-EXP(-LN(2)/25))/(LN(2)/25)*Calculateur!CG171*Calculateur!CI171*VLOOKUP('Données projet'!$B$12,Paramètres!$A$1:$I$89,3,0)*0.475*44/12</f>
        <v>0.24717174074022338</v>
      </c>
      <c r="CM171" s="21">
        <f>EXP(-LN(2)/2)*CM170+(1-EXP(-LN(2)/2))/(LN(2)/2)*CG171*CJ171*VLOOKUP('Données projet'!$B$12,Paramètres!$A$1:$I$89,3,0)*0.475*44/12</f>
        <v>2.3654317766921451E-12</v>
      </c>
      <c r="CN171" s="22">
        <f t="shared" si="172"/>
        <v>18.342195083139494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-7.9580786405131221E-13</v>
      </c>
      <c r="CU171" s="17">
        <f>CT171*VLOOKUP('Données projet'!$B$13,Paramètres!$A$1:$I$89,3,0)*VLOOKUP('Données projet'!$B$13,Paramètres!$A$1:$I$89,5,0)</f>
        <v>-7.2004695539362725E-13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528.15559695545812</v>
      </c>
      <c r="CZ171" s="59">
        <f t="shared" si="150"/>
        <v>276.26988364830532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138.29687958787216</v>
      </c>
      <c r="DG171" s="21">
        <f>EXP(-LN(2)/25)*DG170+(1-EXP(-LN(2)/25))/(LN(2)/25)*Calculateur!DB171*Calculateur!DD171*VLOOKUP('Données projet'!$B$13,Paramètres!$A$1:$I$89,3,0)*0.475*44/12</f>
        <v>20.894759930989746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159.1916395188619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-7.9580786405131221E-13</v>
      </c>
      <c r="DP171" s="17">
        <f>DO171*VLOOKUP('Données projet'!$B$14,Paramètres!$A$1:$I$89,3,0)*VLOOKUP('Données projet'!$B$14,Paramètres!$A$1:$I$89,5,0)</f>
        <v>-8.0694917414803056E-13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586.50020405958992</v>
      </c>
      <c r="DU171" s="59">
        <f t="shared" si="152"/>
        <v>304.44184537595294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154.98788229675338</v>
      </c>
      <c r="EB171" s="21">
        <f>EXP(-LN(2)/25)*EB170+(1-EXP(-LN(2)/25))/(LN(2)/25)*Calculateur!DW171*Calculateur!DY171*VLOOKUP('Données projet'!$B$14,Paramètres!$A$1:$I$89,3,0)*0.475*44/12</f>
        <v>23.416541301971275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178.40442359872466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-1.7053025658242404E-13</v>
      </c>
      <c r="EK171" s="17">
        <f>EJ171*VLOOKUP('Données projet'!$B$15,Paramètres!$A$1:$I$89,3,0)*VLOOKUP('Données projet'!$B$15,Paramètres!$A$1:$I$89,5,0)</f>
        <v>-1.6493686416652052E-13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355.72173590705142</v>
      </c>
      <c r="EP171" s="59">
        <f t="shared" si="154"/>
        <v>346.30980704469363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17.847329719138038</v>
      </c>
      <c r="EW171" s="21">
        <f>EXP(-LN(2)/25)*EW170+(1-EXP(-LN(2)/25))/(LN(2)/25)*Calculateur!ER171*Calculateur!ET171*VLOOKUP('Données projet'!$B$15,Paramètres!$A$1:$I$89,3,0)*0.475*44/12</f>
        <v>0.24378833178447512</v>
      </c>
      <c r="EX171" s="21">
        <f>EXP(-LN(2)/2)*EX170+(1-EXP(-LN(2)/2))/(LN(2)/2)*ER171*EU171*VLOOKUP('Données projet'!$B$15,Paramètres!$A$1:$I$89,3,0)*0.475*44/12</f>
        <v>2.8756229442139786E-12</v>
      </c>
      <c r="EY171" s="22">
        <f t="shared" si="181"/>
        <v>18.091118050925388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-1.383341441396624E-13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304.26232113495314</v>
      </c>
      <c r="FK171" s="59">
        <f t="shared" si="156"/>
        <v>297.47246687305056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18.449827721659609</v>
      </c>
      <c r="FR171" s="21">
        <f>EXP(-LN(2)/25)*FR170+(1-EXP(-LN(2)/25))/(LN(2)/25)*Calculateur!FM171*Calculateur!FO171*VLOOKUP('Données projet'!$B$16,Paramètres!$A$1:$I$89,3,0)*0.475*44/12</f>
        <v>0.25201824546062013</v>
      </c>
      <c r="FS171" s="21">
        <f>EXP(-LN(2)/2)*FS170+(1-EXP(-LN(2)/2))/(LN(2)/2)*FM171*FP171*VLOOKUP('Données projet'!$B$16,Paramètres!$A$1:$I$89,3,0)*0.475*44/12</f>
        <v>2.4118127919214096E-12</v>
      </c>
      <c r="FT171" s="22">
        <f t="shared" si="184"/>
        <v>18.70184596712264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-1.4897523215040567E-13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381.72225529388083</v>
      </c>
      <c r="T172" s="59">
        <f t="shared" si="142"/>
        <v>360.05900046417361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30.466161027715792</v>
      </c>
      <c r="AA172" s="21">
        <f>EXP(-LN(2)/25)*AA171+(1-EXP(-LN(2)/25))/(LN(2)/25)*Calculateur!V172*Calculateur!X172*VLOOKUP('Données projet'!$B$9,Paramètres!$A$1:$I$89,3,0)*0.475*44/12</f>
        <v>2.8250479236144397</v>
      </c>
      <c r="AB172" s="21">
        <f>EXP(-LN(2)/2)*AB171+(1-EXP(-LN(2)/2))/(LN(2)/2)*V172*Y172*VLOOKUP('Données projet'!$B$9,Paramètres!$A$1:$I$89,3,0)*0.475*44/12</f>
        <v>1.8917104559049476E-21</v>
      </c>
      <c r="AC172" s="22">
        <f t="shared" si="163"/>
        <v>33.291208951330233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-4.1677594708744434E-14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464.3681853739115</v>
      </c>
      <c r="AO172" s="59">
        <f t="shared" si="144"/>
        <v>272.97841038165217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48.707021298649437</v>
      </c>
      <c r="AV172" s="21">
        <f>EXP(-LN(2)/25)*AV171+(1-EXP(-LN(2)/25))/(LN(2)/25)*Calculateur!AQ172*Calculateur!AS172*VLOOKUP('Données projet'!$B$10,Paramètres!$A$1:$I$89,3,0)*0.475*44/12</f>
        <v>8.6636668264051799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57.370688125054613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-1.3567387213697657E-13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299.10536994156814</v>
      </c>
      <c r="BJ172" s="59">
        <f t="shared" si="146"/>
        <v>292.57799203101769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17.740190971526939</v>
      </c>
      <c r="BQ172" s="21">
        <f>EXP(-LN(2)/25)*BQ171+(1-EXP(-LN(2)/25))/(LN(2)/25)*Calculateur!BL172*Calculateur!BN172*VLOOKUP('Données projet'!$B$11,Paramètres!$A$1:$I$89,3,0)*0.475*44/12</f>
        <v>0.24041281649148505</v>
      </c>
      <c r="BR172" s="21">
        <f>EXP(-LN(2)/2)*BR171+(1-EXP(-LN(2)/2))/(LN(2)/2)*BL172*BO172*VLOOKUP('Données projet'!$B$11,Paramètres!$A$1:$I$89,3,0)*0.475*44/12</f>
        <v>1.672612849733159E-12</v>
      </c>
      <c r="BS172" s="22">
        <f t="shared" si="169"/>
        <v>17.980603788020098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-1.7053025658242404E-13</v>
      </c>
      <c r="BZ172" s="13">
        <f>BY172*VLOOKUP('Données projet'!$B$12,Paramètres!$A$1:$I$89,3,0)*VLOOKUP('Données projet'!$B$12,Paramètres!$A$1:$I$89,5,0)</f>
        <v>-1.3567387213697657E-13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299.10536994156814</v>
      </c>
      <c r="CE172" s="59">
        <f t="shared" si="148"/>
        <v>292.57799203101769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17.740190971526939</v>
      </c>
      <c r="CL172" s="21">
        <f>EXP(-LN(2)/25)*CL171+(1-EXP(-LN(2)/25))/(LN(2)/25)*Calculateur!CG172*Calculateur!CI172*VLOOKUP('Données projet'!$B$12,Paramètres!$A$1:$I$89,3,0)*0.475*44/12</f>
        <v>0.24041281649148505</v>
      </c>
      <c r="CM172" s="21">
        <f>EXP(-LN(2)/2)*CM171+(1-EXP(-LN(2)/2))/(LN(2)/2)*CG172*CJ172*VLOOKUP('Données projet'!$B$12,Paramètres!$A$1:$I$89,3,0)*0.475*44/12</f>
        <v>1.672612849733159E-12</v>
      </c>
      <c r="CN172" s="22">
        <f t="shared" si="172"/>
        <v>17.980603788020098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-7.9580786405131221E-13</v>
      </c>
      <c r="CU172" s="17">
        <f>CT172*VLOOKUP('Données projet'!$B$13,Paramètres!$A$1:$I$89,3,0)*VLOOKUP('Données projet'!$B$13,Paramètres!$A$1:$I$89,5,0)</f>
        <v>-7.2004695539362725E-13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528.15559695545812</v>
      </c>
      <c r="CZ172" s="59">
        <f t="shared" si="150"/>
        <v>276.26988364830532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135.5849621319214</v>
      </c>
      <c r="DG172" s="21">
        <f>EXP(-LN(2)/25)*DG171+(1-EXP(-LN(2)/25))/(LN(2)/25)*Calculateur!DB172*Calculateur!DD172*VLOOKUP('Données projet'!$B$13,Paramètres!$A$1:$I$89,3,0)*0.475*44/12</f>
        <v>20.323391621869163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155.90835375379055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-7.9580786405131221E-13</v>
      </c>
      <c r="DP172" s="17">
        <f>DO172*VLOOKUP('Données projet'!$B$14,Paramètres!$A$1:$I$89,3,0)*VLOOKUP('Données projet'!$B$14,Paramètres!$A$1:$I$89,5,0)</f>
        <v>-8.0694917414803056E-13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586.50020405958992</v>
      </c>
      <c r="DU172" s="59">
        <f t="shared" si="152"/>
        <v>304.44184537595294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151.94866445818786</v>
      </c>
      <c r="EB172" s="21">
        <f>EXP(-LN(2)/25)*EB171+(1-EXP(-LN(2)/25))/(LN(2)/25)*Calculateur!DW172*Calculateur!DY172*VLOOKUP('Données projet'!$B$14,Paramètres!$A$1:$I$89,3,0)*0.475*44/12</f>
        <v>22.776214748646481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174.72487920683434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-1.7053025658242404E-13</v>
      </c>
      <c r="EK172" s="17">
        <f>EJ172*VLOOKUP('Données projet'!$B$15,Paramètres!$A$1:$I$89,3,0)*VLOOKUP('Données projet'!$B$15,Paramètres!$A$1:$I$89,5,0)</f>
        <v>-1.6493686416652052E-13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355.72173590705142</v>
      </c>
      <c r="EP172" s="59">
        <f t="shared" si="154"/>
        <v>346.30980704469363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17.497354469141985</v>
      </c>
      <c r="EW172" s="21">
        <f>EXP(-LN(2)/25)*EW171+(1-EXP(-LN(2)/25))/(LN(2)/25)*Calculateur!ER172*Calculateur!ET172*VLOOKUP('Données projet'!$B$15,Paramètres!$A$1:$I$89,3,0)*0.475*44/12</f>
        <v>0.23712192703155746</v>
      </c>
      <c r="EX172" s="21">
        <f>EXP(-LN(2)/2)*EX171+(1-EXP(-LN(2)/2))/(LN(2)/2)*ER172*EU172*VLOOKUP('Données projet'!$B$15,Paramètres!$A$1:$I$89,3,0)*0.475*44/12</f>
        <v>2.0333724839893292E-12</v>
      </c>
      <c r="EY172" s="22">
        <f t="shared" si="181"/>
        <v>17.734476396175577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-1.383341441396624E-13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304.26232113495314</v>
      </c>
      <c r="FK172" s="59">
        <f t="shared" si="156"/>
        <v>297.47246687305056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18.088037853321605</v>
      </c>
      <c r="FR172" s="21">
        <f>EXP(-LN(2)/25)*FR171+(1-EXP(-LN(2)/25))/(LN(2)/25)*Calculateur!FM172*Calculateur!FO172*VLOOKUP('Données projet'!$B$16,Paramètres!$A$1:$I$89,3,0)*0.475*44/12</f>
        <v>0.24512679328543593</v>
      </c>
      <c r="FS172" s="21">
        <f>EXP(-LN(2)/2)*FS171+(1-EXP(-LN(2)/2))/(LN(2)/2)*FM172*FP172*VLOOKUP('Données projet'!$B$16,Paramètres!$A$1:$I$89,3,0)*0.475*44/12</f>
        <v>1.7054091801200885E-12</v>
      </c>
      <c r="FT172" s="22">
        <f t="shared" si="184"/>
        <v>18.333164646608747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-1.4897523215040567E-13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381.72225529388083</v>
      </c>
      <c r="T173" s="59">
        <f t="shared" si="142"/>
        <v>360.05900046417361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29.86873819248564</v>
      </c>
      <c r="AA173" s="21">
        <f>EXP(-LN(2)/25)*AA172+(1-EXP(-LN(2)/25))/(LN(2)/25)*Calculateur!V173*Calculateur!X173*VLOOKUP('Données projet'!$B$9,Paramètres!$A$1:$I$89,3,0)*0.475*44/12</f>
        <v>2.7477968395803893</v>
      </c>
      <c r="AB173" s="21">
        <f>EXP(-LN(2)/2)*AB172+(1-EXP(-LN(2)/2))/(LN(2)/2)*V173*Y173*VLOOKUP('Données projet'!$B$9,Paramètres!$A$1:$I$89,3,0)*0.475*44/12</f>
        <v>1.3376412914118839E-21</v>
      </c>
      <c r="AC173" s="22">
        <f t="shared" si="163"/>
        <v>32.616535032066032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-4.1677594708744434E-14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464.3681853739115</v>
      </c>
      <c r="AO173" s="59">
        <f t="shared" si="144"/>
        <v>272.97841038165217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47.751906319332456</v>
      </c>
      <c r="AV173" s="21">
        <f>EXP(-LN(2)/25)*AV172+(1-EXP(-LN(2)/25))/(LN(2)/25)*Calculateur!AQ173*Calculateur!AS173*VLOOKUP('Données projet'!$B$10,Paramètres!$A$1:$I$89,3,0)*0.475*44/12</f>
        <v>8.426758401434693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56.178664720767145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-1.3567387213697657E-13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299.10536994156814</v>
      </c>
      <c r="BJ173" s="59">
        <f t="shared" si="146"/>
        <v>292.57799203101769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17.392316647023357</v>
      </c>
      <c r="BQ173" s="21">
        <f>EXP(-LN(2)/25)*BQ172+(1-EXP(-LN(2)/25))/(LN(2)/25)*Calculateur!BL173*Calculateur!BN173*VLOOKUP('Données projet'!$B$11,Paramètres!$A$1:$I$89,3,0)*0.475*44/12</f>
        <v>0.23383871538176484</v>
      </c>
      <c r="BR173" s="21">
        <f>EXP(-LN(2)/2)*BR172+(1-EXP(-LN(2)/2))/(LN(2)/2)*BL173*BO173*VLOOKUP('Données projet'!$B$11,Paramètres!$A$1:$I$89,3,0)*0.475*44/12</f>
        <v>1.1827158883460726E-12</v>
      </c>
      <c r="BS173" s="22">
        <f t="shared" si="169"/>
        <v>17.626155362406305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-1.7053025658242404E-13</v>
      </c>
      <c r="BZ173" s="13">
        <f>BY173*VLOOKUP('Données projet'!$B$12,Paramètres!$A$1:$I$89,3,0)*VLOOKUP('Données projet'!$B$12,Paramètres!$A$1:$I$89,5,0)</f>
        <v>-1.3567387213697657E-13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299.10536994156814</v>
      </c>
      <c r="CE173" s="59">
        <f t="shared" si="148"/>
        <v>292.57799203101769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17.392316647023357</v>
      </c>
      <c r="CL173" s="21">
        <f>EXP(-LN(2)/25)*CL172+(1-EXP(-LN(2)/25))/(LN(2)/25)*Calculateur!CG173*Calculateur!CI173*VLOOKUP('Données projet'!$B$12,Paramètres!$A$1:$I$89,3,0)*0.475*44/12</f>
        <v>0.23383871538176484</v>
      </c>
      <c r="CM173" s="21">
        <f>EXP(-LN(2)/2)*CM172+(1-EXP(-LN(2)/2))/(LN(2)/2)*CG173*CJ173*VLOOKUP('Données projet'!$B$12,Paramètres!$A$1:$I$89,3,0)*0.475*44/12</f>
        <v>1.1827158883460726E-12</v>
      </c>
      <c r="CN173" s="22">
        <f t="shared" si="172"/>
        <v>17.626155362406305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-7.9580786405131221E-13</v>
      </c>
      <c r="CU173" s="17">
        <f>CT173*VLOOKUP('Données projet'!$B$13,Paramètres!$A$1:$I$89,3,0)*VLOOKUP('Données projet'!$B$13,Paramètres!$A$1:$I$89,5,0)</f>
        <v>-7.2004695539362725E-13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528.15559695545812</v>
      </c>
      <c r="CZ173" s="59">
        <f t="shared" si="150"/>
        <v>276.26988364830532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132.9262237231755</v>
      </c>
      <c r="DG173" s="21">
        <f>EXP(-LN(2)/25)*DG172+(1-EXP(-LN(2)/25))/(LN(2)/25)*Calculateur!DB173*Calculateur!DD173*VLOOKUP('Données projet'!$B$13,Paramètres!$A$1:$I$89,3,0)*0.475*44/12</f>
        <v>19.767647409208436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152.69387113238395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-7.9580786405131221E-13</v>
      </c>
      <c r="DP173" s="17">
        <f>DO173*VLOOKUP('Données projet'!$B$14,Paramètres!$A$1:$I$89,3,0)*VLOOKUP('Données projet'!$B$14,Paramètres!$A$1:$I$89,5,0)</f>
        <v>-8.0694917414803056E-13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586.50020405958992</v>
      </c>
      <c r="DU173" s="59">
        <f t="shared" si="152"/>
        <v>304.44184537595294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148.96904382769677</v>
      </c>
      <c r="EB173" s="21">
        <f>EXP(-LN(2)/25)*EB172+(1-EXP(-LN(2)/25))/(LN(2)/25)*Calculateur!DW173*Calculateur!DY173*VLOOKUP('Données projet'!$B$14,Paramètres!$A$1:$I$89,3,0)*0.475*44/12</f>
        <v>22.153397958595665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171.12244178629243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-1.7053025658242404E-13</v>
      </c>
      <c r="EK173" s="17">
        <f>EJ173*VLOOKUP('Données projet'!$B$15,Paramètres!$A$1:$I$89,3,0)*VLOOKUP('Données projet'!$B$15,Paramètres!$A$1:$I$89,5,0)</f>
        <v>-1.6493686416652052E-13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355.72173590705142</v>
      </c>
      <c r="EP173" s="59">
        <f t="shared" si="154"/>
        <v>346.30980704469363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17.154242020334532</v>
      </c>
      <c r="EW173" s="21">
        <f>EXP(-LN(2)/25)*EW172+(1-EXP(-LN(2)/25))/(LN(2)/25)*Calculateur!ER173*Calculateur!ET173*VLOOKUP('Données projet'!$B$15,Paramètres!$A$1:$I$89,3,0)*0.475*44/12</f>
        <v>0.23063781546717932</v>
      </c>
      <c r="EX173" s="21">
        <f>EXP(-LN(2)/2)*EX172+(1-EXP(-LN(2)/2))/(LN(2)/2)*ER173*EU173*VLOOKUP('Données projet'!$B$15,Paramètres!$A$1:$I$89,3,0)*0.475*44/12</f>
        <v>1.4378114721069893E-12</v>
      </c>
      <c r="EY173" s="22">
        <f t="shared" si="181"/>
        <v>17.384879835803151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-1.383341441396624E-13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304.26232113495314</v>
      </c>
      <c r="FK173" s="59">
        <f t="shared" si="156"/>
        <v>297.47246687305056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17.733342463631679</v>
      </c>
      <c r="FR173" s="21">
        <f>EXP(-LN(2)/25)*FR172+(1-EXP(-LN(2)/25))/(LN(2)/25)*Calculateur!FM173*Calculateur!FO173*VLOOKUP('Données projet'!$B$16,Paramètres!$A$1:$I$89,3,0)*0.475*44/12</f>
        <v>0.23842378823238788</v>
      </c>
      <c r="FS173" s="21">
        <f>EXP(-LN(2)/2)*FS172+(1-EXP(-LN(2)/2))/(LN(2)/2)*FM173*FP173*VLOOKUP('Données projet'!$B$16,Paramètres!$A$1:$I$89,3,0)*0.475*44/12</f>
        <v>1.2059063959607048E-12</v>
      </c>
      <c r="FT173" s="22">
        <f t="shared" si="184"/>
        <v>17.971766251865272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-1.4897523215040567E-13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381.72225529388083</v>
      </c>
      <c r="T174" s="59">
        <f t="shared" si="142"/>
        <v>360.05900046417361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29.283030454662402</v>
      </c>
      <c r="AA174" s="21">
        <f>EXP(-LN(2)/25)*AA173+(1-EXP(-LN(2)/25))/(LN(2)/25)*Calculateur!V174*Calculateur!X174*VLOOKUP('Données projet'!$B$9,Paramètres!$A$1:$I$89,3,0)*0.475*44/12</f>
        <v>2.6726581905017079</v>
      </c>
      <c r="AB174" s="21">
        <f>EXP(-LN(2)/2)*AB173+(1-EXP(-LN(2)/2))/(LN(2)/2)*V174*Y174*VLOOKUP('Données projet'!$B$9,Paramètres!$A$1:$I$89,3,0)*0.475*44/12</f>
        <v>9.4585522795247381E-22</v>
      </c>
      <c r="AC174" s="22">
        <f t="shared" si="163"/>
        <v>31.955688645164109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-4.1677594708744434E-14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464.3681853739115</v>
      </c>
      <c r="AO174" s="59">
        <f t="shared" si="144"/>
        <v>272.97841038165217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46.815520562197271</v>
      </c>
      <c r="AV174" s="21">
        <f>EXP(-LN(2)/25)*AV173+(1-EXP(-LN(2)/25))/(LN(2)/25)*Calculateur!AQ174*Calculateur!AS174*VLOOKUP('Données projet'!$B$10,Paramètres!$A$1:$I$89,3,0)*0.475*44/12</f>
        <v>8.1963282498034964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55.011848812000764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-1.3567387213697657E-13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299.10536994156814</v>
      </c>
      <c r="BJ174" s="59">
        <f t="shared" si="146"/>
        <v>292.57799203101769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17.051263925840903</v>
      </c>
      <c r="BQ174" s="21">
        <f>EXP(-LN(2)/25)*BQ173+(1-EXP(-LN(2)/25))/(LN(2)/25)*Calculateur!BL174*Calculateur!BN174*VLOOKUP('Données projet'!$B$11,Paramètres!$A$1:$I$89,3,0)*0.475*44/12</f>
        <v>0.22744438341260689</v>
      </c>
      <c r="BR174" s="21">
        <f>EXP(-LN(2)/2)*BR173+(1-EXP(-LN(2)/2))/(LN(2)/2)*BL174*BO174*VLOOKUP('Données projet'!$B$11,Paramètres!$A$1:$I$89,3,0)*0.475*44/12</f>
        <v>8.3630642486657952E-13</v>
      </c>
      <c r="BS174" s="22">
        <f t="shared" si="169"/>
        <v>17.278708309254345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-1.7053025658242404E-13</v>
      </c>
      <c r="BZ174" s="13">
        <f>BY174*VLOOKUP('Données projet'!$B$12,Paramètres!$A$1:$I$89,3,0)*VLOOKUP('Données projet'!$B$12,Paramètres!$A$1:$I$89,5,0)</f>
        <v>-1.3567387213697657E-13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299.10536994156814</v>
      </c>
      <c r="CE174" s="59">
        <f t="shared" si="148"/>
        <v>292.57799203101769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17.051263925840903</v>
      </c>
      <c r="CL174" s="21">
        <f>EXP(-LN(2)/25)*CL173+(1-EXP(-LN(2)/25))/(LN(2)/25)*Calculateur!CG174*Calculateur!CI174*VLOOKUP('Données projet'!$B$12,Paramètres!$A$1:$I$89,3,0)*0.475*44/12</f>
        <v>0.22744438341260689</v>
      </c>
      <c r="CM174" s="21">
        <f>EXP(-LN(2)/2)*CM173+(1-EXP(-LN(2)/2))/(LN(2)/2)*CG174*CJ174*VLOOKUP('Données projet'!$B$12,Paramètres!$A$1:$I$89,3,0)*0.475*44/12</f>
        <v>8.3630642486657952E-13</v>
      </c>
      <c r="CN174" s="22">
        <f t="shared" si="172"/>
        <v>17.278708309254345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-7.9580786405131221E-13</v>
      </c>
      <c r="CU174" s="17">
        <f>CT174*VLOOKUP('Données projet'!$B$13,Paramètres!$A$1:$I$89,3,0)*VLOOKUP('Données projet'!$B$13,Paramètres!$A$1:$I$89,5,0)</f>
        <v>-7.2004695539362725E-13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528.15559695545812</v>
      </c>
      <c r="CZ174" s="59">
        <f t="shared" si="150"/>
        <v>276.26988364830532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130.3196215529548</v>
      </c>
      <c r="DG174" s="21">
        <f>EXP(-LN(2)/25)*DG173+(1-EXP(-LN(2)/25))/(LN(2)/25)*Calculateur!DB174*Calculateur!DD174*VLOOKUP('Données projet'!$B$13,Paramètres!$A$1:$I$89,3,0)*0.475*44/12</f>
        <v>19.227100051268234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149.54672160422302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-7.9580786405131221E-13</v>
      </c>
      <c r="DP174" s="17">
        <f>DO174*VLOOKUP('Données projet'!$B$14,Paramètres!$A$1:$I$89,3,0)*VLOOKUP('Données projet'!$B$14,Paramètres!$A$1:$I$89,5,0)</f>
        <v>-8.0694917414803056E-13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586.50020405958992</v>
      </c>
      <c r="DU174" s="59">
        <f t="shared" si="152"/>
        <v>304.44184537595294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146.04785174038048</v>
      </c>
      <c r="EB174" s="21">
        <f>EXP(-LN(2)/25)*EB173+(1-EXP(-LN(2)/25))/(LN(2)/25)*Calculateur!DW174*Calculateur!DY174*VLOOKUP('Données projet'!$B$14,Paramètres!$A$1:$I$89,3,0)*0.475*44/12</f>
        <v>21.547612126421299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167.59546386680177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-1.7053025658242404E-13</v>
      </c>
      <c r="EK174" s="17">
        <f>EJ174*VLOOKUP('Données projet'!$B$15,Paramètres!$A$1:$I$89,3,0)*VLOOKUP('Données projet'!$B$15,Paramètres!$A$1:$I$89,5,0)</f>
        <v>-1.6493686416652052E-13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355.72173590705142</v>
      </c>
      <c r="EP174" s="59">
        <f t="shared" si="154"/>
        <v>346.30980704469363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16.817857797370262</v>
      </c>
      <c r="EW174" s="21">
        <f>EXP(-LN(2)/25)*EW173+(1-EXP(-LN(2)/25))/(LN(2)/25)*Calculateur!ER174*Calculateur!ET174*VLOOKUP('Données projet'!$B$15,Paramètres!$A$1:$I$89,3,0)*0.475*44/12</f>
        <v>0.22433101227451371</v>
      </c>
      <c r="EX174" s="21">
        <f>EXP(-LN(2)/2)*EX173+(1-EXP(-LN(2)/2))/(LN(2)/2)*ER174*EU174*VLOOKUP('Données projet'!$B$15,Paramètres!$A$1:$I$89,3,0)*0.475*44/12</f>
        <v>1.0166862419946646E-12</v>
      </c>
      <c r="EY174" s="22">
        <f t="shared" si="181"/>
        <v>17.042188809645793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-1.383341441396624E-13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304.26232113495314</v>
      </c>
      <c r="FK174" s="59">
        <f t="shared" si="156"/>
        <v>297.47246687305056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17.385602434190748</v>
      </c>
      <c r="FR174" s="21">
        <f>EXP(-LN(2)/25)*FR173+(1-EXP(-LN(2)/25))/(LN(2)/25)*Calculateur!FM174*Calculateur!FO174*VLOOKUP('Données projet'!$B$16,Paramètres!$A$1:$I$89,3,0)*0.475*44/12</f>
        <v>0.23190407720501113</v>
      </c>
      <c r="FS174" s="21">
        <f>EXP(-LN(2)/2)*FS173+(1-EXP(-LN(2)/2))/(LN(2)/2)*FM174*FP174*VLOOKUP('Données projet'!$B$16,Paramètres!$A$1:$I$89,3,0)*0.475*44/12</f>
        <v>8.5270459006004424E-13</v>
      </c>
      <c r="FT174" s="22">
        <f t="shared" si="184"/>
        <v>17.617506511396613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-1.4897523215040567E-13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381.72225529388083</v>
      </c>
      <c r="T175" s="59">
        <f t="shared" si="142"/>
        <v>360.05900046417361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28.708808088331434</v>
      </c>
      <c r="AA175" s="21">
        <f>EXP(-LN(2)/25)*AA174+(1-EXP(-LN(2)/25))/(LN(2)/25)*Calculateur!V175*Calculateur!X175*VLOOKUP('Données projet'!$B$9,Paramètres!$A$1:$I$89,3,0)*0.475*44/12</f>
        <v>2.599574211733453</v>
      </c>
      <c r="AB175" s="21">
        <f>EXP(-LN(2)/2)*AB174+(1-EXP(-LN(2)/2))/(LN(2)/2)*V175*Y175*VLOOKUP('Données projet'!$B$9,Paramètres!$A$1:$I$89,3,0)*0.475*44/12</f>
        <v>6.6882064570594194E-22</v>
      </c>
      <c r="AC175" s="22">
        <f t="shared" si="163"/>
        <v>31.308382300064888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-4.1677594708744434E-14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464.3681853739115</v>
      </c>
      <c r="AO175" s="59">
        <f t="shared" si="144"/>
        <v>272.97841038165217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45.897496758620591</v>
      </c>
      <c r="AV175" s="21">
        <f>EXP(-LN(2)/25)*AV174+(1-EXP(-LN(2)/25))/(LN(2)/25)*Calculateur!AQ175*Calculateur!AS175*VLOOKUP('Données projet'!$B$10,Paramètres!$A$1:$I$89,3,0)*0.475*44/12</f>
        <v>7.9721992227864504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53.869695981407041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-1.3567387213697657E-13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299.10536994156814</v>
      </c>
      <c r="BJ175" s="59">
        <f t="shared" si="146"/>
        <v>292.57799203101769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16.716899040499218</v>
      </c>
      <c r="BQ175" s="21">
        <f>EXP(-LN(2)/25)*BQ174+(1-EXP(-LN(2)/25))/(LN(2)/25)*Calculateur!BL175*Calculateur!BN175*VLOOKUP('Données projet'!$B$11,Paramètres!$A$1:$I$89,3,0)*0.475*44/12</f>
        <v>0.22122490478740886</v>
      </c>
      <c r="BR175" s="21">
        <f>EXP(-LN(2)/2)*BR174+(1-EXP(-LN(2)/2))/(LN(2)/2)*BL175*BO175*VLOOKUP('Données projet'!$B$11,Paramètres!$A$1:$I$89,3,0)*0.475*44/12</f>
        <v>5.9135794417303628E-13</v>
      </c>
      <c r="BS175" s="22">
        <f t="shared" si="169"/>
        <v>16.938123945287217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-1.7053025658242404E-13</v>
      </c>
      <c r="BZ175" s="13">
        <f>BY175*VLOOKUP('Données projet'!$B$12,Paramètres!$A$1:$I$89,3,0)*VLOOKUP('Données projet'!$B$12,Paramètres!$A$1:$I$89,5,0)</f>
        <v>-1.3567387213697657E-13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299.10536994156814</v>
      </c>
      <c r="CE175" s="59">
        <f t="shared" si="148"/>
        <v>292.57799203101769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16.716899040499218</v>
      </c>
      <c r="CL175" s="21">
        <f>EXP(-LN(2)/25)*CL174+(1-EXP(-LN(2)/25))/(LN(2)/25)*Calculateur!CG175*Calculateur!CI175*VLOOKUP('Données projet'!$B$12,Paramètres!$A$1:$I$89,3,0)*0.475*44/12</f>
        <v>0.22122490478740886</v>
      </c>
      <c r="CM175" s="21">
        <f>EXP(-LN(2)/2)*CM174+(1-EXP(-LN(2)/2))/(LN(2)/2)*CG175*CJ175*VLOOKUP('Données projet'!$B$12,Paramètres!$A$1:$I$89,3,0)*0.475*44/12</f>
        <v>5.9135794417303628E-13</v>
      </c>
      <c r="CN175" s="22">
        <f t="shared" si="172"/>
        <v>16.938123945287217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-7.9580786405131221E-13</v>
      </c>
      <c r="CU175" s="17">
        <f>CT175*VLOOKUP('Données projet'!$B$13,Paramètres!$A$1:$I$89,3,0)*VLOOKUP('Données projet'!$B$13,Paramètres!$A$1:$I$89,5,0)</f>
        <v>-7.2004695539362725E-13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528.15559695545812</v>
      </c>
      <c r="CZ175" s="59">
        <f t="shared" si="150"/>
        <v>276.26988364830532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127.7641332614218</v>
      </c>
      <c r="DG175" s="21">
        <f>EXP(-LN(2)/25)*DG174+(1-EXP(-LN(2)/25))/(LN(2)/25)*Calculateur!DB175*Calculateur!DD175*VLOOKUP('Données projet'!$B$13,Paramètres!$A$1:$I$89,3,0)*0.475*44/12</f>
        <v>18.701333989257058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146.46546725067887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-7.9580786405131221E-13</v>
      </c>
      <c r="DP175" s="17">
        <f>DO175*VLOOKUP('Données projet'!$B$14,Paramètres!$A$1:$I$89,3,0)*VLOOKUP('Données projet'!$B$14,Paramètres!$A$1:$I$89,5,0)</f>
        <v>-8.0694917414803056E-13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586.50020405958992</v>
      </c>
      <c r="DU175" s="59">
        <f t="shared" si="152"/>
        <v>304.44184537595294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143.18394244814522</v>
      </c>
      <c r="EB175" s="21">
        <f>EXP(-LN(2)/25)*EB174+(1-EXP(-LN(2)/25))/(LN(2)/25)*Calculateur!DW175*Calculateur!DY175*VLOOKUP('Données projet'!$B$14,Paramètres!$A$1:$I$89,3,0)*0.475*44/12</f>
        <v>20.958391539684634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164.14233398782986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-1.7053025658242404E-13</v>
      </c>
      <c r="EK175" s="17">
        <f>EJ175*VLOOKUP('Données projet'!$B$15,Paramètres!$A$1:$I$89,3,0)*VLOOKUP('Données projet'!$B$15,Paramètres!$A$1:$I$89,5,0)</f>
        <v>-1.6493686416652052E-13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355.72173590705142</v>
      </c>
      <c r="EP175" s="59">
        <f t="shared" si="154"/>
        <v>346.30980704469363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16.488069863844206</v>
      </c>
      <c r="EW175" s="21">
        <f>EXP(-LN(2)/25)*EW174+(1-EXP(-LN(2)/25))/(LN(2)/25)*Calculateur!ER175*Calculateur!ET175*VLOOKUP('Données projet'!$B$15,Paramètres!$A$1:$I$89,3,0)*0.475*44/12</f>
        <v>0.21819666894681192</v>
      </c>
      <c r="EX175" s="21">
        <f>EXP(-LN(2)/2)*EX174+(1-EXP(-LN(2)/2))/(LN(2)/2)*ER175*EU175*VLOOKUP('Données projet'!$B$15,Paramètres!$A$1:$I$89,3,0)*0.475*44/12</f>
        <v>7.1890573605349464E-13</v>
      </c>
      <c r="EY175" s="22">
        <f t="shared" si="181"/>
        <v>16.706266532791737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-1.383341441396624E-13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304.26232113495314</v>
      </c>
      <c r="FK175" s="59">
        <f t="shared" si="156"/>
        <v>297.47246687305056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17.044681374626677</v>
      </c>
      <c r="FR175" s="21">
        <f>EXP(-LN(2)/25)*FR174+(1-EXP(-LN(2)/25))/(LN(2)/25)*Calculateur!FM175*Calculateur!FO175*VLOOKUP('Données projet'!$B$16,Paramètres!$A$1:$I$89,3,0)*0.475*44/12</f>
        <v>0.22556264801853471</v>
      </c>
      <c r="FS175" s="21">
        <f>EXP(-LN(2)/2)*FS174+(1-EXP(-LN(2)/2))/(LN(2)/2)*FM175*FP175*VLOOKUP('Données projet'!$B$16,Paramètres!$A$1:$I$89,3,0)*0.475*44/12</f>
        <v>6.029531979803524E-13</v>
      </c>
      <c r="FT175" s="22">
        <f t="shared" si="184"/>
        <v>17.270244022645816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-1.4897523215040567E-13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381.72225529388083</v>
      </c>
      <c r="T176" s="59">
        <f t="shared" si="142"/>
        <v>360.05900046417361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28.145845872363157</v>
      </c>
      <c r="AA176" s="21">
        <f>EXP(-LN(2)/25)*AA175+(1-EXP(-LN(2)/25))/(LN(2)/25)*Calculateur!V176*Calculateur!X176*VLOOKUP('Données projet'!$B$9,Paramètres!$A$1:$I$89,3,0)*0.475*44/12</f>
        <v>2.5284887182079352</v>
      </c>
      <c r="AB176" s="21">
        <f>EXP(-LN(2)/2)*AB175+(1-EXP(-LN(2)/2))/(LN(2)/2)*V176*Y176*VLOOKUP('Données projet'!$B$9,Paramètres!$A$1:$I$89,3,0)*0.475*44/12</f>
        <v>4.7292761397623691E-22</v>
      </c>
      <c r="AC176" s="22">
        <f t="shared" si="163"/>
        <v>30.674334590571092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-4.1677594708744434E-14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464.3681853739115</v>
      </c>
      <c r="AO176" s="59">
        <f t="shared" si="144"/>
        <v>272.97841038165217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44.997474841892817</v>
      </c>
      <c r="AV176" s="21">
        <f>EXP(-LN(2)/25)*AV175+(1-EXP(-LN(2)/25))/(LN(2)/25)*Calculateur!AQ176*Calculateur!AS176*VLOOKUP('Données projet'!$B$10,Paramètres!$A$1:$I$89,3,0)*0.475*44/12</f>
        <v>7.7541990157996183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52.751673857692438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-1.3567387213697657E-13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299.10536994156814</v>
      </c>
      <c r="BJ176" s="59">
        <f t="shared" si="146"/>
        <v>292.57799203101769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16.389090846616643</v>
      </c>
      <c r="BQ176" s="21">
        <f>EXP(-LN(2)/25)*BQ175+(1-EXP(-LN(2)/25))/(LN(2)/25)*Calculateur!BL176*Calculateur!BN176*VLOOKUP('Données projet'!$B$11,Paramètres!$A$1:$I$89,3,0)*0.475*44/12</f>
        <v>0.21517549813228504</v>
      </c>
      <c r="BR176" s="21">
        <f>EXP(-LN(2)/2)*BR175+(1-EXP(-LN(2)/2))/(LN(2)/2)*BL176*BO176*VLOOKUP('Données projet'!$B$11,Paramètres!$A$1:$I$89,3,0)*0.475*44/12</f>
        <v>4.1815321243328976E-13</v>
      </c>
      <c r="BS176" s="22">
        <f t="shared" si="169"/>
        <v>16.604266344749348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-1.7053025658242404E-13</v>
      </c>
      <c r="BZ176" s="13">
        <f>BY176*VLOOKUP('Données projet'!$B$12,Paramètres!$A$1:$I$89,3,0)*VLOOKUP('Données projet'!$B$12,Paramètres!$A$1:$I$89,5,0)</f>
        <v>-1.3567387213697657E-13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299.10536994156814</v>
      </c>
      <c r="CE176" s="59">
        <f t="shared" si="148"/>
        <v>292.57799203101769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16.389090846616643</v>
      </c>
      <c r="CL176" s="21">
        <f>EXP(-LN(2)/25)*CL175+(1-EXP(-LN(2)/25))/(LN(2)/25)*Calculateur!CG176*Calculateur!CI176*VLOOKUP('Données projet'!$B$12,Paramètres!$A$1:$I$89,3,0)*0.475*44/12</f>
        <v>0.21517549813228504</v>
      </c>
      <c r="CM176" s="21">
        <f>EXP(-LN(2)/2)*CM175+(1-EXP(-LN(2)/2))/(LN(2)/2)*CG176*CJ176*VLOOKUP('Données projet'!$B$12,Paramètres!$A$1:$I$89,3,0)*0.475*44/12</f>
        <v>4.1815321243328976E-13</v>
      </c>
      <c r="CN176" s="22">
        <f t="shared" si="172"/>
        <v>16.604266344749348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-7.9580786405131221E-13</v>
      </c>
      <c r="CU176" s="17">
        <f>CT176*VLOOKUP('Données projet'!$B$13,Paramètres!$A$1:$I$89,3,0)*VLOOKUP('Données projet'!$B$13,Paramètres!$A$1:$I$89,5,0)</f>
        <v>-7.2004695539362725E-13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528.15559695545812</v>
      </c>
      <c r="CZ176" s="59">
        <f t="shared" si="150"/>
        <v>276.26988364830532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125.25875653659182</v>
      </c>
      <c r="DG176" s="21">
        <f>EXP(-LN(2)/25)*DG175+(1-EXP(-LN(2)/25))/(LN(2)/25)*Calculateur!DB176*Calculateur!DD176*VLOOKUP('Données projet'!$B$13,Paramètres!$A$1:$I$89,3,0)*0.475*44/12</f>
        <v>18.189945027860411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143.44870156445222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-7.9580786405131221E-13</v>
      </c>
      <c r="DP176" s="17">
        <f>DO176*VLOOKUP('Données projet'!$B$14,Paramètres!$A$1:$I$89,3,0)*VLOOKUP('Données projet'!$B$14,Paramètres!$A$1:$I$89,5,0)</f>
        <v>-8.0694917414803056E-13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586.50020405958992</v>
      </c>
      <c r="DU176" s="59">
        <f t="shared" si="152"/>
        <v>304.44184537595294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140.37619267031852</v>
      </c>
      <c r="EB176" s="21">
        <f>EXP(-LN(2)/25)*EB175+(1-EXP(-LN(2)/25))/(LN(2)/25)*Calculateur!DW176*Calculateur!DY176*VLOOKUP('Données projet'!$B$14,Paramètres!$A$1:$I$89,3,0)*0.475*44/12</f>
        <v>20.385283220878048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160.76147589119657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-1.7053025658242404E-13</v>
      </c>
      <c r="EK176" s="17">
        <f>EJ176*VLOOKUP('Données projet'!$B$15,Paramètres!$A$1:$I$89,3,0)*VLOOKUP('Données projet'!$B$15,Paramètres!$A$1:$I$89,5,0)</f>
        <v>-1.6493686416652052E-13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355.72173590705142</v>
      </c>
      <c r="EP176" s="59">
        <f t="shared" si="154"/>
        <v>346.30980704469363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16.164748870543818</v>
      </c>
      <c r="EW176" s="21">
        <f>EXP(-LN(2)/25)*EW175+(1-EXP(-LN(2)/25))/(LN(2)/25)*Calculateur!ER176*Calculateur!ET176*VLOOKUP('Données projet'!$B$15,Paramètres!$A$1:$I$89,3,0)*0.475*44/12</f>
        <v>0.21223006955999721</v>
      </c>
      <c r="EX176" s="21">
        <f>EXP(-LN(2)/2)*EX175+(1-EXP(-LN(2)/2))/(LN(2)/2)*ER176*EU176*VLOOKUP('Données projet'!$B$15,Paramètres!$A$1:$I$89,3,0)*0.475*44/12</f>
        <v>5.0834312099733231E-13</v>
      </c>
      <c r="EY176" s="22">
        <f t="shared" si="181"/>
        <v>16.376978940104323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-1.383341441396624E-13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304.26232113495314</v>
      </c>
      <c r="FK176" s="59">
        <f t="shared" si="156"/>
        <v>297.47246687305056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16.710445569099345</v>
      </c>
      <c r="FR176" s="21">
        <f>EXP(-LN(2)/25)*FR175+(1-EXP(-LN(2)/25))/(LN(2)/25)*Calculateur!FM176*Calculateur!FO176*VLOOKUP('Données projet'!$B$16,Paramètres!$A$1:$I$89,3,0)*0.475*44/12</f>
        <v>0.21939462554664374</v>
      </c>
      <c r="FS176" s="21">
        <f>EXP(-LN(2)/2)*FS175+(1-EXP(-LN(2)/2))/(LN(2)/2)*FM176*FP176*VLOOKUP('Données projet'!$B$16,Paramètres!$A$1:$I$89,3,0)*0.475*44/12</f>
        <v>4.2635229503002212E-13</v>
      </c>
      <c r="FT176" s="22">
        <f t="shared" si="184"/>
        <v>16.929840194646417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-1.4897523215040567E-13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381.72225529388083</v>
      </c>
      <c r="T177" s="59">
        <f t="shared" si="142"/>
        <v>360.05900046417361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27.59392300207697</v>
      </c>
      <c r="AA177" s="21">
        <f>EXP(-LN(2)/25)*AA176+(1-EXP(-LN(2)/25))/(LN(2)/25)*Calculateur!V177*Calculateur!X177*VLOOKUP('Données projet'!$B$9,Paramètres!$A$1:$I$89,3,0)*0.475*44/12</f>
        <v>2.4593470612410964</v>
      </c>
      <c r="AB177" s="21">
        <f>EXP(-LN(2)/2)*AB176+(1-EXP(-LN(2)/2))/(LN(2)/2)*V177*Y177*VLOOKUP('Données projet'!$B$9,Paramètres!$A$1:$I$89,3,0)*0.475*44/12</f>
        <v>3.3441032285297097E-22</v>
      </c>
      <c r="AC177" s="22">
        <f t="shared" si="163"/>
        <v>30.053270063318067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-4.1677594708744434E-14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464.3681853739115</v>
      </c>
      <c r="AO177" s="59">
        <f t="shared" si="144"/>
        <v>272.97841038165217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44.115101805992907</v>
      </c>
      <c r="AV177" s="21">
        <f>EXP(-LN(2)/25)*AV176+(1-EXP(-LN(2)/25))/(LN(2)/25)*Calculateur!AQ177*Calculateur!AS177*VLOOKUP('Données projet'!$B$10,Paramètres!$A$1:$I$89,3,0)*0.475*44/12</f>
        <v>7.5421600359369743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51.657261841929881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-1.3567387213697657E-13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299.10536994156814</v>
      </c>
      <c r="BJ177" s="59">
        <f t="shared" si="146"/>
        <v>292.57799203101769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16.06771077147285</v>
      </c>
      <c r="BQ177" s="21">
        <f>EXP(-LN(2)/25)*BQ176+(1-EXP(-LN(2)/25))/(LN(2)/25)*Calculateur!BL177*Calculateur!BN177*VLOOKUP('Données projet'!$B$11,Paramètres!$A$1:$I$89,3,0)*0.475*44/12</f>
        <v>0.20929151282027006</v>
      </c>
      <c r="BR177" s="21">
        <f>EXP(-LN(2)/2)*BR176+(1-EXP(-LN(2)/2))/(LN(2)/2)*BL177*BO177*VLOOKUP('Données projet'!$B$11,Paramètres!$A$1:$I$89,3,0)*0.475*44/12</f>
        <v>2.9567897208651814E-13</v>
      </c>
      <c r="BS177" s="22">
        <f t="shared" si="169"/>
        <v>16.277002284293413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-1.7053025658242404E-13</v>
      </c>
      <c r="BZ177" s="13">
        <f>BY177*VLOOKUP('Données projet'!$B$12,Paramètres!$A$1:$I$89,3,0)*VLOOKUP('Données projet'!$B$12,Paramètres!$A$1:$I$89,5,0)</f>
        <v>-1.3567387213697657E-13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299.10536994156814</v>
      </c>
      <c r="CE177" s="59">
        <f t="shared" si="148"/>
        <v>292.57799203101769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16.06771077147285</v>
      </c>
      <c r="CL177" s="21">
        <f>EXP(-LN(2)/25)*CL176+(1-EXP(-LN(2)/25))/(LN(2)/25)*Calculateur!CG177*Calculateur!CI177*VLOOKUP('Données projet'!$B$12,Paramètres!$A$1:$I$89,3,0)*0.475*44/12</f>
        <v>0.20929151282027006</v>
      </c>
      <c r="CM177" s="21">
        <f>EXP(-LN(2)/2)*CM176+(1-EXP(-LN(2)/2))/(LN(2)/2)*CG177*CJ177*VLOOKUP('Données projet'!$B$12,Paramètres!$A$1:$I$89,3,0)*0.475*44/12</f>
        <v>2.9567897208651814E-13</v>
      </c>
      <c r="CN177" s="22">
        <f t="shared" si="172"/>
        <v>16.277002284293413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-7.9580786405131221E-13</v>
      </c>
      <c r="CU177" s="17">
        <f>CT177*VLOOKUP('Données projet'!$B$13,Paramètres!$A$1:$I$89,3,0)*VLOOKUP('Données projet'!$B$13,Paramètres!$A$1:$I$89,5,0)</f>
        <v>-7.2004695539362725E-13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528.15559695545812</v>
      </c>
      <c r="CZ177" s="59">
        <f t="shared" si="150"/>
        <v>276.26988364830532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122.80250872120683</v>
      </c>
      <c r="DG177" s="21">
        <f>EXP(-LN(2)/25)*DG176+(1-EXP(-LN(2)/25))/(LN(2)/25)*Calculateur!DB177*Calculateur!DD177*VLOOKUP('Données projet'!$B$13,Paramètres!$A$1:$I$89,3,0)*0.475*44/12</f>
        <v>17.692540024505931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140.49504874571278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-7.9580786405131221E-13</v>
      </c>
      <c r="DP177" s="17">
        <f>DO177*VLOOKUP('Données projet'!$B$14,Paramètres!$A$1:$I$89,3,0)*VLOOKUP('Données projet'!$B$14,Paramètres!$A$1:$I$89,5,0)</f>
        <v>-8.0694917414803056E-13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586.50020405958992</v>
      </c>
      <c r="DU177" s="59">
        <f t="shared" si="152"/>
        <v>304.44184537595294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137.62350115307672</v>
      </c>
      <c r="EB177" s="21">
        <f>EXP(-LN(2)/25)*EB176+(1-EXP(-LN(2)/25))/(LN(2)/25)*Calculateur!DW177*Calculateur!DY177*VLOOKUP('Données projet'!$B$14,Paramètres!$A$1:$I$89,3,0)*0.475*44/12</f>
        <v>19.827846579187685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157.4513477322644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-1.7053025658242404E-13</v>
      </c>
      <c r="EK177" s="17">
        <f>EJ177*VLOOKUP('Données projet'!$B$15,Paramètres!$A$1:$I$89,3,0)*VLOOKUP('Données projet'!$B$15,Paramètres!$A$1:$I$89,5,0)</f>
        <v>-1.6493686416652052E-13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355.72173590705142</v>
      </c>
      <c r="EP177" s="59">
        <f t="shared" si="154"/>
        <v>346.30980704469363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15.847768004715718</v>
      </c>
      <c r="EW177" s="21">
        <f>EXP(-LN(2)/25)*EW176+(1-EXP(-LN(2)/25))/(LN(2)/25)*Calculateur!ER177*Calculateur!ET177*VLOOKUP('Données projet'!$B$15,Paramètres!$A$1:$I$89,3,0)*0.475*44/12</f>
        <v>0.20642662714718479</v>
      </c>
      <c r="EX177" s="21">
        <f>EXP(-LN(2)/2)*EX176+(1-EXP(-LN(2)/2))/(LN(2)/2)*ER177*EU177*VLOOKUP('Données projet'!$B$15,Paramètres!$A$1:$I$89,3,0)*0.475*44/12</f>
        <v>3.5945286802674732E-13</v>
      </c>
      <c r="EY177" s="22">
        <f t="shared" si="181"/>
        <v>16.054194631863261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-1.383341441396624E-13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304.26232113495314</v>
      </c>
      <c r="FK177" s="59">
        <f t="shared" si="156"/>
        <v>297.47246687305056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16.382763923854693</v>
      </c>
      <c r="FR177" s="21">
        <f>EXP(-LN(2)/25)*FR176+(1-EXP(-LN(2)/25))/(LN(2)/25)*Calculateur!FM177*Calculateur!FO177*VLOOKUP('Données projet'!$B$16,Paramètres!$A$1:$I$89,3,0)*0.475*44/12</f>
        <v>0.21339526797360883</v>
      </c>
      <c r="FS177" s="21">
        <f>EXP(-LN(2)/2)*FS176+(1-EXP(-LN(2)/2))/(LN(2)/2)*FM177*FP177*VLOOKUP('Données projet'!$B$16,Paramètres!$A$1:$I$89,3,0)*0.475*44/12</f>
        <v>3.014765989901762E-13</v>
      </c>
      <c r="FT177" s="22">
        <f t="shared" si="184"/>
        <v>16.596159191828605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-1.4897523215040567E-13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381.72225529388083</v>
      </c>
      <c r="T178" s="59">
        <f t="shared" si="142"/>
        <v>360.05900046417361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27.052823002637385</v>
      </c>
      <c r="AA178" s="21">
        <f>EXP(-LN(2)/25)*AA177+(1-EXP(-LN(2)/25))/(LN(2)/25)*Calculateur!V178*Calculateur!X178*VLOOKUP('Données projet'!$B$9,Paramètres!$A$1:$I$89,3,0)*0.475*44/12</f>
        <v>2.3920960865200174</v>
      </c>
      <c r="AB178" s="21">
        <f>EXP(-LN(2)/2)*AB177+(1-EXP(-LN(2)/2))/(LN(2)/2)*V178*Y178*VLOOKUP('Données projet'!$B$9,Paramètres!$A$1:$I$89,3,0)*0.475*44/12</f>
        <v>2.3646380698811845E-22</v>
      </c>
      <c r="AC178" s="22">
        <f t="shared" si="163"/>
        <v>29.444919089157402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-4.1677594708744434E-14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464.3681853739115</v>
      </c>
      <c r="AO178" s="59">
        <f t="shared" si="144"/>
        <v>272.97841038165217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43.250031567132588</v>
      </c>
      <c r="AV178" s="21">
        <f>EXP(-LN(2)/25)*AV177+(1-EXP(-LN(2)/25))/(LN(2)/25)*Calculateur!AQ178*Calculateur!AS178*VLOOKUP('Données projet'!$B$10,Paramètres!$A$1:$I$89,3,0)*0.475*44/12</f>
        <v>7.3359192731293197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50.585950840261908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-1.3567387213697657E-13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299.10536994156814</v>
      </c>
      <c r="BJ178" s="59">
        <f t="shared" si="146"/>
        <v>292.57799203101769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15.752632763580134</v>
      </c>
      <c r="BQ178" s="21">
        <f>EXP(-LN(2)/25)*BQ177+(1-EXP(-LN(2)/25))/(LN(2)/25)*Calculateur!BL178*Calculateur!BN178*VLOOKUP('Données projet'!$B$11,Paramètres!$A$1:$I$89,3,0)*0.475*44/12</f>
        <v>0.20356842539603745</v>
      </c>
      <c r="BR178" s="21">
        <f>EXP(-LN(2)/2)*BR177+(1-EXP(-LN(2)/2))/(LN(2)/2)*BL178*BO178*VLOOKUP('Données projet'!$B$11,Paramètres!$A$1:$I$89,3,0)*0.475*44/12</f>
        <v>2.0907660621664488E-13</v>
      </c>
      <c r="BS178" s="22">
        <f t="shared" si="169"/>
        <v>15.956201188976381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-1.7053025658242404E-13</v>
      </c>
      <c r="BZ178" s="13">
        <f>BY178*VLOOKUP('Données projet'!$B$12,Paramètres!$A$1:$I$89,3,0)*VLOOKUP('Données projet'!$B$12,Paramètres!$A$1:$I$89,5,0)</f>
        <v>-1.3567387213697657E-13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299.10536994156814</v>
      </c>
      <c r="CE178" s="59">
        <f t="shared" si="148"/>
        <v>292.57799203101769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15.752632763580134</v>
      </c>
      <c r="CL178" s="21">
        <f>EXP(-LN(2)/25)*CL177+(1-EXP(-LN(2)/25))/(LN(2)/25)*Calculateur!CG178*Calculateur!CI178*VLOOKUP('Données projet'!$B$12,Paramètres!$A$1:$I$89,3,0)*0.475*44/12</f>
        <v>0.20356842539603745</v>
      </c>
      <c r="CM178" s="21">
        <f>EXP(-LN(2)/2)*CM177+(1-EXP(-LN(2)/2))/(LN(2)/2)*CG178*CJ178*VLOOKUP('Données projet'!$B$12,Paramètres!$A$1:$I$89,3,0)*0.475*44/12</f>
        <v>2.0907660621664488E-13</v>
      </c>
      <c r="CN178" s="22">
        <f t="shared" si="172"/>
        <v>15.956201188976381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-7.9580786405131221E-13</v>
      </c>
      <c r="CU178" s="17">
        <f>CT178*VLOOKUP('Données projet'!$B$13,Paramètres!$A$1:$I$89,3,0)*VLOOKUP('Données projet'!$B$13,Paramètres!$A$1:$I$89,5,0)</f>
        <v>-7.2004695539362725E-13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528.15559695545812</v>
      </c>
      <c r="CZ178" s="59">
        <f t="shared" si="150"/>
        <v>276.26988364830532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120.39442642731832</v>
      </c>
      <c r="DG178" s="21">
        <f>EXP(-LN(2)/25)*DG177+(1-EXP(-LN(2)/25))/(LN(2)/25)*Calculateur!DB178*Calculateur!DD178*VLOOKUP('Données projet'!$B$13,Paramètres!$A$1:$I$89,3,0)*0.475*44/12</f>
        <v>17.208736587125571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137.60316301444391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-7.9580786405131221E-13</v>
      </c>
      <c r="DP178" s="17">
        <f>DO178*VLOOKUP('Données projet'!$B$14,Paramètres!$A$1:$I$89,3,0)*VLOOKUP('Données projet'!$B$14,Paramètres!$A$1:$I$89,5,0)</f>
        <v>-8.0694917414803056E-13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586.50020405958992</v>
      </c>
      <c r="DU178" s="59">
        <f t="shared" si="152"/>
        <v>304.44184537595294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134.92478823751199</v>
      </c>
      <c r="EB178" s="21">
        <f>EXP(-LN(2)/25)*EB177+(1-EXP(-LN(2)/25))/(LN(2)/25)*Calculateur!DW178*Calculateur!DY178*VLOOKUP('Données projet'!$B$14,Paramètres!$A$1:$I$89,3,0)*0.475*44/12</f>
        <v>19.285653071778665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154.21044130929064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-1.7053025658242404E-13</v>
      </c>
      <c r="EK178" s="17">
        <f>EJ178*VLOOKUP('Données projet'!$B$15,Paramètres!$A$1:$I$89,3,0)*VLOOKUP('Données projet'!$B$15,Paramètres!$A$1:$I$89,5,0)</f>
        <v>-1.6493686416652052E-13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355.72173590705142</v>
      </c>
      <c r="EP178" s="59">
        <f t="shared" si="154"/>
        <v>346.30980704469363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15.53700294032727</v>
      </c>
      <c r="EW178" s="21">
        <f>EXP(-LN(2)/25)*EW177+(1-EXP(-LN(2)/25))/(LN(2)/25)*Calculateur!ER178*Calculateur!ET178*VLOOKUP('Données projet'!$B$15,Paramètres!$A$1:$I$89,3,0)*0.475*44/12</f>
        <v>0.2007818801723405</v>
      </c>
      <c r="EX178" s="21">
        <f>EXP(-LN(2)/2)*EX177+(1-EXP(-LN(2)/2))/(LN(2)/2)*ER178*EU178*VLOOKUP('Données projet'!$B$15,Paramètres!$A$1:$I$89,3,0)*0.475*44/12</f>
        <v>2.5417156049866615E-13</v>
      </c>
      <c r="EY178" s="22">
        <f t="shared" si="181"/>
        <v>15.737784820499865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-1.383341441396624E-13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304.26232113495314</v>
      </c>
      <c r="FK178" s="59">
        <f t="shared" si="156"/>
        <v>297.47246687305056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16.061507915807219</v>
      </c>
      <c r="FR178" s="21">
        <f>EXP(-LN(2)/25)*FR177+(1-EXP(-LN(2)/25))/(LN(2)/25)*Calculateur!FM178*Calculateur!FO178*VLOOKUP('Données projet'!$B$16,Paramètres!$A$1:$I$89,3,0)*0.475*44/12</f>
        <v>0.20755996314890107</v>
      </c>
      <c r="FS178" s="21">
        <f>EXP(-LN(2)/2)*FS177+(1-EXP(-LN(2)/2))/(LN(2)/2)*FM178*FP178*VLOOKUP('Données projet'!$B$16,Paramètres!$A$1:$I$89,3,0)*0.475*44/12</f>
        <v>2.1317614751501106E-13</v>
      </c>
      <c r="FT178" s="22">
        <f t="shared" si="184"/>
        <v>16.269067878956335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-1.4897523215040567E-13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381.72225529388083</v>
      </c>
      <c r="T179" s="59">
        <f t="shared" si="142"/>
        <v>360.05900046417361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26.5223336441484</v>
      </c>
      <c r="AA179" s="21">
        <f>EXP(-LN(2)/25)*AA178+(1-EXP(-LN(2)/25))/(LN(2)/25)*Calculateur!V179*Calculateur!X179*VLOOKUP('Données projet'!$B$9,Paramètres!$A$1:$I$89,3,0)*0.475*44/12</f>
        <v>2.3266840932392614</v>
      </c>
      <c r="AB179" s="21">
        <f>EXP(-LN(2)/2)*AB178+(1-EXP(-LN(2)/2))/(LN(2)/2)*V179*Y179*VLOOKUP('Données projet'!$B$9,Paramètres!$A$1:$I$89,3,0)*0.475*44/12</f>
        <v>1.6720516142648548E-22</v>
      </c>
      <c r="AC179" s="22">
        <f t="shared" si="163"/>
        <v>28.849017737387662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-4.1677594708744434E-14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464.3681853739115</v>
      </c>
      <c r="AO179" s="59">
        <f t="shared" si="144"/>
        <v>272.97841038165217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42.401924828015574</v>
      </c>
      <c r="AV179" s="21">
        <f>EXP(-LN(2)/25)*AV178+(1-EXP(-LN(2)/25))/(LN(2)/25)*Calculateur!AQ179*Calculateur!AS179*VLOOKUP('Données projet'!$B$10,Paramètres!$A$1:$I$89,3,0)*0.475*44/12</f>
        <v>7.1353181748263701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49.537243002841947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-1.3567387213697657E-13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299.10536994156814</v>
      </c>
      <c r="BJ179" s="59">
        <f t="shared" si="146"/>
        <v>292.57799203101769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15.443733243243587</v>
      </c>
      <c r="BQ179" s="21">
        <f>EXP(-LN(2)/25)*BQ178+(1-EXP(-LN(2)/25))/(LN(2)/25)*Calculateur!BL179*Calculateur!BN179*VLOOKUP('Données projet'!$B$11,Paramètres!$A$1:$I$89,3,0)*0.475*44/12</f>
        <v>0.19800183609838456</v>
      </c>
      <c r="BR179" s="21">
        <f>EXP(-LN(2)/2)*BR178+(1-EXP(-LN(2)/2))/(LN(2)/2)*BL179*BO179*VLOOKUP('Données projet'!$B$11,Paramètres!$A$1:$I$89,3,0)*0.475*44/12</f>
        <v>1.4783948604325907E-13</v>
      </c>
      <c r="BS179" s="22">
        <f t="shared" si="169"/>
        <v>15.641735079342119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-1.7053025658242404E-13</v>
      </c>
      <c r="BZ179" s="13">
        <f>BY179*VLOOKUP('Données projet'!$B$12,Paramètres!$A$1:$I$89,3,0)*VLOOKUP('Données projet'!$B$12,Paramètres!$A$1:$I$89,5,0)</f>
        <v>-1.3567387213697657E-13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299.10536994156814</v>
      </c>
      <c r="CE179" s="59">
        <f t="shared" si="148"/>
        <v>292.57799203101769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15.443733243243587</v>
      </c>
      <c r="CL179" s="21">
        <f>EXP(-LN(2)/25)*CL178+(1-EXP(-LN(2)/25))/(LN(2)/25)*Calculateur!CG179*Calculateur!CI179*VLOOKUP('Données projet'!$B$12,Paramètres!$A$1:$I$89,3,0)*0.475*44/12</f>
        <v>0.19800183609838456</v>
      </c>
      <c r="CM179" s="21">
        <f>EXP(-LN(2)/2)*CM178+(1-EXP(-LN(2)/2))/(LN(2)/2)*CG179*CJ179*VLOOKUP('Données projet'!$B$12,Paramètres!$A$1:$I$89,3,0)*0.475*44/12</f>
        <v>1.4783948604325907E-13</v>
      </c>
      <c r="CN179" s="22">
        <f t="shared" si="172"/>
        <v>15.641735079342119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-7.9580786405131221E-13</v>
      </c>
      <c r="CU179" s="17">
        <f>CT179*VLOOKUP('Données projet'!$B$13,Paramètres!$A$1:$I$89,3,0)*VLOOKUP('Données projet'!$B$13,Paramètres!$A$1:$I$89,5,0)</f>
        <v>-7.2004695539362725E-13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528.15559695545812</v>
      </c>
      <c r="CZ179" s="59">
        <f t="shared" si="150"/>
        <v>276.26988364830532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118.03356515842779</v>
      </c>
      <c r="DG179" s="21">
        <f>EXP(-LN(2)/25)*DG178+(1-EXP(-LN(2)/25))/(LN(2)/25)*Calculateur!DB179*Calculateur!DD179*VLOOKUP('Données projet'!$B$13,Paramètres!$A$1:$I$89,3,0)*0.475*44/12</f>
        <v>16.738162780182495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134.7717279386103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-7.9580786405131221E-13</v>
      </c>
      <c r="DP179" s="17">
        <f>DO179*VLOOKUP('Données projet'!$B$14,Paramètres!$A$1:$I$89,3,0)*VLOOKUP('Données projet'!$B$14,Paramètres!$A$1:$I$89,5,0)</f>
        <v>-8.0694917414803056E-13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586.50020405958992</v>
      </c>
      <c r="DU179" s="59">
        <f t="shared" si="152"/>
        <v>304.44184537595294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132.27899543616914</v>
      </c>
      <c r="EB179" s="21">
        <f>EXP(-LN(2)/25)*EB178+(1-EXP(-LN(2)/25))/(LN(2)/25)*Calculateur!DW179*Calculateur!DY179*VLOOKUP('Données projet'!$B$14,Paramètres!$A$1:$I$89,3,0)*0.475*44/12</f>
        <v>18.758285874342459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151.03728131051159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-1.7053025658242404E-13</v>
      </c>
      <c r="EK179" s="17">
        <f>EJ179*VLOOKUP('Données projet'!$B$15,Paramètres!$A$1:$I$89,3,0)*VLOOKUP('Données projet'!$B$15,Paramètres!$A$1:$I$89,5,0)</f>
        <v>-1.6493686416652052E-13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355.72173590705142</v>
      </c>
      <c r="EP179" s="59">
        <f t="shared" si="154"/>
        <v>346.30980704469363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15.232331789303505</v>
      </c>
      <c r="EW179" s="21">
        <f>EXP(-LN(2)/25)*EW178+(1-EXP(-LN(2)/25))/(LN(2)/25)*Calculateur!ER179*Calculateur!ET179*VLOOKUP('Données projet'!$B$15,Paramètres!$A$1:$I$89,3,0)*0.475*44/12</f>
        <v>0.19529148910036767</v>
      </c>
      <c r="EX179" s="21">
        <f>EXP(-LN(2)/2)*EX178+(1-EXP(-LN(2)/2))/(LN(2)/2)*ER179*EU179*VLOOKUP('Données projet'!$B$15,Paramètres!$A$1:$I$89,3,0)*0.475*44/12</f>
        <v>1.7972643401337366E-13</v>
      </c>
      <c r="EY179" s="22">
        <f t="shared" si="181"/>
        <v>15.427623278404052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-1.383341441396624E-13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304.26232113495314</v>
      </c>
      <c r="FK179" s="59">
        <f t="shared" si="156"/>
        <v>297.47246687305056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15.746551542130739</v>
      </c>
      <c r="FR179" s="21">
        <f>EXP(-LN(2)/25)*FR178+(1-EXP(-LN(2)/25))/(LN(2)/25)*Calculateur!FM179*Calculateur!FO179*VLOOKUP('Données projet'!$B$16,Paramètres!$A$1:$I$89,3,0)*0.475*44/12</f>
        <v>0.20188422504149028</v>
      </c>
      <c r="FS179" s="21">
        <f>EXP(-LN(2)/2)*FS178+(1-EXP(-LN(2)/2))/(LN(2)/2)*FM179*FP179*VLOOKUP('Données projet'!$B$16,Paramètres!$A$1:$I$89,3,0)*0.475*44/12</f>
        <v>1.507382994950881E-13</v>
      </c>
      <c r="FT179" s="22">
        <f t="shared" si="184"/>
        <v>15.948435767172381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-1.4897523215040567E-13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381.72225529388083</v>
      </c>
      <c r="T180" s="59">
        <f t="shared" si="142"/>
        <v>360.05900046417361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26.002246858412825</v>
      </c>
      <c r="AA180" s="21">
        <f>EXP(-LN(2)/25)*AA179+(1-EXP(-LN(2)/25))/(LN(2)/25)*Calculateur!V180*Calculateur!X180*VLOOKUP('Données projet'!$B$9,Paramètres!$A$1:$I$89,3,0)*0.475*44/12</f>
        <v>2.2630607943546353</v>
      </c>
      <c r="AB180" s="21">
        <f>EXP(-LN(2)/2)*AB179+(1-EXP(-LN(2)/2))/(LN(2)/2)*V180*Y180*VLOOKUP('Données projet'!$B$9,Paramètres!$A$1:$I$89,3,0)*0.475*44/12</f>
        <v>1.1823190349405923E-22</v>
      </c>
      <c r="AC180" s="22">
        <f t="shared" si="163"/>
        <v>28.265307652767461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-4.1677594708744434E-14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464.3681853739115</v>
      </c>
      <c r="AO180" s="59">
        <f t="shared" si="144"/>
        <v>272.97841038165217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41.57044894475861</v>
      </c>
      <c r="AV180" s="21">
        <f>EXP(-LN(2)/25)*AV179+(1-EXP(-LN(2)/25))/(LN(2)/25)*Calculateur!AQ180*Calculateur!AS180*VLOOKUP('Données projet'!$B$10,Paramètres!$A$1:$I$89,3,0)*0.475*44/12</f>
        <v>6.9402025241056684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48.510651468864282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-1.3567387213697657E-13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299.10536994156814</v>
      </c>
      <c r="BJ180" s="59">
        <f t="shared" si="146"/>
        <v>292.57799203101769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15.140891054090735</v>
      </c>
      <c r="BQ180" s="21">
        <f>EXP(-LN(2)/25)*BQ179+(1-EXP(-LN(2)/25))/(LN(2)/25)*Calculateur!BL180*Calculateur!BN180*VLOOKUP('Données projet'!$B$11,Paramètres!$A$1:$I$89,3,0)*0.475*44/12</f>
        <v>0.19258746547781022</v>
      </c>
      <c r="BR180" s="21">
        <f>EXP(-LN(2)/2)*BR179+(1-EXP(-LN(2)/2))/(LN(2)/2)*BL180*BO180*VLOOKUP('Données projet'!$B$11,Paramètres!$A$1:$I$89,3,0)*0.475*44/12</f>
        <v>1.0453830310832244E-13</v>
      </c>
      <c r="BS180" s="22">
        <f t="shared" si="169"/>
        <v>15.333478519568651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-1.7053025658242404E-13</v>
      </c>
      <c r="BZ180" s="13">
        <f>BY180*VLOOKUP('Données projet'!$B$12,Paramètres!$A$1:$I$89,3,0)*VLOOKUP('Données projet'!$B$12,Paramètres!$A$1:$I$89,5,0)</f>
        <v>-1.3567387213697657E-13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299.10536994156814</v>
      </c>
      <c r="CE180" s="59">
        <f t="shared" si="148"/>
        <v>292.57799203101769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15.140891054090735</v>
      </c>
      <c r="CL180" s="21">
        <f>EXP(-LN(2)/25)*CL179+(1-EXP(-LN(2)/25))/(LN(2)/25)*Calculateur!CG180*Calculateur!CI180*VLOOKUP('Données projet'!$B$12,Paramètres!$A$1:$I$89,3,0)*0.475*44/12</f>
        <v>0.19258746547781022</v>
      </c>
      <c r="CM180" s="21">
        <f>EXP(-LN(2)/2)*CM179+(1-EXP(-LN(2)/2))/(LN(2)/2)*CG180*CJ180*VLOOKUP('Données projet'!$B$12,Paramètres!$A$1:$I$89,3,0)*0.475*44/12</f>
        <v>1.0453830310832244E-13</v>
      </c>
      <c r="CN180" s="22">
        <f t="shared" si="172"/>
        <v>15.333478519568651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-7.9580786405131221E-13</v>
      </c>
      <c r="CU180" s="17">
        <f>CT180*VLOOKUP('Données projet'!$B$13,Paramètres!$A$1:$I$89,3,0)*VLOOKUP('Données projet'!$B$13,Paramètres!$A$1:$I$89,5,0)</f>
        <v>-7.2004695539362725E-13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528.15559695545812</v>
      </c>
      <c r="CZ180" s="59">
        <f t="shared" si="150"/>
        <v>276.26988364830532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115.71899893903701</v>
      </c>
      <c r="DG180" s="21">
        <f>EXP(-LN(2)/25)*DG179+(1-EXP(-LN(2)/25))/(LN(2)/25)*Calculateur!DB180*Calculateur!DD180*VLOOKUP('Données projet'!$B$13,Paramètres!$A$1:$I$89,3,0)*0.475*44/12</f>
        <v>16.280456838736679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131.99945577777368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-7.9580786405131221E-13</v>
      </c>
      <c r="DP180" s="17">
        <f>DO180*VLOOKUP('Données projet'!$B$14,Paramètres!$A$1:$I$89,3,0)*VLOOKUP('Données projet'!$B$14,Paramètres!$A$1:$I$89,5,0)</f>
        <v>-8.0694917414803056E-13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586.50020405958992</v>
      </c>
      <c r="DU180" s="59">
        <f t="shared" si="152"/>
        <v>304.44184537595294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129.68508501788637</v>
      </c>
      <c r="EB180" s="21">
        <f>EXP(-LN(2)/25)*EB179+(1-EXP(-LN(2)/25))/(LN(2)/25)*Calculateur!DW180*Calculateur!DY180*VLOOKUP('Données projet'!$B$14,Paramètres!$A$1:$I$89,3,0)*0.475*44/12</f>
        <v>18.245339560653182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147.93042457853954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-1.7053025658242404E-13</v>
      </c>
      <c r="EK180" s="17">
        <f>EJ180*VLOOKUP('Données projet'!$B$15,Paramètres!$A$1:$I$89,3,0)*VLOOKUP('Données projet'!$B$15,Paramètres!$A$1:$I$89,5,0)</f>
        <v>-1.6493686416652052E-13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355.72173590705142</v>
      </c>
      <c r="EP180" s="59">
        <f t="shared" si="154"/>
        <v>346.30980704469363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14.933635053720264</v>
      </c>
      <c r="EW180" s="21">
        <f>EXP(-LN(2)/25)*EW179+(1-EXP(-LN(2)/25))/(LN(2)/25)*Calculateur!ER180*Calculateur!ET180*VLOOKUP('Données projet'!$B$15,Paramètres!$A$1:$I$89,3,0)*0.475*44/12</f>
        <v>0.18995123306098505</v>
      </c>
      <c r="EX180" s="21">
        <f>EXP(-LN(2)/2)*EX179+(1-EXP(-LN(2)/2))/(LN(2)/2)*ER180*EU180*VLOOKUP('Données projet'!$B$15,Paramètres!$A$1:$I$89,3,0)*0.475*44/12</f>
        <v>1.2708578024933308E-13</v>
      </c>
      <c r="EY180" s="22">
        <f t="shared" si="181"/>
        <v>15.123586286781377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-1.383341441396624E-13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304.26232113495314</v>
      </c>
      <c r="FK180" s="59">
        <f t="shared" si="156"/>
        <v>297.47246687305056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15.437771270837635</v>
      </c>
      <c r="FR180" s="21">
        <f>EXP(-LN(2)/25)*FR179+(1-EXP(-LN(2)/25))/(LN(2)/25)*Calculateur!FM180*Calculateur!FO180*VLOOKUP('Données projet'!$B$16,Paramètres!$A$1:$I$89,3,0)*0.475*44/12</f>
        <v>0.19636369029110076</v>
      </c>
      <c r="FS180" s="21">
        <f>EXP(-LN(2)/2)*FS179+(1-EXP(-LN(2)/2))/(LN(2)/2)*FM180*FP180*VLOOKUP('Données projet'!$B$16,Paramètres!$A$1:$I$89,3,0)*0.475*44/12</f>
        <v>1.0658807375750553E-13</v>
      </c>
      <c r="FT180" s="22">
        <f t="shared" si="184"/>
        <v>15.634134961128842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-1.4897523215040567E-13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381.72225529388083</v>
      </c>
      <c r="T181" s="59">
        <f t="shared" si="142"/>
        <v>360.05900046417361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25.492358657323908</v>
      </c>
      <c r="AA181" s="21">
        <f>EXP(-LN(2)/25)*AA180+(1-EXP(-LN(2)/25))/(LN(2)/25)*Calculateur!V181*Calculateur!X181*VLOOKUP('Données projet'!$B$9,Paramètres!$A$1:$I$89,3,0)*0.475*44/12</f>
        <v>2.2011772779238128</v>
      </c>
      <c r="AB181" s="21">
        <f>EXP(-LN(2)/2)*AB180+(1-EXP(-LN(2)/2))/(LN(2)/2)*V181*Y181*VLOOKUP('Données projet'!$B$9,Paramètres!$A$1:$I$89,3,0)*0.475*44/12</f>
        <v>8.3602580713242742E-23</v>
      </c>
      <c r="AC181" s="22">
        <f t="shared" si="163"/>
        <v>27.69353593524772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-4.1677594708744434E-14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464.3681853739115</v>
      </c>
      <c r="AO181" s="59">
        <f t="shared" si="144"/>
        <v>272.97841038165217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40.755277796422106</v>
      </c>
      <c r="AV181" s="21">
        <f>EXP(-LN(2)/25)*AV180+(1-EXP(-LN(2)/25))/(LN(2)/25)*Calculateur!AQ181*Calculateur!AS181*VLOOKUP('Données projet'!$B$10,Paramètres!$A$1:$I$89,3,0)*0.475*44/12</f>
        <v>6.7504223211146099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47.505700117536719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-1.3567387213697657E-13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299.10536994156814</v>
      </c>
      <c r="BJ181" s="59">
        <f t="shared" si="146"/>
        <v>292.57799203101769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14.843987415551675</v>
      </c>
      <c r="BQ181" s="21">
        <f>EXP(-LN(2)/25)*BQ180+(1-EXP(-LN(2)/25))/(LN(2)/25)*Calculateur!BL181*Calculateur!BN181*VLOOKUP('Données projet'!$B$11,Paramètres!$A$1:$I$89,3,0)*0.475*44/12</f>
        <v>0.18732115110658484</v>
      </c>
      <c r="BR181" s="21">
        <f>EXP(-LN(2)/2)*BR180+(1-EXP(-LN(2)/2))/(LN(2)/2)*BL181*BO181*VLOOKUP('Données projet'!$B$11,Paramètres!$A$1:$I$89,3,0)*0.475*44/12</f>
        <v>7.3919743021629535E-14</v>
      </c>
      <c r="BS181" s="22">
        <f t="shared" si="169"/>
        <v>15.031308566658334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-1.7053025658242404E-13</v>
      </c>
      <c r="BZ181" s="13">
        <f>BY181*VLOOKUP('Données projet'!$B$12,Paramètres!$A$1:$I$89,3,0)*VLOOKUP('Données projet'!$B$12,Paramètres!$A$1:$I$89,5,0)</f>
        <v>-1.3567387213697657E-13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299.10536994156814</v>
      </c>
      <c r="CE181" s="59">
        <f t="shared" si="148"/>
        <v>292.57799203101769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14.843987415551675</v>
      </c>
      <c r="CL181" s="21">
        <f>EXP(-LN(2)/25)*CL180+(1-EXP(-LN(2)/25))/(LN(2)/25)*Calculateur!CG181*Calculateur!CI181*VLOOKUP('Données projet'!$B$12,Paramètres!$A$1:$I$89,3,0)*0.475*44/12</f>
        <v>0.18732115110658484</v>
      </c>
      <c r="CM181" s="21">
        <f>EXP(-LN(2)/2)*CM180+(1-EXP(-LN(2)/2))/(LN(2)/2)*CG181*CJ181*VLOOKUP('Données projet'!$B$12,Paramètres!$A$1:$I$89,3,0)*0.475*44/12</f>
        <v>7.3919743021629535E-14</v>
      </c>
      <c r="CN181" s="22">
        <f t="shared" si="172"/>
        <v>15.031308566658334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-7.9580786405131221E-13</v>
      </c>
      <c r="CU181" s="17">
        <f>CT181*VLOOKUP('Données projet'!$B$13,Paramètres!$A$1:$I$89,3,0)*VLOOKUP('Données projet'!$B$13,Paramètres!$A$1:$I$89,5,0)</f>
        <v>-7.2004695539362725E-13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528.15559695545812</v>
      </c>
      <c r="CZ181" s="59">
        <f t="shared" si="150"/>
        <v>276.26988364830532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113.44981995146249</v>
      </c>
      <c r="DG181" s="21">
        <f>EXP(-LN(2)/25)*DG180+(1-EXP(-LN(2)/25))/(LN(2)/25)*Calculateur!DB181*Calculateur!DD181*VLOOKUP('Données projet'!$B$13,Paramètres!$A$1:$I$89,3,0)*0.475*44/12</f>
        <v>15.835266890329409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129.28508684179189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-7.9580786405131221E-13</v>
      </c>
      <c r="DP181" s="17">
        <f>DO181*VLOOKUP('Données projet'!$B$14,Paramètres!$A$1:$I$89,3,0)*VLOOKUP('Données projet'!$B$14,Paramètres!$A$1:$I$89,5,0)</f>
        <v>-8.0694917414803056E-13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586.50020405958992</v>
      </c>
      <c r="DU181" s="59">
        <f t="shared" si="152"/>
        <v>304.44184537595294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127.14203960077698</v>
      </c>
      <c r="EB181" s="21">
        <f>EXP(-LN(2)/25)*EB180+(1-EXP(-LN(2)/25))/(LN(2)/25)*Calculateur!DW181*Calculateur!DY181*VLOOKUP('Données projet'!$B$14,Paramètres!$A$1:$I$89,3,0)*0.475*44/12</f>
        <v>17.746419790886414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144.88845939166339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-1.7053025658242404E-13</v>
      </c>
      <c r="EK181" s="17">
        <f>EJ181*VLOOKUP('Données projet'!$B$15,Paramètres!$A$1:$I$89,3,0)*VLOOKUP('Données projet'!$B$15,Paramètres!$A$1:$I$89,5,0)</f>
        <v>-1.6493686416652052E-13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355.72173590705142</v>
      </c>
      <c r="EP181" s="59">
        <f t="shared" si="154"/>
        <v>346.30980704469363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14.640795578934792</v>
      </c>
      <c r="EW181" s="21">
        <f>EXP(-LN(2)/25)*EW180+(1-EXP(-LN(2)/25))/(LN(2)/25)*Calculateur!ER181*Calculateur!ET181*VLOOKUP('Données projet'!$B$15,Paramètres!$A$1:$I$89,3,0)*0.475*44/12</f>
        <v>0.18475700660383121</v>
      </c>
      <c r="EX181" s="21">
        <f>EXP(-LN(2)/2)*EX180+(1-EXP(-LN(2)/2))/(LN(2)/2)*ER181*EU181*VLOOKUP('Données projet'!$B$15,Paramètres!$A$1:$I$89,3,0)*0.475*44/12</f>
        <v>8.986321700668683E-14</v>
      </c>
      <c r="EY181" s="22">
        <f t="shared" si="181"/>
        <v>14.825552585538714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-1.383341441396624E-13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304.26232113495314</v>
      </c>
      <c r="FK181" s="59">
        <f t="shared" si="156"/>
        <v>297.47246687305056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15.135045992327219</v>
      </c>
      <c r="FR181" s="21">
        <f>EXP(-LN(2)/25)*FR180+(1-EXP(-LN(2)/25))/(LN(2)/25)*Calculateur!FM181*Calculateur!FO181*VLOOKUP('Données projet'!$B$16,Paramètres!$A$1:$I$89,3,0)*0.475*44/12</f>
        <v>0.19099411485377293</v>
      </c>
      <c r="FS181" s="21">
        <f>EXP(-LN(2)/2)*FS180+(1-EXP(-LN(2)/2))/(LN(2)/2)*FM181*FP181*VLOOKUP('Données projet'!$B$16,Paramètres!$A$1:$I$89,3,0)*0.475*44/12</f>
        <v>7.536914974754405E-14</v>
      </c>
      <c r="FT181" s="22">
        <f t="shared" si="184"/>
        <v>15.326040107181067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-1.4897523215040567E-13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381.72225529388083</v>
      </c>
      <c r="T182" s="59">
        <f t="shared" si="142"/>
        <v>360.05900046417361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24.992469052857249</v>
      </c>
      <c r="AA182" s="21">
        <f>EXP(-LN(2)/25)*AA181+(1-EXP(-LN(2)/25))/(LN(2)/25)*Calculateur!V182*Calculateur!X182*VLOOKUP('Données projet'!$B$9,Paramètres!$A$1:$I$89,3,0)*0.475*44/12</f>
        <v>2.1409859695041038</v>
      </c>
      <c r="AB182" s="21">
        <f>EXP(-LN(2)/2)*AB181+(1-EXP(-LN(2)/2))/(LN(2)/2)*V182*Y182*VLOOKUP('Données projet'!$B$9,Paramètres!$A$1:$I$89,3,0)*0.475*44/12</f>
        <v>5.9115951747029613E-23</v>
      </c>
      <c r="AC182" s="22">
        <f t="shared" si="163"/>
        <v>27.133455022361353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-4.1677594708744434E-14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464.3681853739115</v>
      </c>
      <c r="AO182" s="59">
        <f t="shared" si="144"/>
        <v>272.97841038165217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39.956091657099172</v>
      </c>
      <c r="AV182" s="21">
        <f>EXP(-LN(2)/25)*AV181+(1-EXP(-LN(2)/25))/(LN(2)/25)*Calculateur!AQ182*Calculateur!AS182*VLOOKUP('Données projet'!$B$10,Paramètres!$A$1:$I$89,3,0)*0.475*44/12</f>
        <v>6.5658316677544493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46.521923324853624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-1.3567387213697657E-13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299.10536994156814</v>
      </c>
      <c r="BJ182" s="59">
        <f t="shared" si="146"/>
        <v>292.57799203101769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14.552905876271028</v>
      </c>
      <c r="BQ182" s="21">
        <f>EXP(-LN(2)/25)*BQ181+(1-EXP(-LN(2)/25))/(LN(2)/25)*Calculateur!BL182*Calculateur!BN182*VLOOKUP('Données projet'!$B$11,Paramètres!$A$1:$I$89,3,0)*0.475*44/12</f>
        <v>0.18219884437878409</v>
      </c>
      <c r="BR182" s="21">
        <f>EXP(-LN(2)/2)*BR181+(1-EXP(-LN(2)/2))/(LN(2)/2)*BL182*BO182*VLOOKUP('Données projet'!$B$11,Paramètres!$A$1:$I$89,3,0)*0.475*44/12</f>
        <v>5.226915155416122E-14</v>
      </c>
      <c r="BS182" s="22">
        <f t="shared" si="169"/>
        <v>14.735104720649863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-1.7053025658242404E-13</v>
      </c>
      <c r="BZ182" s="13">
        <f>BY182*VLOOKUP('Données projet'!$B$12,Paramètres!$A$1:$I$89,3,0)*VLOOKUP('Données projet'!$B$12,Paramètres!$A$1:$I$89,5,0)</f>
        <v>-1.3567387213697657E-13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299.10536994156814</v>
      </c>
      <c r="CE182" s="59">
        <f t="shared" si="148"/>
        <v>292.57799203101769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14.552905876271028</v>
      </c>
      <c r="CL182" s="21">
        <f>EXP(-LN(2)/25)*CL181+(1-EXP(-LN(2)/25))/(LN(2)/25)*Calculateur!CG182*Calculateur!CI182*VLOOKUP('Données projet'!$B$12,Paramètres!$A$1:$I$89,3,0)*0.475*44/12</f>
        <v>0.18219884437878409</v>
      </c>
      <c r="CM182" s="21">
        <f>EXP(-LN(2)/2)*CM181+(1-EXP(-LN(2)/2))/(LN(2)/2)*CG182*CJ182*VLOOKUP('Données projet'!$B$12,Paramètres!$A$1:$I$89,3,0)*0.475*44/12</f>
        <v>5.226915155416122E-14</v>
      </c>
      <c r="CN182" s="22">
        <f t="shared" si="172"/>
        <v>14.735104720649863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-7.9580786405131221E-13</v>
      </c>
      <c r="CU182" s="17">
        <f>CT182*VLOOKUP('Données projet'!$B$13,Paramètres!$A$1:$I$89,3,0)*VLOOKUP('Données projet'!$B$13,Paramètres!$A$1:$I$89,5,0)</f>
        <v>-7.2004695539362725E-13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528.15559695545812</v>
      </c>
      <c r="CZ182" s="59">
        <f t="shared" si="150"/>
        <v>276.26988364830532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111.22513817977179</v>
      </c>
      <c r="DG182" s="21">
        <f>EXP(-LN(2)/25)*DG181+(1-EXP(-LN(2)/25))/(LN(2)/25)*Calculateur!DB182*Calculateur!DD182*VLOOKUP('Données projet'!$B$13,Paramètres!$A$1:$I$89,3,0)*0.475*44/12</f>
        <v>15.402250684472858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126.62738886424465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-7.9580786405131221E-13</v>
      </c>
      <c r="DP182" s="17">
        <f>DO182*VLOOKUP('Données projet'!$B$14,Paramètres!$A$1:$I$89,3,0)*VLOOKUP('Données projet'!$B$14,Paramètres!$A$1:$I$89,5,0)</f>
        <v>-8.0694917414803056E-13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586.50020405958992</v>
      </c>
      <c r="DU182" s="59">
        <f t="shared" si="152"/>
        <v>304.44184537595294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124.64886175319258</v>
      </c>
      <c r="EB182" s="21">
        <f>EXP(-LN(2)/25)*EB181+(1-EXP(-LN(2)/25))/(LN(2)/25)*Calculateur!DW182*Calculateur!DY182*VLOOKUP('Données projet'!$B$14,Paramètres!$A$1:$I$89,3,0)*0.475*44/12</f>
        <v>17.261143008460969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141.91000476165354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-1.7053025658242404E-13</v>
      </c>
      <c r="EK182" s="17">
        <f>EJ182*VLOOKUP('Données projet'!$B$15,Paramètres!$A$1:$I$89,3,0)*VLOOKUP('Données projet'!$B$15,Paramètres!$A$1:$I$89,5,0)</f>
        <v>-1.6493686416652052E-13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355.72173590705142</v>
      </c>
      <c r="EP182" s="59">
        <f t="shared" si="154"/>
        <v>346.30980704469363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14.35369850763542</v>
      </c>
      <c r="EW182" s="21">
        <f>EXP(-LN(2)/25)*EW181+(1-EXP(-LN(2)/25))/(LN(2)/25)*Calculateur!ER182*Calculateur!ET182*VLOOKUP('Données projet'!$B$15,Paramètres!$A$1:$I$89,3,0)*0.475*44/12</f>
        <v>0.17970481654230072</v>
      </c>
      <c r="EX182" s="21">
        <f>EXP(-LN(2)/2)*EX181+(1-EXP(-LN(2)/2))/(LN(2)/2)*ER182*EU182*VLOOKUP('Données projet'!$B$15,Paramètres!$A$1:$I$89,3,0)*0.475*44/12</f>
        <v>6.3542890124666538E-14</v>
      </c>
      <c r="EY182" s="22">
        <f t="shared" si="181"/>
        <v>14.533403324177785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-1.383341441396624E-13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304.26232113495314</v>
      </c>
      <c r="FK182" s="59">
        <f t="shared" si="156"/>
        <v>297.47246687305056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14.838256971884206</v>
      </c>
      <c r="FR182" s="21">
        <f>EXP(-LN(2)/25)*FR181+(1-EXP(-LN(2)/25))/(LN(2)/25)*Calculateur!FM182*Calculateur!FO182*VLOOKUP('Données projet'!$B$16,Paramètres!$A$1:$I$89,3,0)*0.475*44/12</f>
        <v>0.18577137073915254</v>
      </c>
      <c r="FS182" s="21">
        <f>EXP(-LN(2)/2)*FS181+(1-EXP(-LN(2)/2))/(LN(2)/2)*FM182*FP182*VLOOKUP('Données projet'!$B$16,Paramètres!$A$1:$I$89,3,0)*0.475*44/12</f>
        <v>5.3294036878752765E-14</v>
      </c>
      <c r="FT182" s="22">
        <f t="shared" si="184"/>
        <v>15.024028342623412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-1.4897523215040567E-13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381.72225529388083</v>
      </c>
      <c r="T183" s="59">
        <f t="shared" si="142"/>
        <v>360.05900046417361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24.502381978631629</v>
      </c>
      <c r="AA183" s="21">
        <f>EXP(-LN(2)/25)*AA182+(1-EXP(-LN(2)/25))/(LN(2)/25)*Calculateur!V183*Calculateur!X183*VLOOKUP('Données projet'!$B$9,Paramètres!$A$1:$I$89,3,0)*0.475*44/12</f>
        <v>2.0824405955784551</v>
      </c>
      <c r="AB183" s="21">
        <f>EXP(-LN(2)/2)*AB182+(1-EXP(-LN(2)/2))/(LN(2)/2)*V183*Y183*VLOOKUP('Données projet'!$B$9,Paramètres!$A$1:$I$89,3,0)*0.475*44/12</f>
        <v>4.1801290356621371E-23</v>
      </c>
      <c r="AC183" s="22">
        <f t="shared" si="163"/>
        <v>26.584822574210083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-4.1677594708744434E-14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464.3681853739115</v>
      </c>
      <c r="AO183" s="59">
        <f t="shared" si="144"/>
        <v>272.97841038165217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39.172577070512951</v>
      </c>
      <c r="AV183" s="21">
        <f>EXP(-LN(2)/25)*AV182+(1-EXP(-LN(2)/25))/(LN(2)/25)*Calculateur!AQ183*Calculateur!AS183*VLOOKUP('Données projet'!$B$10,Paramètres!$A$1:$I$89,3,0)*0.475*44/12</f>
        <v>6.3862886555176228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45.558865726030575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-1.3567387213697657E-13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299.10536994156814</v>
      </c>
      <c r="BJ183" s="59">
        <f t="shared" si="146"/>
        <v>292.57799203101769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14.267532268433467</v>
      </c>
      <c r="BQ183" s="21">
        <f>EXP(-LN(2)/25)*BQ182+(1-EXP(-LN(2)/25))/(LN(2)/25)*Calculateur!BL183*Calculateur!BN183*VLOOKUP('Données projet'!$B$11,Paramètres!$A$1:$I$89,3,0)*0.475*44/12</f>
        <v>0.17721660739782544</v>
      </c>
      <c r="BR183" s="21">
        <f>EXP(-LN(2)/2)*BR182+(1-EXP(-LN(2)/2))/(LN(2)/2)*BL183*BO183*VLOOKUP('Données projet'!$B$11,Paramètres!$A$1:$I$89,3,0)*0.475*44/12</f>
        <v>3.6959871510814768E-14</v>
      </c>
      <c r="BS183" s="22">
        <f t="shared" si="169"/>
        <v>14.44474887583133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-1.7053025658242404E-13</v>
      </c>
      <c r="BZ183" s="13">
        <f>BY183*VLOOKUP('Données projet'!$B$12,Paramètres!$A$1:$I$89,3,0)*VLOOKUP('Données projet'!$B$12,Paramètres!$A$1:$I$89,5,0)</f>
        <v>-1.3567387213697657E-13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299.10536994156814</v>
      </c>
      <c r="CE183" s="59">
        <f t="shared" si="148"/>
        <v>292.57799203101769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14.267532268433467</v>
      </c>
      <c r="CL183" s="21">
        <f>EXP(-LN(2)/25)*CL182+(1-EXP(-LN(2)/25))/(LN(2)/25)*Calculateur!CG183*Calculateur!CI183*VLOOKUP('Données projet'!$B$12,Paramètres!$A$1:$I$89,3,0)*0.475*44/12</f>
        <v>0.17721660739782544</v>
      </c>
      <c r="CM183" s="21">
        <f>EXP(-LN(2)/2)*CM182+(1-EXP(-LN(2)/2))/(LN(2)/2)*CG183*CJ183*VLOOKUP('Données projet'!$B$12,Paramètres!$A$1:$I$89,3,0)*0.475*44/12</f>
        <v>3.6959871510814768E-14</v>
      </c>
      <c r="CN183" s="22">
        <f t="shared" si="172"/>
        <v>14.44474887583133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-7.9580786405131221E-13</v>
      </c>
      <c r="CU183" s="17">
        <f>CT183*VLOOKUP('Données projet'!$B$13,Paramètres!$A$1:$I$89,3,0)*VLOOKUP('Données projet'!$B$13,Paramètres!$A$1:$I$89,5,0)</f>
        <v>-7.2004695539362725E-13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528.15559695545812</v>
      </c>
      <c r="CZ183" s="59">
        <f t="shared" si="150"/>
        <v>276.26988364830532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109.04408106070206</v>
      </c>
      <c r="DG183" s="21">
        <f>EXP(-LN(2)/25)*DG182+(1-EXP(-LN(2)/25))/(LN(2)/25)*Calculateur!DB183*Calculateur!DD183*VLOOKUP('Données projet'!$B$13,Paramètres!$A$1:$I$89,3,0)*0.475*44/12</f>
        <v>14.981075329536786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124.02515639023883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-7.9580786405131221E-13</v>
      </c>
      <c r="DP183" s="17">
        <f>DO183*VLOOKUP('Données projet'!$B$14,Paramètres!$A$1:$I$89,3,0)*VLOOKUP('Données projet'!$B$14,Paramètres!$A$1:$I$89,5,0)</f>
        <v>-8.0694917414803056E-13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586.50020405958992</v>
      </c>
      <c r="DU183" s="59">
        <f t="shared" si="152"/>
        <v>304.44184537595294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122.20457360251096</v>
      </c>
      <c r="EB183" s="21">
        <f>EXP(-LN(2)/25)*EB182+(1-EXP(-LN(2)/25))/(LN(2)/25)*Calculateur!DW183*Calculateur!DY183*VLOOKUP('Données projet'!$B$14,Paramètres!$A$1:$I$89,3,0)*0.475*44/12</f>
        <v>16.789136145170545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138.99370974768152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-1.7053025658242404E-13</v>
      </c>
      <c r="EK183" s="17">
        <f>EJ183*VLOOKUP('Données projet'!$B$15,Paramètres!$A$1:$I$89,3,0)*VLOOKUP('Données projet'!$B$15,Paramètres!$A$1:$I$89,5,0)</f>
        <v>-1.6493686416652052E-13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355.72173590705142</v>
      </c>
      <c r="EP183" s="59">
        <f t="shared" si="154"/>
        <v>346.30980704469363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14.072231234792305</v>
      </c>
      <c r="EW183" s="21">
        <f>EXP(-LN(2)/25)*EW182+(1-EXP(-LN(2)/25))/(LN(2)/25)*Calculateur!ER183*Calculateur!ET183*VLOOKUP('Données projet'!$B$15,Paramètres!$A$1:$I$89,3,0)*0.475*44/12</f>
        <v>0.17479077888368594</v>
      </c>
      <c r="EX183" s="21">
        <f>EXP(-LN(2)/2)*EX182+(1-EXP(-LN(2)/2))/(LN(2)/2)*ER183*EU183*VLOOKUP('Données projet'!$B$15,Paramètres!$A$1:$I$89,3,0)*0.475*44/12</f>
        <v>4.4931608503343415E-14</v>
      </c>
      <c r="EY183" s="22">
        <f t="shared" si="181"/>
        <v>14.247022013676036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-1.383341441396624E-13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304.26232113495314</v>
      </c>
      <c r="FK183" s="59">
        <f t="shared" si="156"/>
        <v>297.47246687305056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14.547287803108652</v>
      </c>
      <c r="FR183" s="21">
        <f>EXP(-LN(2)/25)*FR182+(1-EXP(-LN(2)/25))/(LN(2)/25)*Calculateur!FM183*Calculateur!FO183*VLOOKUP('Données projet'!$B$16,Paramètres!$A$1:$I$89,3,0)*0.475*44/12</f>
        <v>0.18069144283699862</v>
      </c>
      <c r="FS183" s="21">
        <f>EXP(-LN(2)/2)*FS182+(1-EXP(-LN(2)/2))/(LN(2)/2)*FM183*FP183*VLOOKUP('Données projet'!$B$16,Paramètres!$A$1:$I$89,3,0)*0.475*44/12</f>
        <v>3.7684574873772025E-14</v>
      </c>
      <c r="FT183" s="22">
        <f t="shared" si="184"/>
        <v>14.727979245945688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-1.4897523215040567E-13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381.72225529388083</v>
      </c>
      <c r="T184" s="59">
        <f t="shared" si="142"/>
        <v>360.05900046417361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24.021905213007976</v>
      </c>
      <c r="AA184" s="21">
        <f>EXP(-LN(2)/25)*AA183+(1-EXP(-LN(2)/25))/(LN(2)/25)*Calculateur!V184*Calculateur!X184*VLOOKUP('Données projet'!$B$9,Paramètres!$A$1:$I$89,3,0)*0.475*44/12</f>
        <v>2.025496147981571</v>
      </c>
      <c r="AB184" s="21">
        <f>EXP(-LN(2)/2)*AB183+(1-EXP(-LN(2)/2))/(LN(2)/2)*V184*Y184*VLOOKUP('Données projet'!$B$9,Paramètres!$A$1:$I$89,3,0)*0.475*44/12</f>
        <v>2.9557975873514807E-23</v>
      </c>
      <c r="AC184" s="22">
        <f t="shared" si="163"/>
        <v>26.047401360989547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-4.1677594708744434E-14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464.3681853739115</v>
      </c>
      <c r="AO184" s="59">
        <f t="shared" si="144"/>
        <v>272.97841038165217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38.404426727072973</v>
      </c>
      <c r="AV184" s="21">
        <f>EXP(-LN(2)/25)*AV183+(1-EXP(-LN(2)/25))/(LN(2)/25)*Calculateur!AQ184*Calculateur!AS184*VLOOKUP('Données projet'!$B$10,Paramètres!$A$1:$I$89,3,0)*0.475*44/12</f>
        <v>6.2116552563921692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44.616081983465143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-1.3567387213697657E-13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299.10536994156814</v>
      </c>
      <c r="BJ184" s="59">
        <f t="shared" si="146"/>
        <v>292.57799203101769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13.987754662984885</v>
      </c>
      <c r="BQ184" s="21">
        <f>EXP(-LN(2)/25)*BQ183+(1-EXP(-LN(2)/25))/(LN(2)/25)*Calculateur!BL184*Calculateur!BN184*VLOOKUP('Données projet'!$B$11,Paramètres!$A$1:$I$89,3,0)*0.475*44/12</f>
        <v>0.17237060994911554</v>
      </c>
      <c r="BR184" s="21">
        <f>EXP(-LN(2)/2)*BR183+(1-EXP(-LN(2)/2))/(LN(2)/2)*BL184*BO184*VLOOKUP('Données projet'!$B$11,Paramètres!$A$1:$I$89,3,0)*0.475*44/12</f>
        <v>2.613457577708061E-14</v>
      </c>
      <c r="BS184" s="22">
        <f t="shared" si="169"/>
        <v>14.160125272934028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-1.7053025658242404E-13</v>
      </c>
      <c r="BZ184" s="13">
        <f>BY184*VLOOKUP('Données projet'!$B$12,Paramètres!$A$1:$I$89,3,0)*VLOOKUP('Données projet'!$B$12,Paramètres!$A$1:$I$89,5,0)</f>
        <v>-1.3567387213697657E-13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299.10536994156814</v>
      </c>
      <c r="CE184" s="59">
        <f t="shared" si="148"/>
        <v>292.57799203101769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13.987754662984885</v>
      </c>
      <c r="CL184" s="21">
        <f>EXP(-LN(2)/25)*CL183+(1-EXP(-LN(2)/25))/(LN(2)/25)*Calculateur!CG184*Calculateur!CI184*VLOOKUP('Données projet'!$B$12,Paramètres!$A$1:$I$89,3,0)*0.475*44/12</f>
        <v>0.17237060994911554</v>
      </c>
      <c r="CM184" s="21">
        <f>EXP(-LN(2)/2)*CM183+(1-EXP(-LN(2)/2))/(LN(2)/2)*CG184*CJ184*VLOOKUP('Données projet'!$B$12,Paramètres!$A$1:$I$89,3,0)*0.475*44/12</f>
        <v>2.613457577708061E-14</v>
      </c>
      <c r="CN184" s="22">
        <f t="shared" si="172"/>
        <v>14.160125272934028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-7.9580786405131221E-13</v>
      </c>
      <c r="CU184" s="17">
        <f>CT184*VLOOKUP('Données projet'!$B$13,Paramètres!$A$1:$I$89,3,0)*VLOOKUP('Données projet'!$B$13,Paramètres!$A$1:$I$89,5,0)</f>
        <v>-7.2004695539362725E-13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528.15559695545812</v>
      </c>
      <c r="CZ184" s="59">
        <f t="shared" si="150"/>
        <v>276.26988364830532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106.90579314142379</v>
      </c>
      <c r="DG184" s="21">
        <f>EXP(-LN(2)/25)*DG183+(1-EXP(-LN(2)/25))/(LN(2)/25)*Calculateur!DB184*Calculateur!DD184*VLOOKUP('Données projet'!$B$13,Paramètres!$A$1:$I$89,3,0)*0.475*44/12</f>
        <v>14.571417036830091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121.47721017825387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-7.9580786405131221E-13</v>
      </c>
      <c r="DP184" s="17">
        <f>DO184*VLOOKUP('Données projet'!$B$14,Paramètres!$A$1:$I$89,3,0)*VLOOKUP('Données projet'!$B$14,Paramètres!$A$1:$I$89,5,0)</f>
        <v>-8.0694917414803056E-13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586.50020405958992</v>
      </c>
      <c r="DU184" s="59">
        <f t="shared" si="152"/>
        <v>304.44184537595294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119.80821645159565</v>
      </c>
      <c r="EB184" s="21">
        <f>EXP(-LN(2)/25)*EB183+(1-EXP(-LN(2)/25))/(LN(2)/25)*Calculateur!DW184*Calculateur!DY184*VLOOKUP('Données projet'!$B$14,Paramètres!$A$1:$I$89,3,0)*0.475*44/12</f>
        <v>16.330036334378558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136.1382527859742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-1.7053025658242404E-13</v>
      </c>
      <c r="EK184" s="17">
        <f>EJ184*VLOOKUP('Données projet'!$B$15,Paramètres!$A$1:$I$89,3,0)*VLOOKUP('Données projet'!$B$15,Paramètres!$A$1:$I$89,5,0)</f>
        <v>-1.6493686416652052E-13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355.72173590705142</v>
      </c>
      <c r="EP184" s="59">
        <f t="shared" si="154"/>
        <v>346.30980704469363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13.796283363491559</v>
      </c>
      <c r="EW184" s="21">
        <f>EXP(-LN(2)/25)*EW183+(1-EXP(-LN(2)/25))/(LN(2)/25)*Calculateur!ER184*Calculateur!ET184*VLOOKUP('Données projet'!$B$15,Paramètres!$A$1:$I$89,3,0)*0.475*44/12</f>
        <v>0.17001111584326398</v>
      </c>
      <c r="EX184" s="21">
        <f>EXP(-LN(2)/2)*EX183+(1-EXP(-LN(2)/2))/(LN(2)/2)*ER184*EU184*VLOOKUP('Données projet'!$B$15,Paramètres!$A$1:$I$89,3,0)*0.475*44/12</f>
        <v>3.1771445062333269E-14</v>
      </c>
      <c r="EY184" s="22">
        <f t="shared" si="181"/>
        <v>13.966294479334856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-1.383341441396624E-13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304.26232113495314</v>
      </c>
      <c r="FK184" s="59">
        <f t="shared" si="156"/>
        <v>297.47246687305056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14.262024362259119</v>
      </c>
      <c r="FR184" s="21">
        <f>EXP(-LN(2)/25)*FR183+(1-EXP(-LN(2)/25))/(LN(2)/25)*Calculateur!FM184*Calculateur!FO184*VLOOKUP('Données projet'!$B$16,Paramètres!$A$1:$I$89,3,0)*0.475*44/12</f>
        <v>0.17575042583047087</v>
      </c>
      <c r="FS184" s="21">
        <f>EXP(-LN(2)/2)*FS183+(1-EXP(-LN(2)/2))/(LN(2)/2)*FM184*FP184*VLOOKUP('Données projet'!$B$16,Paramètres!$A$1:$I$89,3,0)*0.475*44/12</f>
        <v>2.6647018439376383E-14</v>
      </c>
      <c r="FT184" s="22">
        <f t="shared" si="184"/>
        <v>14.437774788089616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-1.4897523215040567E-13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381.72225529388083</v>
      </c>
      <c r="T185" s="59">
        <f t="shared" si="142"/>
        <v>360.05900046417361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23.550850303696311</v>
      </c>
      <c r="AA185" s="21">
        <f>EXP(-LN(2)/25)*AA184+(1-EXP(-LN(2)/25))/(LN(2)/25)*Calculateur!V185*Calculateur!X185*VLOOKUP('Données projet'!$B$9,Paramètres!$A$1:$I$89,3,0)*0.475*44/12</f>
        <v>1.9701088492988019</v>
      </c>
      <c r="AB185" s="21">
        <f>EXP(-LN(2)/2)*AB184+(1-EXP(-LN(2)/2))/(LN(2)/2)*V185*Y185*VLOOKUP('Données projet'!$B$9,Paramètres!$A$1:$I$89,3,0)*0.475*44/12</f>
        <v>2.0900645178310685E-23</v>
      </c>
      <c r="AC185" s="22">
        <f t="shared" si="163"/>
        <v>25.520959152995115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-4.1677594708744434E-14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464.3681853739115</v>
      </c>
      <c r="AO185" s="59">
        <f t="shared" si="144"/>
        <v>272.97841038165217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37.651339343342407</v>
      </c>
      <c r="AV185" s="21">
        <f>EXP(-LN(2)/25)*AV184+(1-EXP(-LN(2)/25))/(LN(2)/25)*Calculateur!AQ185*Calculateur!AS185*VLOOKUP('Données projet'!$B$10,Paramètres!$A$1:$I$89,3,0)*0.475*44/12</f>
        <v>6.0417972167493721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43.69313656009178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-1.3567387213697657E-13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299.10536994156814</v>
      </c>
      <c r="BJ185" s="59">
        <f t="shared" si="146"/>
        <v>292.57799203101769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13.713463325731663</v>
      </c>
      <c r="BQ185" s="21">
        <f>EXP(-LN(2)/25)*BQ184+(1-EXP(-LN(2)/25))/(LN(2)/25)*Calculateur!BL185*Calculateur!BN185*VLOOKUP('Données projet'!$B$11,Paramètres!$A$1:$I$89,3,0)*0.475*44/12</f>
        <v>0.16765712655548057</v>
      </c>
      <c r="BR185" s="21">
        <f>EXP(-LN(2)/2)*BR184+(1-EXP(-LN(2)/2))/(LN(2)/2)*BL185*BO185*VLOOKUP('Données projet'!$B$11,Paramètres!$A$1:$I$89,3,0)*0.475*44/12</f>
        <v>1.8479935755407384E-14</v>
      </c>
      <c r="BS185" s="22">
        <f t="shared" si="169"/>
        <v>13.881120452287162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-1.7053025658242404E-13</v>
      </c>
      <c r="BZ185" s="13">
        <f>BY185*VLOOKUP('Données projet'!$B$12,Paramètres!$A$1:$I$89,3,0)*VLOOKUP('Données projet'!$B$12,Paramètres!$A$1:$I$89,5,0)</f>
        <v>-1.3567387213697657E-13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299.10536994156814</v>
      </c>
      <c r="CE185" s="59">
        <f t="shared" si="148"/>
        <v>292.57799203101769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13.713463325731663</v>
      </c>
      <c r="CL185" s="21">
        <f>EXP(-LN(2)/25)*CL184+(1-EXP(-LN(2)/25))/(LN(2)/25)*Calculateur!CG185*Calculateur!CI185*VLOOKUP('Données projet'!$B$12,Paramètres!$A$1:$I$89,3,0)*0.475*44/12</f>
        <v>0.16765712655548057</v>
      </c>
      <c r="CM185" s="21">
        <f>EXP(-LN(2)/2)*CM184+(1-EXP(-LN(2)/2))/(LN(2)/2)*CG185*CJ185*VLOOKUP('Données projet'!$B$12,Paramètres!$A$1:$I$89,3,0)*0.475*44/12</f>
        <v>1.8479935755407384E-14</v>
      </c>
      <c r="CN185" s="22">
        <f t="shared" si="172"/>
        <v>13.881120452287162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-7.9580786405131221E-13</v>
      </c>
      <c r="CU185" s="17">
        <f>CT185*VLOOKUP('Données projet'!$B$13,Paramètres!$A$1:$I$89,3,0)*VLOOKUP('Données projet'!$B$13,Paramètres!$A$1:$I$89,5,0)</f>
        <v>-7.2004695539362725E-13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528.15559695545812</v>
      </c>
      <c r="CZ185" s="59">
        <f t="shared" si="150"/>
        <v>276.26988364830532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104.80943574401572</v>
      </c>
      <c r="DG185" s="21">
        <f>EXP(-LN(2)/25)*DG184+(1-EXP(-LN(2)/25))/(LN(2)/25)*Calculateur!DB185*Calculateur!DD185*VLOOKUP('Données projet'!$B$13,Paramètres!$A$1:$I$89,3,0)*0.475*44/12</f>
        <v>14.172960871680454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118.98239661569617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-7.9580786405131221E-13</v>
      </c>
      <c r="DP185" s="17">
        <f>DO185*VLOOKUP('Données projet'!$B$14,Paramètres!$A$1:$I$89,3,0)*VLOOKUP('Données projet'!$B$14,Paramètres!$A$1:$I$89,5,0)</f>
        <v>-8.0694917414803056E-13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586.50020405958992</v>
      </c>
      <c r="DU185" s="59">
        <f t="shared" si="152"/>
        <v>304.44184537595294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117.45885040277626</v>
      </c>
      <c r="EB185" s="21">
        <f>EXP(-LN(2)/25)*EB184+(1-EXP(-LN(2)/25))/(LN(2)/25)*Calculateur!DW185*Calculateur!DY185*VLOOKUP('Données projet'!$B$14,Paramètres!$A$1:$I$89,3,0)*0.475*44/12</f>
        <v>15.883490632055688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133.34234103483195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-1.7053025658242404E-13</v>
      </c>
      <c r="EK185" s="17">
        <f>EJ185*VLOOKUP('Données projet'!$B$15,Paramètres!$A$1:$I$89,3,0)*VLOOKUP('Données projet'!$B$15,Paramètres!$A$1:$I$89,5,0)</f>
        <v>-1.6493686416652052E-13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355.72173590705142</v>
      </c>
      <c r="EP185" s="59">
        <f t="shared" si="154"/>
        <v>346.30980704469363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13.52574666163544</v>
      </c>
      <c r="EW185" s="21">
        <f>EXP(-LN(2)/25)*EW184+(1-EXP(-LN(2)/25))/(LN(2)/25)*Calculateur!ER185*Calculateur!ET185*VLOOKUP('Données projet'!$B$15,Paramètres!$A$1:$I$89,3,0)*0.475*44/12</f>
        <v>0.1653621529400339</v>
      </c>
      <c r="EX185" s="21">
        <f>EXP(-LN(2)/2)*EX184+(1-EXP(-LN(2)/2))/(LN(2)/2)*ER185*EU185*VLOOKUP('Données projet'!$B$15,Paramètres!$A$1:$I$89,3,0)*0.475*44/12</f>
        <v>2.2465804251671707E-14</v>
      </c>
      <c r="EY185" s="22">
        <f t="shared" si="181"/>
        <v>13.691108814575497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-1.383341441396624E-13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304.26232113495314</v>
      </c>
      <c r="FK185" s="59">
        <f t="shared" si="156"/>
        <v>297.47246687305056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13.982354763491125</v>
      </c>
      <c r="FR185" s="21">
        <f>EXP(-LN(2)/25)*FR184+(1-EXP(-LN(2)/25))/(LN(2)/25)*Calculateur!FM185*Calculateur!FO185*VLOOKUP('Données projet'!$B$16,Paramètres!$A$1:$I$89,3,0)*0.475*44/12</f>
        <v>0.17094452119382345</v>
      </c>
      <c r="FS185" s="21">
        <f>EXP(-LN(2)/2)*FS184+(1-EXP(-LN(2)/2))/(LN(2)/2)*FM185*FP185*VLOOKUP('Données projet'!$B$16,Paramètres!$A$1:$I$89,3,0)*0.475*44/12</f>
        <v>1.8842287436886013E-14</v>
      </c>
      <c r="FT185" s="22">
        <f t="shared" si="184"/>
        <v>14.153299284684968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-1.4897523215040567E-13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381.72225529388083</v>
      </c>
      <c r="T186" s="59">
        <f t="shared" si="142"/>
        <v>360.05900046417361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23.089032493841124</v>
      </c>
      <c r="AA186" s="21">
        <f>EXP(-LN(2)/25)*AA185+(1-EXP(-LN(2)/25))/(LN(2)/25)*Calculateur!V186*Calculateur!X186*VLOOKUP('Données projet'!$B$9,Paramètres!$A$1:$I$89,3,0)*0.475*44/12</f>
        <v>1.9162361192112045</v>
      </c>
      <c r="AB186" s="21">
        <f>EXP(-LN(2)/2)*AB185+(1-EXP(-LN(2)/2))/(LN(2)/2)*V186*Y186*VLOOKUP('Données projet'!$B$9,Paramètres!$A$1:$I$89,3,0)*0.475*44/12</f>
        <v>1.4778987936757403E-23</v>
      </c>
      <c r="AC186" s="22">
        <f t="shared" si="163"/>
        <v>25.00526861305233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-4.1677594708744434E-14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464.3681853739115</v>
      </c>
      <c r="AO186" s="59">
        <f t="shared" si="144"/>
        <v>272.97841038165217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36.913019543868849</v>
      </c>
      <c r="AV186" s="21">
        <f>EXP(-LN(2)/25)*AV185+(1-EXP(-LN(2)/25))/(LN(2)/25)*Calculateur!AQ186*Calculateur!AS186*VLOOKUP('Données projet'!$B$10,Paramètres!$A$1:$I$89,3,0)*0.475*44/12</f>
        <v>5.8765839541330536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42.789603498001902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-1.3567387213697657E-13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299.10536994156814</v>
      </c>
      <c r="BJ186" s="59">
        <f t="shared" si="146"/>
        <v>292.57799203101769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13.444550674300778</v>
      </c>
      <c r="BQ186" s="21">
        <f>EXP(-LN(2)/25)*BQ185+(1-EXP(-LN(2)/25))/(LN(2)/25)*Calculateur!BL186*Calculateur!BN186*VLOOKUP('Données projet'!$B$11,Paramètres!$A$1:$I$89,3,0)*0.475*44/12</f>
        <v>0.16307253361311586</v>
      </c>
      <c r="BR186" s="21">
        <f>EXP(-LN(2)/2)*BR185+(1-EXP(-LN(2)/2))/(LN(2)/2)*BL186*BO186*VLOOKUP('Données projet'!$B$11,Paramètres!$A$1:$I$89,3,0)*0.475*44/12</f>
        <v>1.3067287888540305E-14</v>
      </c>
      <c r="BS186" s="22">
        <f t="shared" si="169"/>
        <v>13.607623207913907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-1.7053025658242404E-13</v>
      </c>
      <c r="BZ186" s="13">
        <f>BY186*VLOOKUP('Données projet'!$B$12,Paramètres!$A$1:$I$89,3,0)*VLOOKUP('Données projet'!$B$12,Paramètres!$A$1:$I$89,5,0)</f>
        <v>-1.3567387213697657E-13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299.10536994156814</v>
      </c>
      <c r="CE186" s="59">
        <f t="shared" si="148"/>
        <v>292.57799203101769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13.444550674300778</v>
      </c>
      <c r="CL186" s="21">
        <f>EXP(-LN(2)/25)*CL185+(1-EXP(-LN(2)/25))/(LN(2)/25)*Calculateur!CG186*Calculateur!CI186*VLOOKUP('Données projet'!$B$12,Paramètres!$A$1:$I$89,3,0)*0.475*44/12</f>
        <v>0.16307253361311586</v>
      </c>
      <c r="CM186" s="21">
        <f>EXP(-LN(2)/2)*CM185+(1-EXP(-LN(2)/2))/(LN(2)/2)*CG186*CJ186*VLOOKUP('Données projet'!$B$12,Paramètres!$A$1:$I$89,3,0)*0.475*44/12</f>
        <v>1.3067287888540305E-14</v>
      </c>
      <c r="CN186" s="22">
        <f t="shared" si="172"/>
        <v>13.607623207913907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-7.9580786405131221E-13</v>
      </c>
      <c r="CU186" s="17">
        <f>CT186*VLOOKUP('Données projet'!$B$13,Paramètres!$A$1:$I$89,3,0)*VLOOKUP('Données projet'!$B$13,Paramètres!$A$1:$I$89,5,0)</f>
        <v>-7.2004695539362725E-13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528.15559695545812</v>
      </c>
      <c r="CZ186" s="59">
        <f t="shared" si="150"/>
        <v>276.26988364830532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102.75418663651907</v>
      </c>
      <c r="DG186" s="21">
        <f>EXP(-LN(2)/25)*DG185+(1-EXP(-LN(2)/25))/(LN(2)/25)*Calculateur!DB186*Calculateur!DD186*VLOOKUP('Données projet'!$B$13,Paramètres!$A$1:$I$89,3,0)*0.475*44/12</f>
        <v>13.785400511320733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116.5395871478398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-7.9580786405131221E-13</v>
      </c>
      <c r="DP186" s="17">
        <f>DO186*VLOOKUP('Données projet'!$B$14,Paramètres!$A$1:$I$89,3,0)*VLOOKUP('Données projet'!$B$14,Paramètres!$A$1:$I$89,5,0)</f>
        <v>-8.0694917414803056E-13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586.50020405958992</v>
      </c>
      <c r="DU186" s="59">
        <f t="shared" si="152"/>
        <v>304.44184537595294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115.15555398920243</v>
      </c>
      <c r="EB186" s="21">
        <f>EXP(-LN(2)/25)*EB185+(1-EXP(-LN(2)/25))/(LN(2)/25)*Calculateur!DW186*Calculateur!DY186*VLOOKUP('Données projet'!$B$14,Paramètres!$A$1:$I$89,3,0)*0.475*44/12</f>
        <v>15.449155745445655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130.60470973464808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-1.7053025658242404E-13</v>
      </c>
      <c r="EK186" s="17">
        <f>EJ186*VLOOKUP('Données projet'!$B$15,Paramètres!$A$1:$I$89,3,0)*VLOOKUP('Données projet'!$B$15,Paramètres!$A$1:$I$89,5,0)</f>
        <v>-1.6493686416652052E-13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355.72173590705142</v>
      </c>
      <c r="EP186" s="59">
        <f t="shared" si="154"/>
        <v>346.30980704469363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13.260515019491622</v>
      </c>
      <c r="EW186" s="21">
        <f>EXP(-LN(2)/25)*EW185+(1-EXP(-LN(2)/25))/(LN(2)/25)*Calculateur!ER186*Calculateur!ET186*VLOOKUP('Données projet'!$B$15,Paramètres!$A$1:$I$89,3,0)*0.475*44/12</f>
        <v>0.16084031617187097</v>
      </c>
      <c r="EX186" s="21">
        <f>EXP(-LN(2)/2)*EX185+(1-EXP(-LN(2)/2))/(LN(2)/2)*ER186*EU186*VLOOKUP('Données projet'!$B$15,Paramètres!$A$1:$I$89,3,0)*0.475*44/12</f>
        <v>1.5885722531166635E-14</v>
      </c>
      <c r="EY186" s="22">
        <f t="shared" si="181"/>
        <v>13.42135533566351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-1.383341441396624E-13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304.26232113495314</v>
      </c>
      <c r="FK186" s="59">
        <f t="shared" si="156"/>
        <v>297.47246687305056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13.708169314973361</v>
      </c>
      <c r="FR186" s="21">
        <f>EXP(-LN(2)/25)*FR185+(1-EXP(-LN(2)/25))/(LN(2)/25)*Calculateur!FM186*Calculateur!FO186*VLOOKUP('Données projet'!$B$16,Paramètres!$A$1:$I$89,3,0)*0.475*44/12</f>
        <v>0.16627003427219667</v>
      </c>
      <c r="FS186" s="21">
        <f>EXP(-LN(2)/2)*FS185+(1-EXP(-LN(2)/2))/(LN(2)/2)*FM186*FP186*VLOOKUP('Données projet'!$B$16,Paramètres!$A$1:$I$89,3,0)*0.475*44/12</f>
        <v>1.3323509219688191E-14</v>
      </c>
      <c r="FT186" s="22">
        <f t="shared" si="184"/>
        <v>13.874439349245572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-1.4897523215040567E-13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381.72225529388083</v>
      </c>
      <c r="T187" s="59">
        <f t="shared" si="142"/>
        <v>360.05900046417361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22.636270649556149</v>
      </c>
      <c r="AA187" s="21">
        <f>EXP(-LN(2)/25)*AA186+(1-EXP(-LN(2)/25))/(LN(2)/25)*Calculateur!V187*Calculateur!X187*VLOOKUP('Données projet'!$B$9,Paramètres!$A$1:$I$89,3,0)*0.475*44/12</f>
        <v>1.8638365417608962</v>
      </c>
      <c r="AB187" s="21">
        <f>EXP(-LN(2)/2)*AB186+(1-EXP(-LN(2)/2))/(LN(2)/2)*V187*Y187*VLOOKUP('Données projet'!$B$9,Paramètres!$A$1:$I$89,3,0)*0.475*44/12</f>
        <v>1.0450322589155343E-23</v>
      </c>
      <c r="AC187" s="22">
        <f t="shared" si="163"/>
        <v>24.500107191317046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-4.1677594708744434E-14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464.3681853739115</v>
      </c>
      <c r="AO187" s="59">
        <f t="shared" si="144"/>
        <v>272.97841038165217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36.189177745332358</v>
      </c>
      <c r="AV187" s="21">
        <f>EXP(-LN(2)/25)*AV186+(1-EXP(-LN(2)/25))/(LN(2)/25)*Calculateur!AQ187*Calculateur!AS187*VLOOKUP('Données projet'!$B$10,Paramètres!$A$1:$I$89,3,0)*0.475*44/12</f>
        <v>5.7158884568711663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41.905066202203528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-1.3567387213697657E-13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299.10536994156814</v>
      </c>
      <c r="BJ187" s="59">
        <f t="shared" si="146"/>
        <v>292.57799203101769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13.180911235943933</v>
      </c>
      <c r="BQ187" s="21">
        <f>EXP(-LN(2)/25)*BQ186+(1-EXP(-LN(2)/25))/(LN(2)/25)*Calculateur!BL187*Calculateur!BN187*VLOOKUP('Données projet'!$B$11,Paramètres!$A$1:$I$89,3,0)*0.475*44/12</f>
        <v>0.15861330660585338</v>
      </c>
      <c r="BR187" s="21">
        <f>EXP(-LN(2)/2)*BR186+(1-EXP(-LN(2)/2))/(LN(2)/2)*BL187*BO187*VLOOKUP('Données projet'!$B$11,Paramètres!$A$1:$I$89,3,0)*0.475*44/12</f>
        <v>9.2399678777036919E-15</v>
      </c>
      <c r="BS187" s="22">
        <f t="shared" si="169"/>
        <v>13.339524542549794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-1.7053025658242404E-13</v>
      </c>
      <c r="BZ187" s="13">
        <f>BY187*VLOOKUP('Données projet'!$B$12,Paramètres!$A$1:$I$89,3,0)*VLOOKUP('Données projet'!$B$12,Paramètres!$A$1:$I$89,5,0)</f>
        <v>-1.3567387213697657E-13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299.10536994156814</v>
      </c>
      <c r="CE187" s="59">
        <f t="shared" si="148"/>
        <v>292.57799203101769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13.180911235943933</v>
      </c>
      <c r="CL187" s="21">
        <f>EXP(-LN(2)/25)*CL186+(1-EXP(-LN(2)/25))/(LN(2)/25)*Calculateur!CG187*Calculateur!CI187*VLOOKUP('Données projet'!$B$12,Paramètres!$A$1:$I$89,3,0)*0.475*44/12</f>
        <v>0.15861330660585338</v>
      </c>
      <c r="CM187" s="21">
        <f>EXP(-LN(2)/2)*CM186+(1-EXP(-LN(2)/2))/(LN(2)/2)*CG187*CJ187*VLOOKUP('Données projet'!$B$12,Paramètres!$A$1:$I$89,3,0)*0.475*44/12</f>
        <v>9.2399678777036919E-15</v>
      </c>
      <c r="CN187" s="22">
        <f t="shared" si="172"/>
        <v>13.339524542549794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-7.9580786405131221E-13</v>
      </c>
      <c r="CU187" s="17">
        <f>CT187*VLOOKUP('Données projet'!$B$13,Paramètres!$A$1:$I$89,3,0)*VLOOKUP('Données projet'!$B$13,Paramètres!$A$1:$I$89,5,0)</f>
        <v>-7.2004695539362725E-13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528.15559695545812</v>
      </c>
      <c r="CZ187" s="59">
        <f t="shared" si="150"/>
        <v>276.26988364830532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100.73923971044225</v>
      </c>
      <c r="DG187" s="21">
        <f>EXP(-LN(2)/25)*DG186+(1-EXP(-LN(2)/25))/(LN(2)/25)*Calculateur!DB187*Calculateur!DD187*VLOOKUP('Données projet'!$B$13,Paramètres!$A$1:$I$89,3,0)*0.475*44/12</f>
        <v>13.408438009395962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114.14767771983821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-7.9580786405131221E-13</v>
      </c>
      <c r="DP187" s="17">
        <f>DO187*VLOOKUP('Données projet'!$B$14,Paramètres!$A$1:$I$89,3,0)*VLOOKUP('Données projet'!$B$14,Paramètres!$A$1:$I$89,5,0)</f>
        <v>-8.0694917414803056E-13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586.50020405958992</v>
      </c>
      <c r="DU187" s="59">
        <f t="shared" si="152"/>
        <v>304.44184537595294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112.89742381342668</v>
      </c>
      <c r="EB187" s="21">
        <f>EXP(-LN(2)/25)*EB186+(1-EXP(-LN(2)/25))/(LN(2)/25)*Calculateur!DW187*Calculateur!DY187*VLOOKUP('Données projet'!$B$14,Paramètres!$A$1:$I$89,3,0)*0.475*44/12</f>
        <v>15.026697769150653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127.92412158257734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-1.7053025658242404E-13</v>
      </c>
      <c r="EK187" s="17">
        <f>EJ187*VLOOKUP('Données projet'!$B$15,Paramètres!$A$1:$I$89,3,0)*VLOOKUP('Données projet'!$B$15,Paramètres!$A$1:$I$89,5,0)</f>
        <v>-1.6493686416652052E-13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355.72173590705142</v>
      </c>
      <c r="EP187" s="59">
        <f t="shared" si="154"/>
        <v>346.30980704469363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13.000484408074918</v>
      </c>
      <c r="EW187" s="21">
        <f>EXP(-LN(2)/25)*EW186+(1-EXP(-LN(2)/25))/(LN(2)/25)*Calculateur!ER187*Calculateur!ET187*VLOOKUP('Données projet'!$B$15,Paramètres!$A$1:$I$89,3,0)*0.475*44/12</f>
        <v>0.15644212926792653</v>
      </c>
      <c r="EX187" s="21">
        <f>EXP(-LN(2)/2)*EX186+(1-EXP(-LN(2)/2))/(LN(2)/2)*ER187*EU187*VLOOKUP('Données projet'!$B$15,Paramètres!$A$1:$I$89,3,0)*0.475*44/12</f>
        <v>1.1232902125835854E-14</v>
      </c>
      <c r="EY187" s="22">
        <f t="shared" si="181"/>
        <v>13.156926537342855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-1.383341441396624E-13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304.26232113495314</v>
      </c>
      <c r="FK187" s="59">
        <f t="shared" si="156"/>
        <v>297.47246687305056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13.439360475864421</v>
      </c>
      <c r="FR187" s="21">
        <f>EXP(-LN(2)/25)*FR186+(1-EXP(-LN(2)/25))/(LN(2)/25)*Calculateur!FM187*Calculateur!FO187*VLOOKUP('Données projet'!$B$16,Paramètres!$A$1:$I$89,3,0)*0.475*44/12</f>
        <v>0.16172337144126236</v>
      </c>
      <c r="FS187" s="21">
        <f>EXP(-LN(2)/2)*FS186+(1-EXP(-LN(2)/2))/(LN(2)/2)*FM187*FP187*VLOOKUP('Données projet'!$B$16,Paramètres!$A$1:$I$89,3,0)*0.475*44/12</f>
        <v>9.4211437184430063E-15</v>
      </c>
      <c r="FT187" s="22">
        <f t="shared" si="184"/>
        <v>13.601083847305691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-1.4897523215040567E-13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381.72225529388083</v>
      </c>
      <c r="T188" s="59">
        <f t="shared" si="142"/>
        <v>360.05900046417361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22.192387188880144</v>
      </c>
      <c r="AA188" s="21">
        <f>EXP(-LN(2)/25)*AA187+(1-EXP(-LN(2)/25))/(LN(2)/25)*Calculateur!V188*Calculateur!X188*VLOOKUP('Données projet'!$B$9,Paramètres!$A$1:$I$89,3,0)*0.475*44/12</f>
        <v>1.8128698335115405</v>
      </c>
      <c r="AB188" s="21">
        <f>EXP(-LN(2)/2)*AB187+(1-EXP(-LN(2)/2))/(LN(2)/2)*V188*Y188*VLOOKUP('Données projet'!$B$9,Paramètres!$A$1:$I$89,3,0)*0.475*44/12</f>
        <v>7.3894939683787016E-24</v>
      </c>
      <c r="AC188" s="22">
        <f t="shared" si="163"/>
        <v>24.005257022391685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-4.1677594708744434E-14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464.3681853739115</v>
      </c>
      <c r="AO188" s="59">
        <f t="shared" si="144"/>
        <v>272.97841038165217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35.479530042965266</v>
      </c>
      <c r="AV188" s="21">
        <f>EXP(-LN(2)/25)*AV187+(1-EXP(-LN(2)/25))/(LN(2)/25)*Calculateur!AQ188*Calculateur!AS188*VLOOKUP('Données projet'!$B$10,Paramètres!$A$1:$I$89,3,0)*0.475*44/12</f>
        <v>5.5595871864325144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41.039117229397782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-1.3567387213697657E-13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299.10536994156814</v>
      </c>
      <c r="BJ188" s="59">
        <f t="shared" si="146"/>
        <v>292.57799203101769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12.922441606169086</v>
      </c>
      <c r="BQ188" s="21">
        <f>EXP(-LN(2)/25)*BQ187+(1-EXP(-LN(2)/25))/(LN(2)/25)*Calculateur!BL188*Calculateur!BN188*VLOOKUP('Données projet'!$B$11,Paramètres!$A$1:$I$89,3,0)*0.475*44/12</f>
        <v>0.15427601739560504</v>
      </c>
      <c r="BR188" s="21">
        <f>EXP(-LN(2)/2)*BR187+(1-EXP(-LN(2)/2))/(LN(2)/2)*BL188*BO188*VLOOKUP('Données projet'!$B$11,Paramètres!$A$1:$I$89,3,0)*0.475*44/12</f>
        <v>6.5336439442701525E-15</v>
      </c>
      <c r="BS188" s="22">
        <f t="shared" si="169"/>
        <v>13.076717623564697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-1.7053025658242404E-13</v>
      </c>
      <c r="BZ188" s="13">
        <f>BY188*VLOOKUP('Données projet'!$B$12,Paramètres!$A$1:$I$89,3,0)*VLOOKUP('Données projet'!$B$12,Paramètres!$A$1:$I$89,5,0)</f>
        <v>-1.3567387213697657E-13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299.10536994156814</v>
      </c>
      <c r="CE188" s="59">
        <f t="shared" si="148"/>
        <v>292.57799203101769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12.922441606169086</v>
      </c>
      <c r="CL188" s="21">
        <f>EXP(-LN(2)/25)*CL187+(1-EXP(-LN(2)/25))/(LN(2)/25)*Calculateur!CG188*Calculateur!CI188*VLOOKUP('Données projet'!$B$12,Paramètres!$A$1:$I$89,3,0)*0.475*44/12</f>
        <v>0.15427601739560504</v>
      </c>
      <c r="CM188" s="21">
        <f>EXP(-LN(2)/2)*CM187+(1-EXP(-LN(2)/2))/(LN(2)/2)*CG188*CJ188*VLOOKUP('Données projet'!$B$12,Paramètres!$A$1:$I$89,3,0)*0.475*44/12</f>
        <v>6.5336439442701525E-15</v>
      </c>
      <c r="CN188" s="22">
        <f t="shared" si="172"/>
        <v>13.076717623564697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-7.9580786405131221E-13</v>
      </c>
      <c r="CU188" s="17">
        <f>CT188*VLOOKUP('Données projet'!$B$13,Paramètres!$A$1:$I$89,3,0)*VLOOKUP('Données projet'!$B$13,Paramètres!$A$1:$I$89,5,0)</f>
        <v>-7.2004695539362725E-13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528.15559695545812</v>
      </c>
      <c r="CZ188" s="59">
        <f t="shared" si="150"/>
        <v>276.26988364830532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98.763804664589529</v>
      </c>
      <c r="DG188" s="21">
        <f>EXP(-LN(2)/25)*DG187+(1-EXP(-LN(2)/25))/(LN(2)/25)*Calculateur!DB188*Calculateur!DD188*VLOOKUP('Données projet'!$B$13,Paramètres!$A$1:$I$89,3,0)*0.475*44/12</f>
        <v>13.041783566909919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111.80558823149944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-7.9580786405131221E-13</v>
      </c>
      <c r="DP188" s="17">
        <f>DO188*VLOOKUP('Données projet'!$B$14,Paramètres!$A$1:$I$89,3,0)*VLOOKUP('Données projet'!$B$14,Paramètres!$A$1:$I$89,5,0)</f>
        <v>-8.0694917414803056E-13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586.50020405958992</v>
      </c>
      <c r="DU188" s="59">
        <f t="shared" si="152"/>
        <v>304.44184537595294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110.68357419307449</v>
      </c>
      <c r="EB188" s="21">
        <f>EXP(-LN(2)/25)*EB187+(1-EXP(-LN(2)/25))/(LN(2)/25)*Calculateur!DW188*Calculateur!DY188*VLOOKUP('Données projet'!$B$14,Paramètres!$A$1:$I$89,3,0)*0.475*44/12</f>
        <v>14.615791928433536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125.29936612150803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-1.7053025658242404E-13</v>
      </c>
      <c r="EK188" s="17">
        <f>EJ188*VLOOKUP('Données projet'!$B$15,Paramètres!$A$1:$I$89,3,0)*VLOOKUP('Données projet'!$B$15,Paramètres!$A$1:$I$89,5,0)</f>
        <v>-1.6493686416652052E-13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355.72173590705142</v>
      </c>
      <c r="EP188" s="59">
        <f t="shared" si="154"/>
        <v>346.30980704469363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12.745552838345084</v>
      </c>
      <c r="EW188" s="21">
        <f>EXP(-LN(2)/25)*EW187+(1-EXP(-LN(2)/25))/(LN(2)/25)*Calculateur!ER188*Calculateur!ET188*VLOOKUP('Données projet'!$B$15,Paramètres!$A$1:$I$89,3,0)*0.475*44/12</f>
        <v>0.15216421101616104</v>
      </c>
      <c r="EX188" s="21">
        <f>EXP(-LN(2)/2)*EX187+(1-EXP(-LN(2)/2))/(LN(2)/2)*ER188*EU188*VLOOKUP('Données projet'!$B$15,Paramètres!$A$1:$I$89,3,0)*0.475*44/12</f>
        <v>7.9428612655833173E-15</v>
      </c>
      <c r="EY188" s="22">
        <f t="shared" si="181"/>
        <v>12.897717049361253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-1.383341441396624E-13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304.26232113495314</v>
      </c>
      <c r="FK188" s="59">
        <f t="shared" si="156"/>
        <v>297.47246687305056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13.175822814133204</v>
      </c>
      <c r="FR188" s="21">
        <f>EXP(-LN(2)/25)*FR187+(1-EXP(-LN(2)/25))/(LN(2)/25)*Calculateur!FM188*Calculateur!FO188*VLOOKUP('Données projet'!$B$16,Paramètres!$A$1:$I$89,3,0)*0.475*44/12</f>
        <v>0.15730103734453857</v>
      </c>
      <c r="FS188" s="21">
        <f>EXP(-LN(2)/2)*FS187+(1-EXP(-LN(2)/2))/(LN(2)/2)*FM188*FP188*VLOOKUP('Données projet'!$B$16,Paramètres!$A$1:$I$89,3,0)*0.475*44/12</f>
        <v>6.6617546098440956E-15</v>
      </c>
      <c r="FT188" s="22">
        <f t="shared" si="184"/>
        <v>13.333123851477749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-1.4897523215040567E-13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381.72225529388083</v>
      </c>
      <c r="T189" s="59">
        <f t="shared" si="142"/>
        <v>360.05900046417361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21.757208012125819</v>
      </c>
      <c r="AA189" s="21">
        <f>EXP(-LN(2)/25)*AA188+(1-EXP(-LN(2)/25))/(LN(2)/25)*Calculateur!V189*Calculateur!X189*VLOOKUP('Données projet'!$B$9,Paramètres!$A$1:$I$89,3,0)*0.475*44/12</f>
        <v>1.7632968125794863</v>
      </c>
      <c r="AB189" s="21">
        <f>EXP(-LN(2)/2)*AB188+(1-EXP(-LN(2)/2))/(LN(2)/2)*V189*Y189*VLOOKUP('Données projet'!$B$9,Paramètres!$A$1:$I$89,3,0)*0.475*44/12</f>
        <v>5.2251612945776714E-24</v>
      </c>
      <c r="AC189" s="22">
        <f t="shared" si="163"/>
        <v>23.520504824705306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-4.1677594708744434E-14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464.3681853739115</v>
      </c>
      <c r="AO189" s="59">
        <f t="shared" si="144"/>
        <v>272.97841038165217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34.783798099199231</v>
      </c>
      <c r="AV189" s="21">
        <f>EXP(-LN(2)/25)*AV188+(1-EXP(-LN(2)/25))/(LN(2)/25)*Calculateur!AQ189*Calculateur!AS189*VLOOKUP('Données projet'!$B$10,Paramètres!$A$1:$I$89,3,0)*0.475*44/12</f>
        <v>5.4075599824535336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40.191358081652766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-1.3567387213697657E-13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299.10536994156814</v>
      </c>
      <c r="BJ189" s="59">
        <f t="shared" si="146"/>
        <v>292.57799203101769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12.669040408183216</v>
      </c>
      <c r="BQ189" s="21">
        <f>EXP(-LN(2)/25)*BQ188+(1-EXP(-LN(2)/25))/(LN(2)/25)*Calculateur!BL189*Calculateur!BN189*VLOOKUP('Données projet'!$B$11,Paramètres!$A$1:$I$89,3,0)*0.475*44/12</f>
        <v>0.15005733158689907</v>
      </c>
      <c r="BR189" s="21">
        <f>EXP(-LN(2)/2)*BR188+(1-EXP(-LN(2)/2))/(LN(2)/2)*BL189*BO189*VLOOKUP('Données projet'!$B$11,Paramètres!$A$1:$I$89,3,0)*0.475*44/12</f>
        <v>4.619983938851846E-15</v>
      </c>
      <c r="BS189" s="22">
        <f t="shared" si="169"/>
        <v>12.81909773977012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-1.7053025658242404E-13</v>
      </c>
      <c r="BZ189" s="13">
        <f>BY189*VLOOKUP('Données projet'!$B$12,Paramètres!$A$1:$I$89,3,0)*VLOOKUP('Données projet'!$B$12,Paramètres!$A$1:$I$89,5,0)</f>
        <v>-1.3567387213697657E-13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299.10536994156814</v>
      </c>
      <c r="CE189" s="59">
        <f t="shared" si="148"/>
        <v>292.57799203101769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12.669040408183216</v>
      </c>
      <c r="CL189" s="21">
        <f>EXP(-LN(2)/25)*CL188+(1-EXP(-LN(2)/25))/(LN(2)/25)*Calculateur!CG189*Calculateur!CI189*VLOOKUP('Données projet'!$B$12,Paramètres!$A$1:$I$89,3,0)*0.475*44/12</f>
        <v>0.15005733158689907</v>
      </c>
      <c r="CM189" s="21">
        <f>EXP(-LN(2)/2)*CM188+(1-EXP(-LN(2)/2))/(LN(2)/2)*CG189*CJ189*VLOOKUP('Données projet'!$B$12,Paramètres!$A$1:$I$89,3,0)*0.475*44/12</f>
        <v>4.619983938851846E-15</v>
      </c>
      <c r="CN189" s="22">
        <f t="shared" si="172"/>
        <v>12.81909773977012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-7.9580786405131221E-13</v>
      </c>
      <c r="CU189" s="17">
        <f>CT189*VLOOKUP('Données projet'!$B$13,Paramètres!$A$1:$I$89,3,0)*VLOOKUP('Données projet'!$B$13,Paramètres!$A$1:$I$89,5,0)</f>
        <v>-7.2004695539362725E-13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528.15559695545812</v>
      </c>
      <c r="CZ189" s="59">
        <f t="shared" si="150"/>
        <v>276.26988364830532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96.827106695089569</v>
      </c>
      <c r="DG189" s="21">
        <f>EXP(-LN(2)/25)*DG188+(1-EXP(-LN(2)/25))/(LN(2)/25)*Calculateur!DB189*Calculateur!DD189*VLOOKUP('Données projet'!$B$13,Paramètres!$A$1:$I$89,3,0)*0.475*44/12</f>
        <v>12.685155309435176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109.51226200452474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-7.9580786405131221E-13</v>
      </c>
      <c r="DP189" s="17">
        <f>DO189*VLOOKUP('Données projet'!$B$14,Paramètres!$A$1:$I$89,3,0)*VLOOKUP('Données projet'!$B$14,Paramètres!$A$1:$I$89,5,0)</f>
        <v>-8.0694917414803056E-13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586.50020405958992</v>
      </c>
      <c r="DU189" s="59">
        <f t="shared" si="152"/>
        <v>304.44184537595294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108.51313681346247</v>
      </c>
      <c r="EB189" s="21">
        <f>EXP(-LN(2)/25)*EB188+(1-EXP(-LN(2)/25))/(LN(2)/25)*Calculateur!DW189*Calculateur!DY189*VLOOKUP('Données projet'!$B$14,Paramètres!$A$1:$I$89,3,0)*0.475*44/12</f>
        <v>14.216122329539429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122.7292591430019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-1.7053025658242404E-13</v>
      </c>
      <c r="EK189" s="17">
        <f>EJ189*VLOOKUP('Données projet'!$B$15,Paramètres!$A$1:$I$89,3,0)*VLOOKUP('Données projet'!$B$15,Paramètres!$A$1:$I$89,5,0)</f>
        <v>-1.6493686416652052E-13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355.72173590705142</v>
      </c>
      <c r="EP189" s="59">
        <f t="shared" si="154"/>
        <v>346.30980704469363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12.495620321204747</v>
      </c>
      <c r="EW189" s="21">
        <f>EXP(-LN(2)/25)*EW188+(1-EXP(-LN(2)/25))/(LN(2)/25)*Calculateur!ER189*Calculateur!ET189*VLOOKUP('Données projet'!$B$15,Paramètres!$A$1:$I$89,3,0)*0.475*44/12</f>
        <v>0.14800327266395602</v>
      </c>
      <c r="EX189" s="21">
        <f>EXP(-LN(2)/2)*EX188+(1-EXP(-LN(2)/2))/(LN(2)/2)*ER189*EU189*VLOOKUP('Données projet'!$B$15,Paramètres!$A$1:$I$89,3,0)*0.475*44/12</f>
        <v>5.6164510629179269E-15</v>
      </c>
      <c r="EY189" s="22">
        <f t="shared" si="181"/>
        <v>12.643623593868709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-1.383341441396624E-13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304.26232113495314</v>
      </c>
      <c r="FK189" s="59">
        <f t="shared" si="156"/>
        <v>297.47246687305056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12.917452965206433</v>
      </c>
      <c r="FR189" s="21">
        <f>EXP(-LN(2)/25)*FR188+(1-EXP(-LN(2)/25))/(LN(2)/25)*Calculateur!FM189*Calculateur!FO189*VLOOKUP('Données projet'!$B$16,Paramètres!$A$1:$I$89,3,0)*0.475*44/12</f>
        <v>0.15299963220625012</v>
      </c>
      <c r="FS189" s="21">
        <f>EXP(-LN(2)/2)*FS188+(1-EXP(-LN(2)/2))/(LN(2)/2)*FM189*FP189*VLOOKUP('Données projet'!$B$16,Paramètres!$A$1:$I$89,3,0)*0.475*44/12</f>
        <v>4.7105718592215032E-15</v>
      </c>
      <c r="FT189" s="22">
        <f t="shared" si="184"/>
        <v>13.070452597412688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-1.4897523215040567E-13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381.72225529388083</v>
      </c>
      <c r="T190" s="59">
        <f t="shared" si="142"/>
        <v>360.05900046417361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21.330562433594558</v>
      </c>
      <c r="AA190" s="21">
        <f>EXP(-LN(2)/25)*AA189+(1-EXP(-LN(2)/25))/(LN(2)/25)*Calculateur!V190*Calculateur!X190*VLOOKUP('Données projet'!$B$9,Paramètres!$A$1:$I$89,3,0)*0.475*44/12</f>
        <v>1.7150793685117509</v>
      </c>
      <c r="AB190" s="21">
        <f>EXP(-LN(2)/2)*AB189+(1-EXP(-LN(2)/2))/(LN(2)/2)*V190*Y190*VLOOKUP('Données projet'!$B$9,Paramètres!$A$1:$I$89,3,0)*0.475*44/12</f>
        <v>3.6947469841893508E-24</v>
      </c>
      <c r="AC190" s="22">
        <f t="shared" si="163"/>
        <v>23.04564180210631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-4.1677594708744434E-14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464.3681853739115</v>
      </c>
      <c r="AO190" s="59">
        <f t="shared" si="144"/>
        <v>272.97841038165217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34.101709034495869</v>
      </c>
      <c r="AV190" s="21">
        <f>EXP(-LN(2)/25)*AV189+(1-EXP(-LN(2)/25))/(LN(2)/25)*Calculateur!AQ190*Calculateur!AS190*VLOOKUP('Données projet'!$B$10,Paramètres!$A$1:$I$89,3,0)*0.475*44/12</f>
        <v>5.2596899703621212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39.361399004857986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-1.3567387213697657E-13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299.10536994156814</v>
      </c>
      <c r="BJ190" s="59">
        <f t="shared" si="146"/>
        <v>292.57799203101769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12.42060825313038</v>
      </c>
      <c r="BQ190" s="21">
        <f>EXP(-LN(2)/25)*BQ189+(1-EXP(-LN(2)/25))/(LN(2)/25)*Calculateur!BL190*Calculateur!BN190*VLOOKUP('Données projet'!$B$11,Paramètres!$A$1:$I$89,3,0)*0.475*44/12</f>
        <v>0.14595400596348321</v>
      </c>
      <c r="BR190" s="21">
        <f>EXP(-LN(2)/2)*BR189+(1-EXP(-LN(2)/2))/(LN(2)/2)*BL190*BO190*VLOOKUP('Données projet'!$B$11,Paramètres!$A$1:$I$89,3,0)*0.475*44/12</f>
        <v>3.2668219721350762E-15</v>
      </c>
      <c r="BS190" s="22">
        <f t="shared" si="169"/>
        <v>12.566562259093867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-1.7053025658242404E-13</v>
      </c>
      <c r="BZ190" s="13">
        <f>BY190*VLOOKUP('Données projet'!$B$12,Paramètres!$A$1:$I$89,3,0)*VLOOKUP('Données projet'!$B$12,Paramètres!$A$1:$I$89,5,0)</f>
        <v>-1.3567387213697657E-13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299.10536994156814</v>
      </c>
      <c r="CE190" s="59">
        <f t="shared" si="148"/>
        <v>292.57799203101769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12.42060825313038</v>
      </c>
      <c r="CL190" s="21">
        <f>EXP(-LN(2)/25)*CL189+(1-EXP(-LN(2)/25))/(LN(2)/25)*Calculateur!CG190*Calculateur!CI190*VLOOKUP('Données projet'!$B$12,Paramètres!$A$1:$I$89,3,0)*0.475*44/12</f>
        <v>0.14595400596348321</v>
      </c>
      <c r="CM190" s="21">
        <f>EXP(-LN(2)/2)*CM189+(1-EXP(-LN(2)/2))/(LN(2)/2)*CG190*CJ190*VLOOKUP('Données projet'!$B$12,Paramètres!$A$1:$I$89,3,0)*0.475*44/12</f>
        <v>3.2668219721350762E-15</v>
      </c>
      <c r="CN190" s="22">
        <f t="shared" si="172"/>
        <v>12.566562259093867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-7.9580786405131221E-13</v>
      </c>
      <c r="CU190" s="17">
        <f>CT190*VLOOKUP('Données projet'!$B$13,Paramètres!$A$1:$I$89,3,0)*VLOOKUP('Données projet'!$B$13,Paramètres!$A$1:$I$89,5,0)</f>
        <v>-7.2004695539362725E-13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528.15559695545812</v>
      </c>
      <c r="CZ190" s="59">
        <f t="shared" si="150"/>
        <v>276.26988364830532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94.928386191502383</v>
      </c>
      <c r="DG190" s="21">
        <f>EXP(-LN(2)/25)*DG189+(1-EXP(-LN(2)/25))/(LN(2)/25)*Calculateur!DB190*Calculateur!DD190*VLOOKUP('Données projet'!$B$13,Paramètres!$A$1:$I$89,3,0)*0.475*44/12</f>
        <v>12.338279070415346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107.26666526191772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-7.9580786405131221E-13</v>
      </c>
      <c r="DP190" s="17">
        <f>DO190*VLOOKUP('Données projet'!$B$14,Paramètres!$A$1:$I$89,3,0)*VLOOKUP('Données projet'!$B$14,Paramètres!$A$1:$I$89,5,0)</f>
        <v>-8.0694917414803056E-13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586.50020405958992</v>
      </c>
      <c r="DU190" s="59">
        <f t="shared" si="152"/>
        <v>304.44184537595294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106.38526038702855</v>
      </c>
      <c r="EB190" s="21">
        <f>EXP(-LN(2)/25)*EB189+(1-EXP(-LN(2)/25))/(LN(2)/25)*Calculateur!DW190*Calculateur!DY190*VLOOKUP('Données projet'!$B$14,Paramètres!$A$1:$I$89,3,0)*0.475*44/12</f>
        <v>13.827381716844791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120.21264210387335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-1.7053025658242404E-13</v>
      </c>
      <c r="EK190" s="17">
        <f>EJ190*VLOOKUP('Données projet'!$B$15,Paramètres!$A$1:$I$89,3,0)*VLOOKUP('Données projet'!$B$15,Paramètres!$A$1:$I$89,5,0)</f>
        <v>-1.6493686416652052E-13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355.72173590705142</v>
      </c>
      <c r="EP190" s="59">
        <f t="shared" si="154"/>
        <v>346.30980704469363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12.250588828281749</v>
      </c>
      <c r="EW190" s="21">
        <f>EXP(-LN(2)/25)*EW189+(1-EXP(-LN(2)/25))/(LN(2)/25)*Calculateur!ER190*Calculateur!ET190*VLOOKUP('Données projet'!$B$15,Paramètres!$A$1:$I$89,3,0)*0.475*44/12</f>
        <v>0.14395611538980629</v>
      </c>
      <c r="EX190" s="21">
        <f>EXP(-LN(2)/2)*EX189+(1-EXP(-LN(2)/2))/(LN(2)/2)*ER190*EU190*VLOOKUP('Données projet'!$B$15,Paramètres!$A$1:$I$89,3,0)*0.475*44/12</f>
        <v>3.9714306327916587E-15</v>
      </c>
      <c r="EY190" s="22">
        <f t="shared" si="181"/>
        <v>12.394544943671558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-1.383341441396624E-13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304.26232113495314</v>
      </c>
      <c r="FK190" s="59">
        <f t="shared" si="156"/>
        <v>297.47246687305056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12.664149591427069</v>
      </c>
      <c r="FR190" s="21">
        <f>EXP(-LN(2)/25)*FR189+(1-EXP(-LN(2)/25))/(LN(2)/25)*Calculateur!FM190*Calculateur!FO190*VLOOKUP('Données projet'!$B$16,Paramètres!$A$1:$I$89,3,0)*0.475*44/12</f>
        <v>0.14881584921766924</v>
      </c>
      <c r="FS190" s="21">
        <f>EXP(-LN(2)/2)*FS189+(1-EXP(-LN(2)/2))/(LN(2)/2)*FM190*FP190*VLOOKUP('Données projet'!$B$16,Paramètres!$A$1:$I$89,3,0)*0.475*44/12</f>
        <v>3.3308773049220478E-15</v>
      </c>
      <c r="FT190" s="22">
        <f t="shared" si="184"/>
        <v>12.812965440644742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-1.4897523215040567E-13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381.72225529388083</v>
      </c>
      <c r="T191" s="59">
        <f t="shared" si="142"/>
        <v>360.05900046417361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20.912283114630188</v>
      </c>
      <c r="AA191" s="21">
        <f>EXP(-LN(2)/25)*AA190+(1-EXP(-LN(2)/25))/(LN(2)/25)*Calculateur!V191*Calculateur!X191*VLOOKUP('Données projet'!$B$9,Paramètres!$A$1:$I$89,3,0)*0.475*44/12</f>
        <v>1.668180432987693</v>
      </c>
      <c r="AB191" s="21">
        <f>EXP(-LN(2)/2)*AB190+(1-EXP(-LN(2)/2))/(LN(2)/2)*V191*Y191*VLOOKUP('Données projet'!$B$9,Paramètres!$A$1:$I$89,3,0)*0.475*44/12</f>
        <v>2.6125806472888357E-24</v>
      </c>
      <c r="AC191" s="22">
        <f t="shared" si="163"/>
        <v>22.580463547617882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-4.1677594708744434E-14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464.3681853739115</v>
      </c>
      <c r="AO191" s="59">
        <f t="shared" si="144"/>
        <v>272.97841038165217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33.432995320318085</v>
      </c>
      <c r="AV191" s="21">
        <f>EXP(-LN(2)/25)*AV190+(1-EXP(-LN(2)/25))/(LN(2)/25)*Calculateur!AQ191*Calculateur!AS191*VLOOKUP('Données projet'!$B$10,Paramètres!$A$1:$I$89,3,0)*0.475*44/12</f>
        <v>5.1158634715274944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38.548858791845582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-1.3567387213697657E-13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299.10536994156814</v>
      </c>
      <c r="BJ191" s="59">
        <f t="shared" si="146"/>
        <v>292.57799203101769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12.177047701109478</v>
      </c>
      <c r="BQ191" s="21">
        <f>EXP(-LN(2)/25)*BQ190+(1-EXP(-LN(2)/25))/(LN(2)/25)*Calculateur!BL191*Calculateur!BN191*VLOOKUP('Données projet'!$B$11,Paramètres!$A$1:$I$89,3,0)*0.475*44/12</f>
        <v>0.14196288599502416</v>
      </c>
      <c r="BR191" s="21">
        <f>EXP(-LN(2)/2)*BR190+(1-EXP(-LN(2)/2))/(LN(2)/2)*BL191*BO191*VLOOKUP('Données projet'!$B$11,Paramètres!$A$1:$I$89,3,0)*0.475*44/12</f>
        <v>2.309991969425923E-15</v>
      </c>
      <c r="BS191" s="22">
        <f t="shared" si="169"/>
        <v>12.319010587104504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-1.7053025658242404E-13</v>
      </c>
      <c r="BZ191" s="13">
        <f>BY191*VLOOKUP('Données projet'!$B$12,Paramètres!$A$1:$I$89,3,0)*VLOOKUP('Données projet'!$B$12,Paramètres!$A$1:$I$89,5,0)</f>
        <v>-1.3567387213697657E-13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299.10536994156814</v>
      </c>
      <c r="CE191" s="59">
        <f t="shared" si="148"/>
        <v>292.57799203101769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12.177047701109478</v>
      </c>
      <c r="CL191" s="21">
        <f>EXP(-LN(2)/25)*CL190+(1-EXP(-LN(2)/25))/(LN(2)/25)*Calculateur!CG191*Calculateur!CI191*VLOOKUP('Données projet'!$B$12,Paramètres!$A$1:$I$89,3,0)*0.475*44/12</f>
        <v>0.14196288599502416</v>
      </c>
      <c r="CM191" s="21">
        <f>EXP(-LN(2)/2)*CM190+(1-EXP(-LN(2)/2))/(LN(2)/2)*CG191*CJ191*VLOOKUP('Données projet'!$B$12,Paramètres!$A$1:$I$89,3,0)*0.475*44/12</f>
        <v>2.309991969425923E-15</v>
      </c>
      <c r="CN191" s="22">
        <f t="shared" si="172"/>
        <v>12.319010587104504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-7.9580786405131221E-13</v>
      </c>
      <c r="CU191" s="17">
        <f>CT191*VLOOKUP('Données projet'!$B$13,Paramètres!$A$1:$I$89,3,0)*VLOOKUP('Données projet'!$B$13,Paramètres!$A$1:$I$89,5,0)</f>
        <v>-7.2004695539362725E-13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528.15559695545812</v>
      </c>
      <c r="CZ191" s="59">
        <f t="shared" si="150"/>
        <v>276.26988364830532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93.066898438885389</v>
      </c>
      <c r="DG191" s="21">
        <f>EXP(-LN(2)/25)*DG190+(1-EXP(-LN(2)/25))/(LN(2)/25)*Calculateur!DB191*Calculateur!DD191*VLOOKUP('Données projet'!$B$13,Paramètres!$A$1:$I$89,3,0)*0.475*44/12</f>
        <v>12.000888180392941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105.06778661927834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-7.9580786405131221E-13</v>
      </c>
      <c r="DP191" s="17">
        <f>DO191*VLOOKUP('Données projet'!$B$14,Paramètres!$A$1:$I$89,3,0)*VLOOKUP('Données projet'!$B$14,Paramètres!$A$1:$I$89,5,0)</f>
        <v>-8.0694917414803056E-13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586.50020405958992</v>
      </c>
      <c r="DU191" s="59">
        <f t="shared" si="152"/>
        <v>304.44184537595294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104.29911031944054</v>
      </c>
      <c r="EB191" s="21">
        <f>EXP(-LN(2)/25)*EB190+(1-EXP(-LN(2)/25))/(LN(2)/25)*Calculateur!DW191*Calculateur!DY191*VLOOKUP('Données projet'!$B$14,Paramètres!$A$1:$I$89,3,0)*0.475*44/12</f>
        <v>13.449271236647268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117.74838155608781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-1.7053025658242404E-13</v>
      </c>
      <c r="EK191" s="17">
        <f>EJ191*VLOOKUP('Données projet'!$B$15,Paramètres!$A$1:$I$89,3,0)*VLOOKUP('Données projet'!$B$15,Paramètres!$A$1:$I$89,5,0)</f>
        <v>-1.6493686416652052E-13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355.72173590705142</v>
      </c>
      <c r="EP191" s="59">
        <f t="shared" si="154"/>
        <v>346.30980704469363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12.010362253480519</v>
      </c>
      <c r="EW191" s="21">
        <f>EXP(-LN(2)/25)*EW190+(1-EXP(-LN(2)/25))/(LN(2)/25)*Calculateur!ER191*Calculateur!ET191*VLOOKUP('Données projet'!$B$15,Paramètres!$A$1:$I$89,3,0)*0.475*44/12</f>
        <v>0.14001962784414895</v>
      </c>
      <c r="EX191" s="21">
        <f>EXP(-LN(2)/2)*EX190+(1-EXP(-LN(2)/2))/(LN(2)/2)*ER191*EU191*VLOOKUP('Données projet'!$B$15,Paramètres!$A$1:$I$89,3,0)*0.475*44/12</f>
        <v>2.8082255314589634E-15</v>
      </c>
      <c r="EY191" s="22">
        <f t="shared" si="181"/>
        <v>12.150381881324671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-1.383341441396624E-13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304.26232113495314</v>
      </c>
      <c r="FK191" s="59">
        <f t="shared" si="156"/>
        <v>297.47246687305056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12.415813342307716</v>
      </c>
      <c r="FR191" s="21">
        <f>EXP(-LN(2)/25)*FR190+(1-EXP(-LN(2)/25))/(LN(2)/25)*Calculateur!FM191*Calculateur!FO191*VLOOKUP('Données projet'!$B$16,Paramètres!$A$1:$I$89,3,0)*0.475*44/12</f>
        <v>0.14474647199492668</v>
      </c>
      <c r="FS191" s="21">
        <f>EXP(-LN(2)/2)*FS190+(1-EXP(-LN(2)/2))/(LN(2)/2)*FM191*FP191*VLOOKUP('Données projet'!$B$16,Paramètres!$A$1:$I$89,3,0)*0.475*44/12</f>
        <v>2.3552859296107516E-15</v>
      </c>
      <c r="FT191" s="22">
        <f t="shared" si="184"/>
        <v>12.560559814302644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-1.4897523215040567E-13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381.72225529388083</v>
      </c>
      <c r="T192" s="59">
        <f t="shared" si="142"/>
        <v>360.05900046417361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20.502205997985516</v>
      </c>
      <c r="AA192" s="21">
        <f>EXP(-LN(2)/25)*AA191+(1-EXP(-LN(2)/25))/(LN(2)/25)*Calculateur!V192*Calculateur!X192*VLOOKUP('Données projet'!$B$9,Paramètres!$A$1:$I$89,3,0)*0.475*44/12</f>
        <v>1.6225639513218482</v>
      </c>
      <c r="AB192" s="21">
        <f>EXP(-LN(2)/2)*AB191+(1-EXP(-LN(2)/2))/(LN(2)/2)*V192*Y192*VLOOKUP('Données projet'!$B$9,Paramètres!$A$1:$I$89,3,0)*0.475*44/12</f>
        <v>1.8473734920946754E-24</v>
      </c>
      <c r="AC192" s="22">
        <f t="shared" si="163"/>
        <v>22.124769949307364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-4.1677594708744434E-14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464.3681853739115</v>
      </c>
      <c r="AO192" s="59">
        <f t="shared" si="144"/>
        <v>272.97841038165217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32.777394674200238</v>
      </c>
      <c r="AV192" s="21">
        <f>EXP(-LN(2)/25)*AV191+(1-EXP(-LN(2)/25))/(LN(2)/25)*Calculateur!AQ192*Calculateur!AS192*VLOOKUP('Données projet'!$B$10,Paramètres!$A$1:$I$89,3,0)*0.475*44/12</f>
        <v>4.9759699158670072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37.753364590067243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-1.3567387213697657E-13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299.10536994156814</v>
      </c>
      <c r="BJ192" s="59">
        <f t="shared" si="146"/>
        <v>292.57799203101769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11.938263222956436</v>
      </c>
      <c r="BQ192" s="21">
        <f>EXP(-LN(2)/25)*BQ191+(1-EXP(-LN(2)/25))/(LN(2)/25)*Calculateur!BL192*Calculateur!BN192*VLOOKUP('Données projet'!$B$11,Paramètres!$A$1:$I$89,3,0)*0.475*44/12</f>
        <v>0.13808090341198651</v>
      </c>
      <c r="BR192" s="21">
        <f>EXP(-LN(2)/2)*BR191+(1-EXP(-LN(2)/2))/(LN(2)/2)*BL192*BO192*VLOOKUP('Données projet'!$B$11,Paramètres!$A$1:$I$89,3,0)*0.475*44/12</f>
        <v>1.6334109860675381E-15</v>
      </c>
      <c r="BS192" s="22">
        <f t="shared" si="169"/>
        <v>12.076344126368424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-1.7053025658242404E-13</v>
      </c>
      <c r="BZ192" s="13">
        <f>BY192*VLOOKUP('Données projet'!$B$12,Paramètres!$A$1:$I$89,3,0)*VLOOKUP('Données projet'!$B$12,Paramètres!$A$1:$I$89,5,0)</f>
        <v>-1.3567387213697657E-13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299.10536994156814</v>
      </c>
      <c r="CE192" s="59">
        <f t="shared" si="148"/>
        <v>292.57799203101769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11.938263222956436</v>
      </c>
      <c r="CL192" s="21">
        <f>EXP(-LN(2)/25)*CL191+(1-EXP(-LN(2)/25))/(LN(2)/25)*Calculateur!CG192*Calculateur!CI192*VLOOKUP('Données projet'!$B$12,Paramètres!$A$1:$I$89,3,0)*0.475*44/12</f>
        <v>0.13808090341198651</v>
      </c>
      <c r="CM192" s="21">
        <f>EXP(-LN(2)/2)*CM191+(1-EXP(-LN(2)/2))/(LN(2)/2)*CG192*CJ192*VLOOKUP('Données projet'!$B$12,Paramètres!$A$1:$I$89,3,0)*0.475*44/12</f>
        <v>1.6334109860675381E-15</v>
      </c>
      <c r="CN192" s="22">
        <f t="shared" si="172"/>
        <v>12.076344126368424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-7.9580786405131221E-13</v>
      </c>
      <c r="CU192" s="17">
        <f>CT192*VLOOKUP('Données projet'!$B$13,Paramètres!$A$1:$I$89,3,0)*VLOOKUP('Données projet'!$B$13,Paramètres!$A$1:$I$89,5,0)</f>
        <v>-7.2004695539362725E-13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528.15559695545812</v>
      </c>
      <c r="CZ192" s="59">
        <f t="shared" si="150"/>
        <v>276.26988364830532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91.241913325701802</v>
      </c>
      <c r="DG192" s="21">
        <f>EXP(-LN(2)/25)*DG191+(1-EXP(-LN(2)/25))/(LN(2)/25)*Calculateur!DB192*Calculateur!DD192*VLOOKUP('Données projet'!$B$13,Paramètres!$A$1:$I$89,3,0)*0.475*44/12</f>
        <v>11.672723262000815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102.91463658770262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-7.9580786405131221E-13</v>
      </c>
      <c r="DP192" s="17">
        <f>DO192*VLOOKUP('Données projet'!$B$14,Paramètres!$A$1:$I$89,3,0)*VLOOKUP('Données projet'!$B$14,Paramètres!$A$1:$I$89,5,0)</f>
        <v>-8.0694917414803056E-13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586.50020405958992</v>
      </c>
      <c r="DU192" s="59">
        <f t="shared" si="152"/>
        <v>304.44184537595294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102.25386838225204</v>
      </c>
      <c r="EB192" s="21">
        <f>EXP(-LN(2)/25)*EB191+(1-EXP(-LN(2)/25))/(LN(2)/25)*Calculateur!DW192*Calculateur!DY192*VLOOKUP('Données projet'!$B$14,Paramètres!$A$1:$I$89,3,0)*0.475*44/12</f>
        <v>13.081500207414713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115.33536858966676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-1.7053025658242404E-13</v>
      </c>
      <c r="EK192" s="17">
        <f>EJ192*VLOOKUP('Données projet'!$B$15,Paramètres!$A$1:$I$89,3,0)*VLOOKUP('Données projet'!$B$15,Paramètres!$A$1:$I$89,5,0)</f>
        <v>-1.6493686416652052E-13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355.72173590705142</v>
      </c>
      <c r="EP192" s="59">
        <f t="shared" si="154"/>
        <v>346.30980704469363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11.774846375287398</v>
      </c>
      <c r="EW192" s="21">
        <f>EXP(-LN(2)/25)*EW191+(1-EXP(-LN(2)/25))/(LN(2)/25)*Calculateur!ER192*Calculateur!ET192*VLOOKUP('Données projet'!$B$15,Paramètres!$A$1:$I$89,3,0)*0.475*44/12</f>
        <v>0.13619078375743848</v>
      </c>
      <c r="EX192" s="21">
        <f>EXP(-LN(2)/2)*EX191+(1-EXP(-LN(2)/2))/(LN(2)/2)*ER192*EU192*VLOOKUP('Données projet'!$B$15,Paramètres!$A$1:$I$89,3,0)*0.475*44/12</f>
        <v>1.9857153163958293E-15</v>
      </c>
      <c r="EY192" s="22">
        <f t="shared" si="181"/>
        <v>11.911037159044838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-1.383341441396624E-13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304.26232113495314</v>
      </c>
      <c r="FK192" s="59">
        <f t="shared" si="156"/>
        <v>297.47246687305056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12.17234681556344</v>
      </c>
      <c r="FR192" s="21">
        <f>EXP(-LN(2)/25)*FR191+(1-EXP(-LN(2)/25))/(LN(2)/25)*Calculateur!FM192*Calculateur!FO192*VLOOKUP('Données projet'!$B$16,Paramètres!$A$1:$I$89,3,0)*0.475*44/12</f>
        <v>0.14078837210633927</v>
      </c>
      <c r="FS192" s="21">
        <f>EXP(-LN(2)/2)*FS191+(1-EXP(-LN(2)/2))/(LN(2)/2)*FM192*FP192*VLOOKUP('Données projet'!$B$16,Paramètres!$A$1:$I$89,3,0)*0.475*44/12</f>
        <v>1.6654386524610239E-15</v>
      </c>
      <c r="FT192" s="22">
        <f t="shared" si="184"/>
        <v>12.313135187669781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-1.4897523215040567E-13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381.72225529388083</v>
      </c>
      <c r="T193" s="59">
        <f t="shared" si="142"/>
        <v>360.05900046417361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20.100170243475901</v>
      </c>
      <c r="AA193" s="21">
        <f>EXP(-LN(2)/25)*AA192+(1-EXP(-LN(2)/25))/(LN(2)/25)*Calculateur!V193*Calculateur!X193*VLOOKUP('Données projet'!$B$9,Paramètres!$A$1:$I$89,3,0)*0.475*44/12</f>
        <v>1.5781948547460225</v>
      </c>
      <c r="AB193" s="21">
        <f>EXP(-LN(2)/2)*AB192+(1-EXP(-LN(2)/2))/(LN(2)/2)*V193*Y193*VLOOKUP('Données projet'!$B$9,Paramètres!$A$1:$I$89,3,0)*0.475*44/12</f>
        <v>1.3062903236444178E-24</v>
      </c>
      <c r="AC193" s="22">
        <f t="shared" si="163"/>
        <v>21.678365098221924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-4.1677594708744434E-14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464.3681853739115</v>
      </c>
      <c r="AO193" s="59">
        <f t="shared" si="144"/>
        <v>272.97841038165217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32.134649956875855</v>
      </c>
      <c r="AV193" s="21">
        <f>EXP(-LN(2)/25)*AV192+(1-EXP(-LN(2)/25))/(LN(2)/25)*Calculateur!AQ193*Calculateur!AS193*VLOOKUP('Données projet'!$B$10,Paramètres!$A$1:$I$89,3,0)*0.475*44/12</f>
        <v>4.8399017568427389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36.974551713718597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-1.3567387213697657E-13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299.10536994156814</v>
      </c>
      <c r="BJ193" s="59">
        <f t="shared" si="146"/>
        <v>292.57799203101769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11.704161162775826</v>
      </c>
      <c r="BQ193" s="21">
        <f>EXP(-LN(2)/25)*BQ192+(1-EXP(-LN(2)/25))/(LN(2)/25)*Calculateur!BL193*Calculateur!BN193*VLOOKUP('Données projet'!$B$11,Paramètres!$A$1:$I$89,3,0)*0.475*44/12</f>
        <v>0.13430507384682661</v>
      </c>
      <c r="BR193" s="21">
        <f>EXP(-LN(2)/2)*BR192+(1-EXP(-LN(2)/2))/(LN(2)/2)*BL193*BO193*VLOOKUP('Données projet'!$B$11,Paramètres!$A$1:$I$89,3,0)*0.475*44/12</f>
        <v>1.1549959847129615E-15</v>
      </c>
      <c r="BS193" s="22">
        <f t="shared" si="169"/>
        <v>11.838466236622654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-1.7053025658242404E-13</v>
      </c>
      <c r="BZ193" s="13">
        <f>BY193*VLOOKUP('Données projet'!$B$12,Paramètres!$A$1:$I$89,3,0)*VLOOKUP('Données projet'!$B$12,Paramètres!$A$1:$I$89,5,0)</f>
        <v>-1.3567387213697657E-13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299.10536994156814</v>
      </c>
      <c r="CE193" s="59">
        <f t="shared" si="148"/>
        <v>292.57799203101769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11.704161162775826</v>
      </c>
      <c r="CL193" s="21">
        <f>EXP(-LN(2)/25)*CL192+(1-EXP(-LN(2)/25))/(LN(2)/25)*Calculateur!CG193*Calculateur!CI193*VLOOKUP('Données projet'!$B$12,Paramètres!$A$1:$I$89,3,0)*0.475*44/12</f>
        <v>0.13430507384682661</v>
      </c>
      <c r="CM193" s="21">
        <f>EXP(-LN(2)/2)*CM192+(1-EXP(-LN(2)/2))/(LN(2)/2)*CG193*CJ193*VLOOKUP('Données projet'!$B$12,Paramètres!$A$1:$I$89,3,0)*0.475*44/12</f>
        <v>1.1549959847129615E-15</v>
      </c>
      <c r="CN193" s="22">
        <f t="shared" si="172"/>
        <v>11.838466236622654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-7.9580786405131221E-13</v>
      </c>
      <c r="CU193" s="17">
        <f>CT193*VLOOKUP('Données projet'!$B$13,Paramètres!$A$1:$I$89,3,0)*VLOOKUP('Données projet'!$B$13,Paramètres!$A$1:$I$89,5,0)</f>
        <v>-7.2004695539362725E-13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528.15559695545812</v>
      </c>
      <c r="CZ193" s="59">
        <f t="shared" si="150"/>
        <v>276.26988364830532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89.452715057456729</v>
      </c>
      <c r="DG193" s="21">
        <f>EXP(-LN(2)/25)*DG192+(1-EXP(-LN(2)/25))/(LN(2)/25)*Calculateur!DB193*Calculateur!DD193*VLOOKUP('Données projet'!$B$13,Paramètres!$A$1:$I$89,3,0)*0.475*44/12</f>
        <v>11.353532030559565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100.80624708801629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-7.9580786405131221E-13</v>
      </c>
      <c r="DP193" s="17">
        <f>DO193*VLOOKUP('Données projet'!$B$14,Paramètres!$A$1:$I$89,3,0)*VLOOKUP('Données projet'!$B$14,Paramètres!$A$1:$I$89,5,0)</f>
        <v>-8.0694917414803056E-13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586.50020405958992</v>
      </c>
      <c r="DU193" s="59">
        <f t="shared" si="152"/>
        <v>304.44184537595294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100.24873239197738</v>
      </c>
      <c r="EB193" s="21">
        <f>EXP(-LN(2)/25)*EB192+(1-EXP(-LN(2)/25))/(LN(2)/25)*Calculateur!DW193*Calculateur!DY193*VLOOKUP('Données projet'!$B$14,Paramètres!$A$1:$I$89,3,0)*0.475*44/12</f>
        <v>12.723785896316761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112.97251828829414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-1.7053025658242404E-13</v>
      </c>
      <c r="EK193" s="17">
        <f>EJ193*VLOOKUP('Données projet'!$B$15,Paramètres!$A$1:$I$89,3,0)*VLOOKUP('Données projet'!$B$15,Paramètres!$A$1:$I$89,5,0)</f>
        <v>-1.6493686416652052E-13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355.72173590705142</v>
      </c>
      <c r="EP193" s="59">
        <f t="shared" si="154"/>
        <v>346.30980704469363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11.543948819815142</v>
      </c>
      <c r="EW193" s="21">
        <f>EXP(-LN(2)/25)*EW192+(1-EXP(-LN(2)/25))/(LN(2)/25)*Calculateur!ER193*Calculateur!ET193*VLOOKUP('Données projet'!$B$15,Paramètres!$A$1:$I$89,3,0)*0.475*44/12</f>
        <v>0.13246663961362928</v>
      </c>
      <c r="EX193" s="21">
        <f>EXP(-LN(2)/2)*EX192+(1-EXP(-LN(2)/2))/(LN(2)/2)*ER193*EU193*VLOOKUP('Données projet'!$B$15,Paramètres!$A$1:$I$89,3,0)*0.475*44/12</f>
        <v>1.4041127657294817E-15</v>
      </c>
      <c r="EY193" s="22">
        <f t="shared" si="181"/>
        <v>11.676415459428773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-1.383341441396624E-13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304.26232113495314</v>
      </c>
      <c r="FK193" s="59">
        <f t="shared" si="156"/>
        <v>297.47246687305056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11.9336545189087</v>
      </c>
      <c r="FR193" s="21">
        <f>EXP(-LN(2)/25)*FR192+(1-EXP(-LN(2)/25))/(LN(2)/25)*Calculateur!FM193*Calculateur!FO193*VLOOKUP('Données projet'!$B$16,Paramètres!$A$1:$I$89,3,0)*0.475*44/12</f>
        <v>0.13693850666735272</v>
      </c>
      <c r="FS193" s="21">
        <f>EXP(-LN(2)/2)*FS192+(1-EXP(-LN(2)/2))/(LN(2)/2)*FM193*FP193*VLOOKUP('Données projet'!$B$16,Paramètres!$A$1:$I$89,3,0)*0.475*44/12</f>
        <v>1.1776429648053758E-15</v>
      </c>
      <c r="FT193" s="22">
        <f t="shared" si="184"/>
        <v>12.070593025576054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-1.4897523215040567E-13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381.72225529388083</v>
      </c>
      <c r="T194" s="59">
        <f t="shared" si="142"/>
        <v>360.05900046417361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19.706018164894623</v>
      </c>
      <c r="AA194" s="21">
        <f>EXP(-LN(2)/25)*AA193+(1-EXP(-LN(2)/25))/(LN(2)/25)*Calculateur!V194*Calculateur!X194*VLOOKUP('Données projet'!$B$9,Paramètres!$A$1:$I$89,3,0)*0.475*44/12</f>
        <v>1.535039033449332</v>
      </c>
      <c r="AB194" s="21">
        <f>EXP(-LN(2)/2)*AB193+(1-EXP(-LN(2)/2))/(LN(2)/2)*V194*Y194*VLOOKUP('Données projet'!$B$9,Paramètres!$A$1:$I$89,3,0)*0.475*44/12</f>
        <v>9.2368674604733771E-25</v>
      </c>
      <c r="AC194" s="22">
        <f t="shared" si="163"/>
        <v>21.241057198343956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-4.1677594708744434E-14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464.3681853739115</v>
      </c>
      <c r="AO194" s="59">
        <f t="shared" si="144"/>
        <v>272.97841038165217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31.504509071422632</v>
      </c>
      <c r="AV194" s="21">
        <f>EXP(-LN(2)/25)*AV193+(1-EXP(-LN(2)/25))/(LN(2)/25)*Calculateur!AQ194*Calculateur!AS194*VLOOKUP('Données projet'!$B$10,Paramètres!$A$1:$I$89,3,0)*0.475*44/12</f>
        <v>4.7075543887825022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36.212063460205137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-1.3567387213697657E-13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299.10536994156814</v>
      </c>
      <c r="BJ194" s="59">
        <f t="shared" si="146"/>
        <v>292.57799203101769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11.4746497012072</v>
      </c>
      <c r="BQ194" s="21">
        <f>EXP(-LN(2)/25)*BQ193+(1-EXP(-LN(2)/25))/(LN(2)/25)*Calculateur!BL194*Calculateur!BN194*VLOOKUP('Données projet'!$B$11,Paramètres!$A$1:$I$89,3,0)*0.475*44/12</f>
        <v>0.13063249453968825</v>
      </c>
      <c r="BR194" s="21">
        <f>EXP(-LN(2)/2)*BR193+(1-EXP(-LN(2)/2))/(LN(2)/2)*BL194*BO194*VLOOKUP('Données projet'!$B$11,Paramètres!$A$1:$I$89,3,0)*0.475*44/12</f>
        <v>8.1670549303376906E-16</v>
      </c>
      <c r="BS194" s="22">
        <f t="shared" si="169"/>
        <v>11.605282195746888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-1.7053025658242404E-13</v>
      </c>
      <c r="BZ194" s="13">
        <f>BY194*VLOOKUP('Données projet'!$B$12,Paramètres!$A$1:$I$89,3,0)*VLOOKUP('Données projet'!$B$12,Paramètres!$A$1:$I$89,5,0)</f>
        <v>-1.3567387213697657E-13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299.10536994156814</v>
      </c>
      <c r="CE194" s="59">
        <f t="shared" si="148"/>
        <v>292.57799203101769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11.4746497012072</v>
      </c>
      <c r="CL194" s="21">
        <f>EXP(-LN(2)/25)*CL193+(1-EXP(-LN(2)/25))/(LN(2)/25)*Calculateur!CG194*Calculateur!CI194*VLOOKUP('Données projet'!$B$12,Paramètres!$A$1:$I$89,3,0)*0.475*44/12</f>
        <v>0.13063249453968825</v>
      </c>
      <c r="CM194" s="21">
        <f>EXP(-LN(2)/2)*CM193+(1-EXP(-LN(2)/2))/(LN(2)/2)*CG194*CJ194*VLOOKUP('Données projet'!$B$12,Paramètres!$A$1:$I$89,3,0)*0.475*44/12</f>
        <v>8.1670549303376906E-16</v>
      </c>
      <c r="CN194" s="22">
        <f t="shared" si="172"/>
        <v>11.605282195746888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-7.9580786405131221E-13</v>
      </c>
      <c r="CU194" s="17">
        <f>CT194*VLOOKUP('Données projet'!$B$13,Paramètres!$A$1:$I$89,3,0)*VLOOKUP('Données projet'!$B$13,Paramètres!$A$1:$I$89,5,0)</f>
        <v>-7.2004695539362725E-13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528.15559695545812</v>
      </c>
      <c r="CZ194" s="59">
        <f t="shared" si="150"/>
        <v>276.26988364830532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87.698601875948754</v>
      </c>
      <c r="DG194" s="21">
        <f>EXP(-LN(2)/25)*DG193+(1-EXP(-LN(2)/25))/(LN(2)/25)*Calculateur!DB194*Calculateur!DD194*VLOOKUP('Données projet'!$B$13,Paramètres!$A$1:$I$89,3,0)*0.475*44/12</f>
        <v>11.043069100127614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98.741670976076364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-7.9580786405131221E-13</v>
      </c>
      <c r="DP194" s="17">
        <f>DO194*VLOOKUP('Données projet'!$B$14,Paramètres!$A$1:$I$89,3,0)*VLOOKUP('Données projet'!$B$14,Paramètres!$A$1:$I$89,5,0)</f>
        <v>-8.0694917414803056E-13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586.50020405958992</v>
      </c>
      <c r="DU194" s="59">
        <f t="shared" si="152"/>
        <v>304.44184537595294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98.282915895459837</v>
      </c>
      <c r="EB194" s="21">
        <f>EXP(-LN(2)/25)*EB193+(1-EXP(-LN(2)/25))/(LN(2)/25)*Calculateur!DW194*Calculateur!DY194*VLOOKUP('Données projet'!$B$14,Paramètres!$A$1:$I$89,3,0)*0.475*44/12</f>
        <v>12.37585330186716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110.65876919732699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-1.7053025658242404E-13</v>
      </c>
      <c r="EK194" s="17">
        <f>EJ194*VLOOKUP('Données projet'!$B$15,Paramètres!$A$1:$I$89,3,0)*VLOOKUP('Données projet'!$B$15,Paramètres!$A$1:$I$89,5,0)</f>
        <v>-1.6493686416652052E-13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355.72173590705142</v>
      </c>
      <c r="EP194" s="59">
        <f t="shared" si="154"/>
        <v>346.30980704469363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11.317579024572096</v>
      </c>
      <c r="EW194" s="21">
        <f>EXP(-LN(2)/25)*EW193+(1-EXP(-LN(2)/25))/(LN(2)/25)*Calculateur!ER194*Calculateur!ET194*VLOOKUP('Données projet'!$B$15,Paramètres!$A$1:$I$89,3,0)*0.475*44/12</f>
        <v>0.12884433238727677</v>
      </c>
      <c r="EX194" s="21">
        <f>EXP(-LN(2)/2)*EX193+(1-EXP(-LN(2)/2))/(LN(2)/2)*ER194*EU194*VLOOKUP('Données projet'!$B$15,Paramètres!$A$1:$I$89,3,0)*0.475*44/12</f>
        <v>9.9285765819791466E-16</v>
      </c>
      <c r="EY194" s="22">
        <f t="shared" si="181"/>
        <v>11.446423356959373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-1.383341441396624E-13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304.26232113495314</v>
      </c>
      <c r="FK194" s="59">
        <f t="shared" si="156"/>
        <v>297.47246687305056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11.699642832603434</v>
      </c>
      <c r="FR194" s="21">
        <f>EXP(-LN(2)/25)*FR193+(1-EXP(-LN(2)/25))/(LN(2)/25)*Calculateur!FM194*Calculateur!FO194*VLOOKUP('Données projet'!$B$16,Paramètres!$A$1:$I$89,3,0)*0.475*44/12</f>
        <v>0.13319391600125086</v>
      </c>
      <c r="FS194" s="21">
        <f>EXP(-LN(2)/2)*FS193+(1-EXP(-LN(2)/2))/(LN(2)/2)*FM194*FP194*VLOOKUP('Données projet'!$B$16,Paramètres!$A$1:$I$89,3,0)*0.475*44/12</f>
        <v>8.3271932623051195E-16</v>
      </c>
      <c r="FT194" s="22">
        <f t="shared" si="184"/>
        <v>11.832836748604684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-1.4897523215040567E-13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381.72225529388083</v>
      </c>
      <c r="T195" s="59">
        <f t="shared" si="142"/>
        <v>360.05900046417361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19.319595168165293</v>
      </c>
      <c r="AA195" s="21">
        <f>EXP(-LN(2)/25)*AA194+(1-EXP(-LN(2)/25))/(LN(2)/25)*Calculateur!V195*Calculateur!X195*VLOOKUP('Données projet'!$B$9,Paramètres!$A$1:$I$89,3,0)*0.475*44/12</f>
        <v>1.4930633103554656</v>
      </c>
      <c r="AB195" s="21">
        <f>EXP(-LN(2)/2)*AB194+(1-EXP(-LN(2)/2))/(LN(2)/2)*V195*Y195*VLOOKUP('Données projet'!$B$9,Paramètres!$A$1:$I$89,3,0)*0.475*44/12</f>
        <v>6.5314516182220892E-25</v>
      </c>
      <c r="AC195" s="22">
        <f t="shared" si="163"/>
        <v>20.81265847852076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-4.1677594708744434E-14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464.3681853739115</v>
      </c>
      <c r="AO195" s="59">
        <f t="shared" si="144"/>
        <v>272.97841038165217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30.886724864385158</v>
      </c>
      <c r="AV195" s="21">
        <f>EXP(-LN(2)/25)*AV194+(1-EXP(-LN(2)/25))/(LN(2)/25)*Calculateur!AQ195*Calculateur!AS195*VLOOKUP('Données projet'!$B$10,Paramètres!$A$1:$I$89,3,0)*0.475*44/12</f>
        <v>4.5788260664617191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35.465550930846874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-1.3567387213697657E-13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299.10536994156814</v>
      </c>
      <c r="BJ195" s="59">
        <f t="shared" si="146"/>
        <v>292.57799203101769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11.249638819411766</v>
      </c>
      <c r="BQ195" s="21">
        <f>EXP(-LN(2)/25)*BQ194+(1-EXP(-LN(2)/25))/(LN(2)/25)*Calculateur!BL195*Calculateur!BN195*VLOOKUP('Données projet'!$B$11,Paramètres!$A$1:$I$89,3,0)*0.475*44/12</f>
        <v>0.12706034210683614</v>
      </c>
      <c r="BR195" s="21">
        <f>EXP(-LN(2)/2)*BR194+(1-EXP(-LN(2)/2))/(LN(2)/2)*BL195*BO195*VLOOKUP('Données projet'!$B$11,Paramètres!$A$1:$I$89,3,0)*0.475*44/12</f>
        <v>5.7749799235648074E-16</v>
      </c>
      <c r="BS195" s="22">
        <f t="shared" si="169"/>
        <v>11.376699161518601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-1.7053025658242404E-13</v>
      </c>
      <c r="BZ195" s="13">
        <f>BY195*VLOOKUP('Données projet'!$B$12,Paramètres!$A$1:$I$89,3,0)*VLOOKUP('Données projet'!$B$12,Paramètres!$A$1:$I$89,5,0)</f>
        <v>-1.3567387213697657E-13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299.10536994156814</v>
      </c>
      <c r="CE195" s="59">
        <f t="shared" si="148"/>
        <v>292.57799203101769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11.249638819411766</v>
      </c>
      <c r="CL195" s="21">
        <f>EXP(-LN(2)/25)*CL194+(1-EXP(-LN(2)/25))/(LN(2)/25)*Calculateur!CG195*Calculateur!CI195*VLOOKUP('Données projet'!$B$12,Paramètres!$A$1:$I$89,3,0)*0.475*44/12</f>
        <v>0.12706034210683614</v>
      </c>
      <c r="CM195" s="21">
        <f>EXP(-LN(2)/2)*CM194+(1-EXP(-LN(2)/2))/(LN(2)/2)*CG195*CJ195*VLOOKUP('Données projet'!$B$12,Paramètres!$A$1:$I$89,3,0)*0.475*44/12</f>
        <v>5.7749799235648074E-16</v>
      </c>
      <c r="CN195" s="22">
        <f t="shared" si="172"/>
        <v>11.376699161518601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-7.9580786405131221E-13</v>
      </c>
      <c r="CU195" s="17">
        <f>CT195*VLOOKUP('Données projet'!$B$13,Paramètres!$A$1:$I$89,3,0)*VLOOKUP('Données projet'!$B$13,Paramètres!$A$1:$I$89,5,0)</f>
        <v>-7.2004695539362725E-13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528.15559695545812</v>
      </c>
      <c r="CZ195" s="59">
        <f t="shared" si="150"/>
        <v>276.26988364830532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85.978885784026758</v>
      </c>
      <c r="DG195" s="21">
        <f>EXP(-LN(2)/25)*DG194+(1-EXP(-LN(2)/25))/(LN(2)/25)*Calculateur!DB195*Calculateur!DD195*VLOOKUP('Données projet'!$B$13,Paramètres!$A$1:$I$89,3,0)*0.475*44/12</f>
        <v>10.741095794854859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96.719981578881615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-7.9580786405131221E-13</v>
      </c>
      <c r="DP195" s="17">
        <f>DO195*VLOOKUP('Données projet'!$B$14,Paramètres!$A$1:$I$89,3,0)*VLOOKUP('Données projet'!$B$14,Paramètres!$A$1:$I$89,5,0)</f>
        <v>-8.0694917414803056E-13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586.50020405958992</v>
      </c>
      <c r="DU195" s="59">
        <f t="shared" si="152"/>
        <v>304.44184537595294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96.355647861409324</v>
      </c>
      <c r="EB195" s="21">
        <f>EXP(-LN(2)/25)*EB194+(1-EXP(-LN(2)/25))/(LN(2)/25)*Calculateur!DW195*Calculateur!DY195*VLOOKUP('Données projet'!$B$14,Paramètres!$A$1:$I$89,3,0)*0.475*44/12</f>
        <v>12.037434942509762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108.39308280391909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-1.7053025658242404E-13</v>
      </c>
      <c r="EK195" s="17">
        <f>EJ195*VLOOKUP('Données projet'!$B$15,Paramètres!$A$1:$I$89,3,0)*VLOOKUP('Données projet'!$B$15,Paramètres!$A$1:$I$89,5,0)</f>
        <v>-1.6493686416652052E-13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355.72173590705142</v>
      </c>
      <c r="EP195" s="59">
        <f t="shared" si="154"/>
        <v>346.30980704469363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11.095648202941824</v>
      </c>
      <c r="EW195" s="21">
        <f>EXP(-LN(2)/25)*EW194+(1-EXP(-LN(2)/25))/(LN(2)/25)*Calculateur!ER195*Calculateur!ET195*VLOOKUP('Données projet'!$B$15,Paramètres!$A$1:$I$89,3,0)*0.475*44/12</f>
        <v>0.12532107734251774</v>
      </c>
      <c r="EX195" s="21">
        <f>EXP(-LN(2)/2)*EX194+(1-EXP(-LN(2)/2))/(LN(2)/2)*ER195*EU195*VLOOKUP('Données projet'!$B$15,Paramètres!$A$1:$I$89,3,0)*0.475*44/12</f>
        <v>7.0205638286474086E-16</v>
      </c>
      <c r="EY195" s="22">
        <f t="shared" si="181"/>
        <v>11.220969280284342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-1.383341441396624E-13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304.26232113495314</v>
      </c>
      <c r="FK195" s="59">
        <f t="shared" si="156"/>
        <v>297.47246687305056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11.470219972733579</v>
      </c>
      <c r="FR195" s="21">
        <f>EXP(-LN(2)/25)*FR194+(1-EXP(-LN(2)/25))/(LN(2)/25)*Calculateur!FM195*Calculateur!FO195*VLOOKUP('Données projet'!$B$16,Paramètres!$A$1:$I$89,3,0)*0.475*44/12</f>
        <v>0.12955172136383303</v>
      </c>
      <c r="FS195" s="21">
        <f>EXP(-LN(2)/2)*FS194+(1-EXP(-LN(2)/2))/(LN(2)/2)*FM195*FP195*VLOOKUP('Données projet'!$B$16,Paramètres!$A$1:$I$89,3,0)*0.475*44/12</f>
        <v>5.8882148240268789E-16</v>
      </c>
      <c r="FT195" s="22">
        <f t="shared" si="184"/>
        <v>11.599771694097413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-1.4897523215040567E-13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381.72225529388083</v>
      </c>
      <c r="T196" s="59">
        <f t="shared" si="142"/>
        <v>360.05900046417361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18.940749690707072</v>
      </c>
      <c r="AA196" s="21">
        <f>EXP(-LN(2)/25)*AA195+(1-EXP(-LN(2)/25))/(LN(2)/25)*Calculateur!V196*Calculateur!X196*VLOOKUP('Données projet'!$B$9,Paramètres!$A$1:$I$89,3,0)*0.475*44/12</f>
        <v>1.4522354156170083</v>
      </c>
      <c r="AB196" s="21">
        <f>EXP(-LN(2)/2)*AB195+(1-EXP(-LN(2)/2))/(LN(2)/2)*V196*Y196*VLOOKUP('Données projet'!$B$9,Paramètres!$A$1:$I$89,3,0)*0.475*44/12</f>
        <v>4.6184337302366885E-25</v>
      </c>
      <c r="AC196" s="22">
        <f t="shared" si="163"/>
        <v>20.39298510632408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-4.1677594708744434E-14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464.3681853739115</v>
      </c>
      <c r="AO196" s="59">
        <f t="shared" si="144"/>
        <v>272.97841038165217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30.28105502883653</v>
      </c>
      <c r="AV196" s="21">
        <f>EXP(-LN(2)/25)*AV195+(1-EXP(-LN(2)/25))/(LN(2)/25)*Calculateur!AQ196*Calculateur!AS196*VLOOKUP('Données projet'!$B$10,Paramètres!$A$1:$I$89,3,0)*0.475*44/12</f>
        <v>4.4536178268843258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34.734672855720859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-1.3567387213697657E-13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299.10536994156814</v>
      </c>
      <c r="BJ196" s="59">
        <f t="shared" si="146"/>
        <v>292.57799203101769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11.029040263765253</v>
      </c>
      <c r="BQ196" s="21">
        <f>EXP(-LN(2)/25)*BQ195+(1-EXP(-LN(2)/25))/(LN(2)/25)*Calculateur!BL196*Calculateur!BN196*VLOOKUP('Données projet'!$B$11,Paramètres!$A$1:$I$89,3,0)*0.475*44/12</f>
        <v>0.12358587037011172</v>
      </c>
      <c r="BR196" s="21">
        <f>EXP(-LN(2)/2)*BR195+(1-EXP(-LN(2)/2))/(LN(2)/2)*BL196*BO196*VLOOKUP('Données projet'!$B$11,Paramètres!$A$1:$I$89,3,0)*0.475*44/12</f>
        <v>4.0835274651688453E-16</v>
      </c>
      <c r="BS196" s="22">
        <f t="shared" si="169"/>
        <v>11.152626134135366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-1.7053025658242404E-13</v>
      </c>
      <c r="BZ196" s="13">
        <f>BY196*VLOOKUP('Données projet'!$B$12,Paramètres!$A$1:$I$89,3,0)*VLOOKUP('Données projet'!$B$12,Paramètres!$A$1:$I$89,5,0)</f>
        <v>-1.3567387213697657E-13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299.10536994156814</v>
      </c>
      <c r="CE196" s="59">
        <f t="shared" si="148"/>
        <v>292.57799203101769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11.029040263765253</v>
      </c>
      <c r="CL196" s="21">
        <f>EXP(-LN(2)/25)*CL195+(1-EXP(-LN(2)/25))/(LN(2)/25)*Calculateur!CG196*Calculateur!CI196*VLOOKUP('Données projet'!$B$12,Paramètres!$A$1:$I$89,3,0)*0.475*44/12</f>
        <v>0.12358587037011172</v>
      </c>
      <c r="CM196" s="21">
        <f>EXP(-LN(2)/2)*CM195+(1-EXP(-LN(2)/2))/(LN(2)/2)*CG196*CJ196*VLOOKUP('Données projet'!$B$12,Paramètres!$A$1:$I$89,3,0)*0.475*44/12</f>
        <v>4.0835274651688453E-16</v>
      </c>
      <c r="CN196" s="22">
        <f t="shared" si="172"/>
        <v>11.152626134135366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-7.9580786405131221E-13</v>
      </c>
      <c r="CU196" s="17">
        <f>CT196*VLOOKUP('Données projet'!$B$13,Paramètres!$A$1:$I$89,3,0)*VLOOKUP('Données projet'!$B$13,Paramètres!$A$1:$I$89,5,0)</f>
        <v>-7.2004695539362725E-13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528.15559695545812</v>
      </c>
      <c r="CZ196" s="59">
        <f t="shared" si="150"/>
        <v>276.26988364830532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84.292892275744109</v>
      </c>
      <c r="DG196" s="21">
        <f>EXP(-LN(2)/25)*DG195+(1-EXP(-LN(2)/25))/(LN(2)/25)*Calculateur!DB196*Calculateur!DD196*VLOOKUP('Données projet'!$B$13,Paramètres!$A$1:$I$89,3,0)*0.475*44/12</f>
        <v>10.447379965494873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94.740272241238983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-7.9580786405131221E-13</v>
      </c>
      <c r="DP196" s="17">
        <f>DO196*VLOOKUP('Données projet'!$B$14,Paramètres!$A$1:$I$89,3,0)*VLOOKUP('Données projet'!$B$14,Paramètres!$A$1:$I$89,5,0)</f>
        <v>-8.0694917414803056E-13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586.50020405958992</v>
      </c>
      <c r="DU196" s="59">
        <f t="shared" si="152"/>
        <v>304.44184537595294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94.46617237798911</v>
      </c>
      <c r="EB196" s="21">
        <f>EXP(-LN(2)/25)*EB195+(1-EXP(-LN(2)/25))/(LN(2)/25)*Calculateur!DW196*Calculateur!DY196*VLOOKUP('Données projet'!$B$14,Paramètres!$A$1:$I$89,3,0)*0.475*44/12</f>
        <v>11.708270650985641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106.17444302897475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-1.7053025658242404E-13</v>
      </c>
      <c r="EK196" s="17">
        <f>EJ196*VLOOKUP('Données projet'!$B$15,Paramètres!$A$1:$I$89,3,0)*VLOOKUP('Données projet'!$B$15,Paramètres!$A$1:$I$89,5,0)</f>
        <v>-1.6493686416652052E-13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355.72173590705142</v>
      </c>
      <c r="EP196" s="59">
        <f t="shared" si="154"/>
        <v>346.30980704469363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10.878069309359287</v>
      </c>
      <c r="EW196" s="21">
        <f>EXP(-LN(2)/25)*EW195+(1-EXP(-LN(2)/25))/(LN(2)/25)*Calculateur!ER196*Calculateur!ET196*VLOOKUP('Données projet'!$B$15,Paramètres!$A$1:$I$89,3,0)*0.475*44/12</f>
        <v>0.12189416589223756</v>
      </c>
      <c r="EX196" s="21">
        <f>EXP(-LN(2)/2)*EX195+(1-EXP(-LN(2)/2))/(LN(2)/2)*ER196*EU196*VLOOKUP('Données projet'!$B$15,Paramètres!$A$1:$I$89,3,0)*0.475*44/12</f>
        <v>4.9642882909895733E-16</v>
      </c>
      <c r="EY196" s="22">
        <f t="shared" si="181"/>
        <v>10.999963475251525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-1.383341441396624E-13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304.26232113495314</v>
      </c>
      <c r="FK196" s="59">
        <f t="shared" si="156"/>
        <v>297.47246687305056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11.245295955211645</v>
      </c>
      <c r="FR196" s="21">
        <f>EXP(-LN(2)/25)*FR195+(1-EXP(-LN(2)/25))/(LN(2)/25)*Calculateur!FM196*Calculateur!FO196*VLOOKUP('Données projet'!$B$16,Paramètres!$A$1:$I$89,3,0)*0.475*44/12</f>
        <v>0.12600912273031009</v>
      </c>
      <c r="FS196" s="21">
        <f>EXP(-LN(2)/2)*FS195+(1-EXP(-LN(2)/2))/(LN(2)/2)*FM196*FP196*VLOOKUP('Données projet'!$B$16,Paramètres!$A$1:$I$89,3,0)*0.475*44/12</f>
        <v>4.1635966311525598E-16</v>
      </c>
      <c r="FT196" s="22">
        <f t="shared" si="184"/>
        <v>11.371305077941955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-1.4897523215040567E-13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381.72225529388083</v>
      </c>
      <c r="T197" s="59">
        <f t="shared" ref="T197:T203" si="204">$T$3</f>
        <v>360.05900046417361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18.569333141988881</v>
      </c>
      <c r="AA197" s="21">
        <f>EXP(-LN(2)/25)*AA196+(1-EXP(-LN(2)/25))/(LN(2)/25)*Calculateur!V197*Calculateur!X197*VLOOKUP('Données projet'!$B$9,Paramètres!$A$1:$I$89,3,0)*0.475*44/12</f>
        <v>1.4125239618072198</v>
      </c>
      <c r="AB197" s="21">
        <f>EXP(-LN(2)/2)*AB196+(1-EXP(-LN(2)/2))/(LN(2)/2)*V197*Y197*VLOOKUP('Données projet'!$B$9,Paramètres!$A$1:$I$89,3,0)*0.475*44/12</f>
        <v>3.2657258091110446E-25</v>
      </c>
      <c r="AC197" s="22">
        <f t="shared" si="163"/>
        <v>19.981857103796102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-4.1677594708744434E-14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464.3681853739115</v>
      </c>
      <c r="AO197" s="59">
        <f t="shared" ref="AO197:AO203" si="205">$AO$3</f>
        <v>272.97841038165217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29.687262009340891</v>
      </c>
      <c r="AV197" s="21">
        <f>EXP(-LN(2)/25)*AV196+(1-EXP(-LN(2)/25))/(LN(2)/25)*Calculateur!AQ197*Calculateur!AS197*VLOOKUP('Données projet'!$B$10,Paramètres!$A$1:$I$89,3,0)*0.475*44/12</f>
        <v>4.3318334132025917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34.019095422543487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-1.3567387213697657E-13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299.10536994156814</v>
      </c>
      <c r="BJ197" s="59">
        <f t="shared" ref="BJ197:BJ203" si="206">$BJ$3</f>
        <v>292.57799203101769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10.812767511243136</v>
      </c>
      <c r="BQ197" s="21">
        <f>EXP(-LN(2)/25)*BQ196+(1-EXP(-LN(2)/25))/(LN(2)/25)*Calculateur!BL197*Calculateur!BN197*VLOOKUP('Données projet'!$B$11,Paramètres!$A$1:$I$89,3,0)*0.475*44/12</f>
        <v>0.12020640824574255</v>
      </c>
      <c r="BR197" s="21">
        <f>EXP(-LN(2)/2)*BR196+(1-EXP(-LN(2)/2))/(LN(2)/2)*BL197*BO197*VLOOKUP('Données projet'!$B$11,Paramètres!$A$1:$I$89,3,0)*0.475*44/12</f>
        <v>2.8874899617824037E-16</v>
      </c>
      <c r="BS197" s="22">
        <f t="shared" si="169"/>
        <v>10.932973919488878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-1.7053025658242404E-13</v>
      </c>
      <c r="BZ197" s="13">
        <f>BY197*VLOOKUP('Données projet'!$B$12,Paramètres!$A$1:$I$89,3,0)*VLOOKUP('Données projet'!$B$12,Paramètres!$A$1:$I$89,5,0)</f>
        <v>-1.3567387213697657E-13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299.10536994156814</v>
      </c>
      <c r="CE197" s="59">
        <f t="shared" ref="CE197:CE203" si="207">$CE$3</f>
        <v>292.57799203101769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10.812767511243136</v>
      </c>
      <c r="CL197" s="21">
        <f>EXP(-LN(2)/25)*CL196+(1-EXP(-LN(2)/25))/(LN(2)/25)*Calculateur!CG197*Calculateur!CI197*VLOOKUP('Données projet'!$B$12,Paramètres!$A$1:$I$89,3,0)*0.475*44/12</f>
        <v>0.12020640824574255</v>
      </c>
      <c r="CM197" s="21">
        <f>EXP(-LN(2)/2)*CM196+(1-EXP(-LN(2)/2))/(LN(2)/2)*CG197*CJ197*VLOOKUP('Données projet'!$B$12,Paramètres!$A$1:$I$89,3,0)*0.475*44/12</f>
        <v>2.8874899617824037E-16</v>
      </c>
      <c r="CN197" s="22">
        <f t="shared" si="172"/>
        <v>10.932973919488878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-7.9580786405131221E-13</v>
      </c>
      <c r="CU197" s="17">
        <f>CT197*VLOOKUP('Données projet'!$B$13,Paramètres!$A$1:$I$89,3,0)*VLOOKUP('Données projet'!$B$13,Paramètres!$A$1:$I$89,5,0)</f>
        <v>-7.2004695539362725E-13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528.15559695545812</v>
      </c>
      <c r="CZ197" s="59">
        <f t="shared" ref="CZ197:CZ203" si="208">$CZ$3</f>
        <v>276.26988364830532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82.639960071804381</v>
      </c>
      <c r="DG197" s="21">
        <f>EXP(-LN(2)/25)*DG196+(1-EXP(-LN(2)/25))/(LN(2)/25)*Calculateur!DB197*Calculateur!DD197*VLOOKUP('Données projet'!$B$13,Paramètres!$A$1:$I$89,3,0)*0.475*44/12</f>
        <v>10.161695810934582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92.80165588273897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-7.9580786405131221E-13</v>
      </c>
      <c r="DP197" s="17">
        <f>DO197*VLOOKUP('Données projet'!$B$14,Paramètres!$A$1:$I$89,3,0)*VLOOKUP('Données projet'!$B$14,Paramètres!$A$1:$I$89,5,0)</f>
        <v>-8.0694917414803056E-13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586.50020405958992</v>
      </c>
      <c r="DU197" s="59">
        <f t="shared" ref="DU197:DU203" si="209">$DU$3</f>
        <v>304.44184537595294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92.613748356332522</v>
      </c>
      <c r="EB197" s="21">
        <f>EXP(-LN(2)/25)*EB196+(1-EXP(-LN(2)/25))/(LN(2)/25)*Calculateur!DW197*Calculateur!DY197*VLOOKUP('Données projet'!$B$14,Paramètres!$A$1:$I$89,3,0)*0.475*44/12</f>
        <v>11.388107374323244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104.00185573065576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-1.7053025658242404E-13</v>
      </c>
      <c r="EK197" s="17">
        <f>EJ197*VLOOKUP('Données projet'!$B$15,Paramètres!$A$1:$I$89,3,0)*VLOOKUP('Données projet'!$B$15,Paramètres!$A$1:$I$89,5,0)</f>
        <v>-1.6493686416652052E-13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355.72173590705142</v>
      </c>
      <c r="EP197" s="59">
        <f t="shared" ref="EP197:EP203" si="210">$EP$3</f>
        <v>346.30980704469363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10.66475700516988</v>
      </c>
      <c r="EW197" s="21">
        <f>EXP(-LN(2)/25)*EW196+(1-EXP(-LN(2)/25))/(LN(2)/25)*Calculateur!ER197*Calculateur!ET197*VLOOKUP('Données projet'!$B$15,Paramètres!$A$1:$I$89,3,0)*0.475*44/12</f>
        <v>0.11856096351577873</v>
      </c>
      <c r="EX197" s="21">
        <f>EXP(-LN(2)/2)*EX196+(1-EXP(-LN(2)/2))/(LN(2)/2)*ER197*EU197*VLOOKUP('Données projet'!$B$15,Paramètres!$A$1:$I$89,3,0)*0.475*44/12</f>
        <v>3.5102819143237043E-16</v>
      </c>
      <c r="EY197" s="22">
        <f t="shared" si="181"/>
        <v>10.78331796868566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-1.383341441396624E-13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304.26232113495314</v>
      </c>
      <c r="FK197" s="59">
        <f t="shared" ref="FK197:FK203" si="211">$FK$3</f>
        <v>297.47246687305056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11.024782560483212</v>
      </c>
      <c r="FR197" s="21">
        <f>EXP(-LN(2)/25)*FR196+(1-EXP(-LN(2)/25))/(LN(2)/25)*Calculateur!FM197*Calculateur!FO197*VLOOKUP('Données projet'!$B$16,Paramètres!$A$1:$I$89,3,0)*0.475*44/12</f>
        <v>0.12256339664271799</v>
      </c>
      <c r="FS197" s="21">
        <f>EXP(-LN(2)/2)*FS196+(1-EXP(-LN(2)/2))/(LN(2)/2)*FM197*FP197*VLOOKUP('Données projet'!$B$16,Paramètres!$A$1:$I$89,3,0)*0.475*44/12</f>
        <v>2.9441074120134395E-16</v>
      </c>
      <c r="FT197" s="22">
        <f t="shared" si="184"/>
        <v>11.14734595712593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-1.4897523215040567E-13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381.72225529388083</v>
      </c>
      <c r="T198" s="59">
        <f t="shared" si="204"/>
        <v>360.05900046417361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18.205199845249329</v>
      </c>
      <c r="AA198" s="21">
        <f>EXP(-LN(2)/25)*AA197+(1-EXP(-LN(2)/25))/(LN(2)/25)*Calculateur!V198*Calculateur!X198*VLOOKUP('Données projet'!$B$9,Paramètres!$A$1:$I$89,3,0)*0.475*44/12</f>
        <v>1.3738984197901947</v>
      </c>
      <c r="AB198" s="21">
        <f>EXP(-LN(2)/2)*AB197+(1-EXP(-LN(2)/2))/(LN(2)/2)*V198*Y198*VLOOKUP('Données projet'!$B$9,Paramètres!$A$1:$I$89,3,0)*0.475*44/12</f>
        <v>2.3092168651183443E-25</v>
      </c>
      <c r="AC198" s="22">
        <f t="shared" si="163"/>
        <v>19.579098265039523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-4.1677594708744434E-14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464.3681853739115</v>
      </c>
      <c r="AO198" s="59">
        <f t="shared" si="205"/>
        <v>272.97841038165217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29.105112908779581</v>
      </c>
      <c r="AV198" s="21">
        <f>EXP(-LN(2)/25)*AV197+(1-EXP(-LN(2)/25))/(LN(2)/25)*Calculateur!AQ198*Calculateur!AS198*VLOOKUP('Données projet'!$B$10,Paramètres!$A$1:$I$89,3,0)*0.475*44/12</f>
        <v>4.2133792007173483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33.31849210949693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-1.3567387213697657E-13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299.10536994156814</v>
      </c>
      <c r="BJ198" s="59">
        <f t="shared" si="206"/>
        <v>292.57799203101769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10.600735735484625</v>
      </c>
      <c r="BQ198" s="21">
        <f>EXP(-LN(2)/25)*BQ197+(1-EXP(-LN(2)/25))/(LN(2)/25)*Calculateur!BL198*Calculateur!BN198*VLOOKUP('Données projet'!$B$11,Paramètres!$A$1:$I$89,3,0)*0.475*44/12</f>
        <v>0.11691935769088245</v>
      </c>
      <c r="BR198" s="21">
        <f>EXP(-LN(2)/2)*BR197+(1-EXP(-LN(2)/2))/(LN(2)/2)*BL198*BO198*VLOOKUP('Données projet'!$B$11,Paramètres!$A$1:$I$89,3,0)*0.475*44/12</f>
        <v>2.0417637325844226E-16</v>
      </c>
      <c r="BS198" s="22">
        <f t="shared" si="169"/>
        <v>10.717655093175507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-1.7053025658242404E-13</v>
      </c>
      <c r="BZ198" s="13">
        <f>BY198*VLOOKUP('Données projet'!$B$12,Paramètres!$A$1:$I$89,3,0)*VLOOKUP('Données projet'!$B$12,Paramètres!$A$1:$I$89,5,0)</f>
        <v>-1.3567387213697657E-13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299.10536994156814</v>
      </c>
      <c r="CE198" s="59">
        <f t="shared" si="207"/>
        <v>292.57799203101769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10.600735735484625</v>
      </c>
      <c r="CL198" s="21">
        <f>EXP(-LN(2)/25)*CL197+(1-EXP(-LN(2)/25))/(LN(2)/25)*Calculateur!CG198*Calculateur!CI198*VLOOKUP('Données projet'!$B$12,Paramètres!$A$1:$I$89,3,0)*0.475*44/12</f>
        <v>0.11691935769088245</v>
      </c>
      <c r="CM198" s="21">
        <f>EXP(-LN(2)/2)*CM197+(1-EXP(-LN(2)/2))/(LN(2)/2)*CG198*CJ198*VLOOKUP('Données projet'!$B$12,Paramètres!$A$1:$I$89,3,0)*0.475*44/12</f>
        <v>2.0417637325844226E-16</v>
      </c>
      <c r="CN198" s="22">
        <f t="shared" si="172"/>
        <v>10.717655093175507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-7.9580786405131221E-13</v>
      </c>
      <c r="CU198" s="17">
        <f>CT198*VLOOKUP('Données projet'!$B$13,Paramètres!$A$1:$I$89,3,0)*VLOOKUP('Données projet'!$B$13,Paramètres!$A$1:$I$89,5,0)</f>
        <v>-7.2004695539362725E-13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528.15559695545812</v>
      </c>
      <c r="CZ198" s="59">
        <f t="shared" si="208"/>
        <v>276.26988364830532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81.01944086019482</v>
      </c>
      <c r="DG198" s="21">
        <f>EXP(-LN(2)/25)*DG197+(1-EXP(-LN(2)/25))/(LN(2)/25)*Calculateur!DB198*Calculateur!DD198*VLOOKUP('Données projet'!$B$13,Paramètres!$A$1:$I$89,3,0)*0.475*44/12</f>
        <v>9.8838237046042181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90.903264564799031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-7.9580786405131221E-13</v>
      </c>
      <c r="DP198" s="17">
        <f>DO198*VLOOKUP('Données projet'!$B$14,Paramètres!$A$1:$I$89,3,0)*VLOOKUP('Données projet'!$B$14,Paramètres!$A$1:$I$89,5,0)</f>
        <v>-8.0694917414803056E-13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586.50020405958992</v>
      </c>
      <c r="DU198" s="59">
        <f t="shared" si="209"/>
        <v>304.44184537595294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90.797649239873536</v>
      </c>
      <c r="EB198" s="21">
        <f>EXP(-LN(2)/25)*EB197+(1-EXP(-LN(2)/25))/(LN(2)/25)*Calculateur!DW198*Calculateur!DY198*VLOOKUP('Données projet'!$B$14,Paramètres!$A$1:$I$89,3,0)*0.475*44/12</f>
        <v>11.076698979297836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101.87434821917137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-1.7053025658242404E-13</v>
      </c>
      <c r="EK198" s="17">
        <f>EJ198*VLOOKUP('Données projet'!$B$15,Paramètres!$A$1:$I$89,3,0)*VLOOKUP('Données projet'!$B$15,Paramètres!$A$1:$I$89,5,0)</f>
        <v>-1.6493686416652052E-13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355.72173590705142</v>
      </c>
      <c r="EP198" s="59">
        <f t="shared" si="210"/>
        <v>346.30980704469363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10.455627625157971</v>
      </c>
      <c r="EW198" s="21">
        <f>EXP(-LN(2)/25)*EW197+(1-EXP(-LN(2)/25))/(LN(2)/25)*Calculateur!ER198*Calculateur!ET198*VLOOKUP('Données projet'!$B$15,Paramètres!$A$1:$I$89,3,0)*0.475*44/12</f>
        <v>0.11531890773358966</v>
      </c>
      <c r="EX198" s="21">
        <f>EXP(-LN(2)/2)*EX197+(1-EXP(-LN(2)/2))/(LN(2)/2)*ER198*EU198*VLOOKUP('Données projet'!$B$15,Paramètres!$A$1:$I$89,3,0)*0.475*44/12</f>
        <v>2.4821441454947867E-16</v>
      </c>
      <c r="EY198" s="22">
        <f t="shared" si="181"/>
        <v>10.570946532891561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-1.383341441396624E-13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304.26232113495314</v>
      </c>
      <c r="FK198" s="59">
        <f t="shared" si="211"/>
        <v>297.47246687305056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10.808593298925514</v>
      </c>
      <c r="FR198" s="21">
        <f>EXP(-LN(2)/25)*FR197+(1-EXP(-LN(2)/25))/(LN(2)/25)*Calculateur!FM198*Calculateur!FO198*VLOOKUP('Données projet'!$B$16,Paramètres!$A$1:$I$89,3,0)*0.475*44/12</f>
        <v>0.11921189411619397</v>
      </c>
      <c r="FS198" s="21">
        <f>EXP(-LN(2)/2)*FS197+(1-EXP(-LN(2)/2))/(LN(2)/2)*FM198*FP198*VLOOKUP('Données projet'!$B$16,Paramètres!$A$1:$I$89,3,0)*0.475*44/12</f>
        <v>2.0817983155762799E-16</v>
      </c>
      <c r="FT198" s="22">
        <f t="shared" si="184"/>
        <v>10.927805193041708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-1.4897523215040567E-13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381.72225529388083</v>
      </c>
      <c r="T199" s="59">
        <f t="shared" si="204"/>
        <v>360.05900046417361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17.848206980359457</v>
      </c>
      <c r="AA199" s="21">
        <f>EXP(-LN(2)/25)*AA198+(1-EXP(-LN(2)/25))/(LN(2)/25)*Calculateur!V199*Calculateur!X199*VLOOKUP('Données projet'!$B$9,Paramètres!$A$1:$I$89,3,0)*0.475*44/12</f>
        <v>1.336329095250854</v>
      </c>
      <c r="AB199" s="21">
        <f>EXP(-LN(2)/2)*AB198+(1-EXP(-LN(2)/2))/(LN(2)/2)*V199*Y199*VLOOKUP('Données projet'!$B$9,Paramètres!$A$1:$I$89,3,0)*0.475*44/12</f>
        <v>1.6328629045555223E-25</v>
      </c>
      <c r="AC199" s="22">
        <f t="shared" si="163"/>
        <v>19.18453607561031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-4.1677594708744434E-14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464.3681853739115</v>
      </c>
      <c r="AO199" s="59">
        <f t="shared" si="205"/>
        <v>272.97841038165217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28.534379397004386</v>
      </c>
      <c r="AV199" s="21">
        <f>EXP(-LN(2)/25)*AV198+(1-EXP(-LN(2)/25))/(LN(2)/25)*Calculateur!AQ199*Calculateur!AS199*VLOOKUP('Données projet'!$B$10,Paramètres!$A$1:$I$89,3,0)*0.475*44/12</f>
        <v>4.09816412490175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32.632543521906136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-1.3567387213697657E-13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299.10536994156814</v>
      </c>
      <c r="BJ199" s="59">
        <f t="shared" si="206"/>
        <v>292.57799203101769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10.392861773522124</v>
      </c>
      <c r="BQ199" s="21">
        <f>EXP(-LN(2)/25)*BQ198+(1-EXP(-LN(2)/25))/(LN(2)/25)*Calculateur!BL199*Calculateur!BN199*VLOOKUP('Données projet'!$B$11,Paramètres!$A$1:$I$89,3,0)*0.475*44/12</f>
        <v>0.11372219170630347</v>
      </c>
      <c r="BR199" s="21">
        <f>EXP(-LN(2)/2)*BR198+(1-EXP(-LN(2)/2))/(LN(2)/2)*BL199*BO199*VLOOKUP('Données projet'!$B$11,Paramètres!$A$1:$I$89,3,0)*0.475*44/12</f>
        <v>1.4437449808912019E-16</v>
      </c>
      <c r="BS199" s="22">
        <f t="shared" si="169"/>
        <v>10.506583965228428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-1.7053025658242404E-13</v>
      </c>
      <c r="BZ199" s="13">
        <f>BY199*VLOOKUP('Données projet'!$B$12,Paramètres!$A$1:$I$89,3,0)*VLOOKUP('Données projet'!$B$12,Paramètres!$A$1:$I$89,5,0)</f>
        <v>-1.3567387213697657E-13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299.10536994156814</v>
      </c>
      <c r="CE199" s="59">
        <f t="shared" si="207"/>
        <v>292.57799203101769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10.392861773522124</v>
      </c>
      <c r="CL199" s="21">
        <f>EXP(-LN(2)/25)*CL198+(1-EXP(-LN(2)/25))/(LN(2)/25)*Calculateur!CG199*Calculateur!CI199*VLOOKUP('Données projet'!$B$12,Paramètres!$A$1:$I$89,3,0)*0.475*44/12</f>
        <v>0.11372219170630347</v>
      </c>
      <c r="CM199" s="21">
        <f>EXP(-LN(2)/2)*CM198+(1-EXP(-LN(2)/2))/(LN(2)/2)*CG199*CJ199*VLOOKUP('Données projet'!$B$12,Paramètres!$A$1:$I$89,3,0)*0.475*44/12</f>
        <v>1.4437449808912019E-16</v>
      </c>
      <c r="CN199" s="22">
        <f t="shared" si="172"/>
        <v>10.506583965228428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-7.9580786405131221E-13</v>
      </c>
      <c r="CU199" s="17">
        <f>CT199*VLOOKUP('Données projet'!$B$13,Paramètres!$A$1:$I$89,3,0)*VLOOKUP('Données projet'!$B$13,Paramètres!$A$1:$I$89,5,0)</f>
        <v>-7.2004695539362725E-13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528.15559695545812</v>
      </c>
      <c r="CZ199" s="59">
        <f t="shared" si="208"/>
        <v>276.26988364830532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79.430699041905797</v>
      </c>
      <c r="DG199" s="21">
        <f>EXP(-LN(2)/25)*DG198+(1-EXP(-LN(2)/25))/(LN(2)/25)*Calculateur!DB199*Calculateur!DD199*VLOOKUP('Données projet'!$B$13,Paramètres!$A$1:$I$89,3,0)*0.475*44/12</f>
        <v>9.6135500256341171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89.044249067539909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-7.9580786405131221E-13</v>
      </c>
      <c r="DP199" s="17">
        <f>DO199*VLOOKUP('Données projet'!$B$14,Paramètres!$A$1:$I$89,3,0)*VLOOKUP('Données projet'!$B$14,Paramètres!$A$1:$I$89,5,0)</f>
        <v>-8.0694917414803056E-13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586.50020405958992</v>
      </c>
      <c r="DU199" s="59">
        <f t="shared" si="209"/>
        <v>304.44184537595294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89.017162719377225</v>
      </c>
      <c r="EB199" s="21">
        <f>EXP(-LN(2)/25)*EB198+(1-EXP(-LN(2)/25))/(LN(2)/25)*Calculateur!DW199*Calculateur!DY199*VLOOKUP('Données projet'!$B$14,Paramètres!$A$1:$I$89,3,0)*0.475*44/12</f>
        <v>10.773806063210653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99.790968782587882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-1.7053025658242404E-13</v>
      </c>
      <c r="EK199" s="17">
        <f>EJ199*VLOOKUP('Données projet'!$B$15,Paramètres!$A$1:$I$89,3,0)*VLOOKUP('Données projet'!$B$15,Paramètres!$A$1:$I$89,5,0)</f>
        <v>-1.6493686416652052E-13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355.72173590705142</v>
      </c>
      <c r="EP199" s="59">
        <f t="shared" si="210"/>
        <v>346.30980704469363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10.250599144731769</v>
      </c>
      <c r="EW199" s="21">
        <f>EXP(-LN(2)/25)*EW198+(1-EXP(-LN(2)/25))/(LN(2)/25)*Calculateur!ER199*Calculateur!ET199*VLOOKUP('Données projet'!$B$15,Paramètres!$A$1:$I$89,3,0)*0.475*44/12</f>
        <v>0.11216550613725686</v>
      </c>
      <c r="EX199" s="21">
        <f>EXP(-LN(2)/2)*EX198+(1-EXP(-LN(2)/2))/(LN(2)/2)*ER199*EU199*VLOOKUP('Données projet'!$B$15,Paramètres!$A$1:$I$89,3,0)*0.475*44/12</f>
        <v>1.7551409571618521E-16</v>
      </c>
      <c r="EY199" s="22">
        <f t="shared" si="181"/>
        <v>10.362764650869027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-1.383341441396624E-13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304.26232113495314</v>
      </c>
      <c r="FK199" s="59">
        <f t="shared" si="211"/>
        <v>297.47246687305056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10.596643376924533</v>
      </c>
      <c r="FR199" s="21">
        <f>EXP(-LN(2)/25)*FR198+(1-EXP(-LN(2)/25))/(LN(2)/25)*Calculateur!FM199*Calculateur!FO199*VLOOKUP('Données projet'!$B$16,Paramètres!$A$1:$I$89,3,0)*0.475*44/12</f>
        <v>0.11595203860250559</v>
      </c>
      <c r="FS199" s="21">
        <f>EXP(-LN(2)/2)*FS198+(1-EXP(-LN(2)/2))/(LN(2)/2)*FM199*FP199*VLOOKUP('Données projet'!$B$16,Paramètres!$A$1:$I$89,3,0)*0.475*44/12</f>
        <v>1.4720537060067197E-16</v>
      </c>
      <c r="FT199" s="22">
        <f t="shared" si="184"/>
        <v>10.712595415527039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-1.4897523215040567E-13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381.72225529388083</v>
      </c>
      <c r="T200" s="59">
        <f t="shared" si="204"/>
        <v>360.05900046417361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17.498214527805931</v>
      </c>
      <c r="AA200" s="21">
        <f>EXP(-LN(2)/25)*AA199+(1-EXP(-LN(2)/25))/(LN(2)/25)*Calculateur!V200*Calculateur!X200*VLOOKUP('Données projet'!$B$9,Paramètres!$A$1:$I$89,3,0)*0.475*44/12</f>
        <v>1.2997871058667265</v>
      </c>
      <c r="AB200" s="21">
        <f>EXP(-LN(2)/2)*AB199+(1-EXP(-LN(2)/2))/(LN(2)/2)*V200*Y200*VLOOKUP('Données projet'!$B$9,Paramètres!$A$1:$I$89,3,0)*0.475*44/12</f>
        <v>1.1546084325591721E-25</v>
      </c>
      <c r="AC200" s="22">
        <f t="shared" si="163"/>
        <v>18.798001633672659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-4.1677594708744434E-14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464.3681853739115</v>
      </c>
      <c r="AO200" s="59">
        <f t="shared" si="205"/>
        <v>272.97841038165217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27.974837621282035</v>
      </c>
      <c r="AV200" s="21">
        <f>EXP(-LN(2)/25)*AV199+(1-EXP(-LN(2)/25))/(LN(2)/25)*Calculateur!AQ200*Calculateur!AS200*VLOOKUP('Données projet'!$B$10,Paramètres!$A$1:$I$89,3,0)*0.475*44/12</f>
        <v>3.9860996113932265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31.96093723267526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-1.3567387213697657E-13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299.10536994156814</v>
      </c>
      <c r="BJ200" s="59">
        <f t="shared" si="206"/>
        <v>292.57799203101769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10.189064093163111</v>
      </c>
      <c r="BQ200" s="21">
        <f>EXP(-LN(2)/25)*BQ199+(1-EXP(-LN(2)/25))/(LN(2)/25)*Calculateur!BL200*Calculateur!BN200*VLOOKUP('Données projet'!$B$11,Paramètres!$A$1:$I$89,3,0)*0.475*44/12</f>
        <v>0.11061245239370446</v>
      </c>
      <c r="BR200" s="21">
        <f>EXP(-LN(2)/2)*BR199+(1-EXP(-LN(2)/2))/(LN(2)/2)*BL200*BO200*VLOOKUP('Données projet'!$B$11,Paramètres!$A$1:$I$89,3,0)*0.475*44/12</f>
        <v>1.0208818662922113E-16</v>
      </c>
      <c r="BS200" s="22">
        <f t="shared" si="169"/>
        <v>10.299676545556816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-1.7053025658242404E-13</v>
      </c>
      <c r="BZ200" s="13">
        <f>BY200*VLOOKUP('Données projet'!$B$12,Paramètres!$A$1:$I$89,3,0)*VLOOKUP('Données projet'!$B$12,Paramètres!$A$1:$I$89,5,0)</f>
        <v>-1.3567387213697657E-13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299.10536994156814</v>
      </c>
      <c r="CE200" s="59">
        <f t="shared" si="207"/>
        <v>292.57799203101769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10.189064093163111</v>
      </c>
      <c r="CL200" s="21">
        <f>EXP(-LN(2)/25)*CL199+(1-EXP(-LN(2)/25))/(LN(2)/25)*Calculateur!CG200*Calculateur!CI200*VLOOKUP('Données projet'!$B$12,Paramètres!$A$1:$I$89,3,0)*0.475*44/12</f>
        <v>0.11061245239370446</v>
      </c>
      <c r="CM200" s="21">
        <f>EXP(-LN(2)/2)*CM199+(1-EXP(-LN(2)/2))/(LN(2)/2)*CG200*CJ200*VLOOKUP('Données projet'!$B$12,Paramètres!$A$1:$I$89,3,0)*0.475*44/12</f>
        <v>1.0208818662922113E-16</v>
      </c>
      <c r="CN200" s="22">
        <f t="shared" si="172"/>
        <v>10.299676545556816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-7.9580786405131221E-13</v>
      </c>
      <c r="CU200" s="17">
        <f>CT200*VLOOKUP('Données projet'!$B$13,Paramètres!$A$1:$I$89,3,0)*VLOOKUP('Données projet'!$B$13,Paramètres!$A$1:$I$89,5,0)</f>
        <v>-7.2004695539362725E-13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528.15559695545812</v>
      </c>
      <c r="CZ200" s="59">
        <f t="shared" si="208"/>
        <v>276.26988364830532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77.873111481636599</v>
      </c>
      <c r="DG200" s="21">
        <f>EXP(-LN(2)/25)*DG199+(1-EXP(-LN(2)/25))/(LN(2)/25)*Calculateur!DB200*Calculateur!DD200*VLOOKUP('Données projet'!$B$13,Paramètres!$A$1:$I$89,3,0)*0.475*44/12</f>
        <v>9.3506669946285292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87.223778476265124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-7.9580786405131221E-13</v>
      </c>
      <c r="DP200" s="17">
        <f>DO200*VLOOKUP('Données projet'!$B$14,Paramètres!$A$1:$I$89,3,0)*VLOOKUP('Données projet'!$B$14,Paramètres!$A$1:$I$89,5,0)</f>
        <v>-8.0694917414803056E-13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586.50020405958992</v>
      </c>
      <c r="DU200" s="59">
        <f t="shared" si="209"/>
        <v>304.44184537595294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87.271590453558304</v>
      </c>
      <c r="EB200" s="21">
        <f>EXP(-LN(2)/25)*EB199+(1-EXP(-LN(2)/25))/(LN(2)/25)*Calculateur!DW200*Calculateur!DY200*VLOOKUP('Données projet'!$B$14,Paramètres!$A$1:$I$89,3,0)*0.475*44/12</f>
        <v>10.47919576984232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97.750786223400624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-1.7053025658242404E-13</v>
      </c>
      <c r="EK200" s="17">
        <f>EJ200*VLOOKUP('Données projet'!$B$15,Paramètres!$A$1:$I$89,3,0)*VLOOKUP('Données projet'!$B$15,Paramètres!$A$1:$I$89,5,0)</f>
        <v>-1.6493686416652052E-13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355.72173590705142</v>
      </c>
      <c r="EP200" s="59">
        <f t="shared" si="210"/>
        <v>346.30980704469363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10.049591147751698</v>
      </c>
      <c r="EW200" s="21">
        <f>EXP(-LN(2)/25)*EW199+(1-EXP(-LN(2)/25))/(LN(2)/25)*Calculateur!ER200*Calculateur!ET200*VLOOKUP('Données projet'!$B$15,Paramètres!$A$1:$I$89,3,0)*0.475*44/12</f>
        <v>0.10909833447340596</v>
      </c>
      <c r="EX200" s="21">
        <f>EXP(-LN(2)/2)*EX199+(1-EXP(-LN(2)/2))/(LN(2)/2)*ER200*EU200*VLOOKUP('Données projet'!$B$15,Paramètres!$A$1:$I$89,3,0)*0.475*44/12</f>
        <v>1.2410720727473933E-16</v>
      </c>
      <c r="EY200" s="22">
        <f t="shared" si="181"/>
        <v>10.158689482225105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-1.383341441396624E-13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304.26232113495314</v>
      </c>
      <c r="FK200" s="59">
        <f t="shared" si="211"/>
        <v>297.47246687305056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10.388849663617304</v>
      </c>
      <c r="FR200" s="21">
        <f>EXP(-LN(2)/25)*FR199+(1-EXP(-LN(2)/25))/(LN(2)/25)*Calculateur!FM200*Calculateur!FO200*VLOOKUP('Données projet'!$B$16,Paramètres!$A$1:$I$89,3,0)*0.475*44/12</f>
        <v>0.11278132400926738</v>
      </c>
      <c r="FS200" s="21">
        <f>EXP(-LN(2)/2)*FS199+(1-EXP(-LN(2)/2))/(LN(2)/2)*FM200*FP200*VLOOKUP('Données projet'!$B$16,Paramètres!$A$1:$I$89,3,0)*0.475*44/12</f>
        <v>1.0408991577881399E-16</v>
      </c>
      <c r="FT200" s="22">
        <f t="shared" si="184"/>
        <v>10.501630987626571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-1.4897523215040567E-13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381.72225529388083</v>
      </c>
      <c r="T201" s="59">
        <f t="shared" si="204"/>
        <v>360.05900046417361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17.155085213772661</v>
      </c>
      <c r="AA201" s="21">
        <f>EXP(-LN(2)/25)*AA200+(1-EXP(-LN(2)/25))/(LN(2)/25)*Calculateur!V201*Calculateur!X201*VLOOKUP('Données projet'!$B$9,Paramètres!$A$1:$I$89,3,0)*0.475*44/12</f>
        <v>1.2642443591039676</v>
      </c>
      <c r="AB201" s="21">
        <f>EXP(-LN(2)/2)*AB200+(1-EXP(-LN(2)/2))/(LN(2)/2)*V201*Y201*VLOOKUP('Données projet'!$B$9,Paramètres!$A$1:$I$89,3,0)*0.475*44/12</f>
        <v>8.1643145227776115E-26</v>
      </c>
      <c r="AC201" s="22">
        <f t="shared" si="163"/>
        <v>18.419329572876627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-4.1677594708744434E-14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464.3681853739115</v>
      </c>
      <c r="AO201" s="59">
        <f t="shared" si="205"/>
        <v>272.97841038165217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27.426268118494814</v>
      </c>
      <c r="AV201" s="21">
        <f>EXP(-LN(2)/25)*AV200+(1-EXP(-LN(2)/25))/(LN(2)/25)*Calculateur!AQ201*Calculateur!AS201*VLOOKUP('Données projet'!$B$10,Paramètres!$A$1:$I$89,3,0)*0.475*44/12</f>
        <v>3.8770995078998105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31.303367626394625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-1.3567387213697657E-13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299.10536994156814</v>
      </c>
      <c r="BJ201" s="59">
        <f t="shared" si="206"/>
        <v>292.57799203101769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9.9892627610116271</v>
      </c>
      <c r="BQ201" s="21">
        <f>EXP(-LN(2)/25)*BQ200+(1-EXP(-LN(2)/25))/(LN(2)/25)*Calculateur!BL201*Calculateur!BN201*VLOOKUP('Données projet'!$B$11,Paramètres!$A$1:$I$89,3,0)*0.475*44/12</f>
        <v>0.10758774906614255</v>
      </c>
      <c r="BR201" s="21">
        <f>EXP(-LN(2)/2)*BR200+(1-EXP(-LN(2)/2))/(LN(2)/2)*BL201*BO201*VLOOKUP('Données projet'!$B$11,Paramètres!$A$1:$I$89,3,0)*0.475*44/12</f>
        <v>7.2187249044560093E-17</v>
      </c>
      <c r="BS201" s="22">
        <f t="shared" si="169"/>
        <v>10.09685051007777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-1.7053025658242404E-13</v>
      </c>
      <c r="BZ201" s="13">
        <f>BY201*VLOOKUP('Données projet'!$B$12,Paramètres!$A$1:$I$89,3,0)*VLOOKUP('Données projet'!$B$12,Paramètres!$A$1:$I$89,5,0)</f>
        <v>-1.3567387213697657E-13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299.10536994156814</v>
      </c>
      <c r="CE201" s="59">
        <f t="shared" si="207"/>
        <v>292.57799203101769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9.9892627610116271</v>
      </c>
      <c r="CL201" s="21">
        <f>EXP(-LN(2)/25)*CL200+(1-EXP(-LN(2)/25))/(LN(2)/25)*Calculateur!CG201*Calculateur!CI201*VLOOKUP('Données projet'!$B$12,Paramètres!$A$1:$I$89,3,0)*0.475*44/12</f>
        <v>0.10758774906614255</v>
      </c>
      <c r="CM201" s="21">
        <f>EXP(-LN(2)/2)*CM200+(1-EXP(-LN(2)/2))/(LN(2)/2)*CG201*CJ201*VLOOKUP('Données projet'!$B$12,Paramètres!$A$1:$I$89,3,0)*0.475*44/12</f>
        <v>7.2187249044560093E-17</v>
      </c>
      <c r="CN201" s="22">
        <f t="shared" si="172"/>
        <v>10.09685051007777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-7.9580786405131221E-13</v>
      </c>
      <c r="CU201" s="17">
        <f>CT201*VLOOKUP('Données projet'!$B$13,Paramètres!$A$1:$I$89,3,0)*VLOOKUP('Données projet'!$B$13,Paramètres!$A$1:$I$89,5,0)</f>
        <v>-7.2004695539362725E-13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528.15559695545812</v>
      </c>
      <c r="CZ201" s="59">
        <f t="shared" si="208"/>
        <v>276.26988364830532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76.346067263389685</v>
      </c>
      <c r="DG201" s="21">
        <f>EXP(-LN(2)/25)*DG200+(1-EXP(-LN(2)/25))/(LN(2)/25)*Calculateur!DB201*Calculateur!DD201*VLOOKUP('Données projet'!$B$13,Paramètres!$A$1:$I$89,3,0)*0.475*44/12</f>
        <v>9.0949725139302053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85.441039777319887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-7.9580786405131221E-13</v>
      </c>
      <c r="DP201" s="17">
        <f>DO201*VLOOKUP('Données projet'!$B$14,Paramètres!$A$1:$I$89,3,0)*VLOOKUP('Données projet'!$B$14,Paramètres!$A$1:$I$89,5,0)</f>
        <v>-8.0694917414803056E-13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586.50020405958992</v>
      </c>
      <c r="DU201" s="59">
        <f t="shared" si="209"/>
        <v>304.44184537595294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85.560247795178128</v>
      </c>
      <c r="EB201" s="21">
        <f>EXP(-LN(2)/25)*EB200+(1-EXP(-LN(2)/25))/(LN(2)/25)*Calculateur!DW201*Calculateur!DY201*VLOOKUP('Données projet'!$B$14,Paramètres!$A$1:$I$89,3,0)*0.475*44/12</f>
        <v>10.192641610439027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95.752889405617154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-1.7053025658242404E-13</v>
      </c>
      <c r="EK201" s="17">
        <f>EJ201*VLOOKUP('Données projet'!$B$15,Paramètres!$A$1:$I$89,3,0)*VLOOKUP('Données projet'!$B$15,Paramètres!$A$1:$I$89,5,0)</f>
        <v>-1.6493686416652052E-13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355.72173590705142</v>
      </c>
      <c r="EP201" s="59">
        <f t="shared" si="210"/>
        <v>346.30980704469363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9.8525247949896357</v>
      </c>
      <c r="EW201" s="21">
        <f>EXP(-LN(2)/25)*EW200+(1-EXP(-LN(2)/25))/(LN(2)/25)*Calculateur!ER201*Calculateur!ET201*VLOOKUP('Données projet'!$B$15,Paramètres!$A$1:$I$89,3,0)*0.475*44/12</f>
        <v>0.1061150347799986</v>
      </c>
      <c r="EX201" s="21">
        <f>EXP(-LN(2)/2)*EX200+(1-EXP(-LN(2)/2))/(LN(2)/2)*ER201*EU201*VLOOKUP('Données projet'!$B$15,Paramètres!$A$1:$I$89,3,0)*0.475*44/12</f>
        <v>8.7757047858092607E-17</v>
      </c>
      <c r="EY201" s="22">
        <f t="shared" si="181"/>
        <v>9.9586398297696341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-1.383341441396624E-13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304.26232113495314</v>
      </c>
      <c r="FK201" s="59">
        <f t="shared" si="211"/>
        <v>297.47246687305056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10.185130658286379</v>
      </c>
      <c r="FR201" s="21">
        <f>EXP(-LN(2)/25)*FR200+(1-EXP(-LN(2)/25))/(LN(2)/25)*Calculateur!FM201*Calculateur!FO201*VLOOKUP('Données projet'!$B$16,Paramètres!$A$1:$I$89,3,0)*0.475*44/12</f>
        <v>0.1096973127733219</v>
      </c>
      <c r="FS201" s="21">
        <f>EXP(-LN(2)/2)*FS200+(1-EXP(-LN(2)/2))/(LN(2)/2)*FM201*FP201*VLOOKUP('Données projet'!$B$16,Paramètres!$A$1:$I$89,3,0)*0.475*44/12</f>
        <v>7.3602685300335987E-17</v>
      </c>
      <c r="FT201" s="22">
        <f t="shared" si="184"/>
        <v>10.294827971059702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-1.4897523215040567E-13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381.72225529388083</v>
      </c>
      <c r="T202" s="59">
        <f t="shared" si="204"/>
        <v>360.05900046417361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16.818684456299369</v>
      </c>
      <c r="AA202" s="21">
        <f>EXP(-LN(2)/25)*AA201+(1-EXP(-LN(2)/25))/(LN(2)/25)*Calculateur!V202*Calculateur!X202*VLOOKUP('Données projet'!$B$9,Paramètres!$A$1:$I$89,3,0)*0.475*44/12</f>
        <v>1.2296735306205482</v>
      </c>
      <c r="AB202" s="21">
        <f>EXP(-LN(2)/2)*AB201+(1-EXP(-LN(2)/2))/(LN(2)/2)*V202*Y202*VLOOKUP('Données projet'!$B$9,Paramètres!$A$1:$I$89,3,0)*0.475*44/12</f>
        <v>5.7730421627958607E-26</v>
      </c>
      <c r="AC202" s="22">
        <f t="shared" si="163"/>
        <v>18.048357986919918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-4.1677594708744434E-14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464.3681853739115</v>
      </c>
      <c r="AO202" s="59">
        <f t="shared" si="205"/>
        <v>272.97841038165217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26.888455729062894</v>
      </c>
      <c r="AV202" s="21">
        <f>EXP(-LN(2)/25)*AV201+(1-EXP(-LN(2)/25))/(LN(2)/25)*Calculateur!AQ202*Calculateur!AS202*VLOOKUP('Données projet'!$B$10,Paramètres!$A$1:$I$89,3,0)*0.475*44/12</f>
        <v>3.7710800179684885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30.659535747031384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-1.3567387213697657E-13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299.10536994156814</v>
      </c>
      <c r="BJ202" s="59">
        <f t="shared" si="206"/>
        <v>292.57799203101769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9.7933794111168542</v>
      </c>
      <c r="BQ202" s="21">
        <f>EXP(-LN(2)/25)*BQ201+(1-EXP(-LN(2)/25))/(LN(2)/25)*Calculateur!BL202*Calculateur!BN202*VLOOKUP('Données projet'!$B$11,Paramètres!$A$1:$I$89,3,0)*0.475*44/12</f>
        <v>0.10464575641013504</v>
      </c>
      <c r="BR202" s="21">
        <f>EXP(-LN(2)/2)*BR201+(1-EXP(-LN(2)/2))/(LN(2)/2)*BL202*BO202*VLOOKUP('Données projet'!$B$11,Paramètres!$A$1:$I$89,3,0)*0.475*44/12</f>
        <v>5.1044093314610566E-17</v>
      </c>
      <c r="BS202" s="22">
        <f t="shared" si="169"/>
        <v>9.8980251675269884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-1.7053025658242404E-13</v>
      </c>
      <c r="BZ202" s="13">
        <f>BY202*VLOOKUP('Données projet'!$B$12,Paramètres!$A$1:$I$89,3,0)*VLOOKUP('Données projet'!$B$12,Paramètres!$A$1:$I$89,5,0)</f>
        <v>-1.3567387213697657E-13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299.10536994156814</v>
      </c>
      <c r="CE202" s="59">
        <f t="shared" si="207"/>
        <v>292.57799203101769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9.7933794111168542</v>
      </c>
      <c r="CL202" s="21">
        <f>EXP(-LN(2)/25)*CL201+(1-EXP(-LN(2)/25))/(LN(2)/25)*Calculateur!CG202*Calculateur!CI202*VLOOKUP('Données projet'!$B$12,Paramètres!$A$1:$I$89,3,0)*0.475*44/12</f>
        <v>0.10464575641013504</v>
      </c>
      <c r="CM202" s="21">
        <f>EXP(-LN(2)/2)*CM201+(1-EXP(-LN(2)/2))/(LN(2)/2)*CG202*CJ202*VLOOKUP('Données projet'!$B$12,Paramètres!$A$1:$I$89,3,0)*0.475*44/12</f>
        <v>5.1044093314610566E-17</v>
      </c>
      <c r="CN202" s="22">
        <f t="shared" si="172"/>
        <v>9.8980251675269884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-7.9580786405131221E-13</v>
      </c>
      <c r="CU202" s="17">
        <f>CT202*VLOOKUP('Données projet'!$B$13,Paramètres!$A$1:$I$89,3,0)*VLOOKUP('Données projet'!$B$13,Paramètres!$A$1:$I$89,5,0)</f>
        <v>-7.2004695539362725E-13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528.15559695545812</v>
      </c>
      <c r="CZ202" s="59">
        <f t="shared" si="208"/>
        <v>276.26988364830532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74.848967450857586</v>
      </c>
      <c r="DG202" s="21">
        <f>EXP(-LN(2)/25)*DG201+(1-EXP(-LN(2)/25))/(LN(2)/25)*Calculateur!DB202*Calculateur!DD202*VLOOKUP('Données projet'!$B$13,Paramètres!$A$1:$I$89,3,0)*0.475*44/12</f>
        <v>8.8462700122529654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83.695237463110544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-7.9580786405131221E-13</v>
      </c>
      <c r="DP202" s="17">
        <f>DO202*VLOOKUP('Données projet'!$B$14,Paramètres!$A$1:$I$89,3,0)*VLOOKUP('Données projet'!$B$14,Paramètres!$A$1:$I$89,5,0)</f>
        <v>-8.0694917414803056E-13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586.50020405958992</v>
      </c>
      <c r="DU202" s="59">
        <f t="shared" si="209"/>
        <v>304.44184537595294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83.882463522512836</v>
      </c>
      <c r="EB202" s="21">
        <f>EXP(-LN(2)/25)*EB201+(1-EXP(-LN(2)/25))/(LN(2)/25)*Calculateur!DW202*Calculateur!DY202*VLOOKUP('Données projet'!$B$14,Paramètres!$A$1:$I$89,3,0)*0.475*44/12</f>
        <v>9.9139232895938463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93.796386812106675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-1.7053025658242404E-13</v>
      </c>
      <c r="EK202" s="17">
        <f>EJ202*VLOOKUP('Données projet'!$B$15,Paramètres!$A$1:$I$89,3,0)*VLOOKUP('Données projet'!$B$15,Paramètres!$A$1:$I$89,5,0)</f>
        <v>-1.6493686416652052E-13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355.72173590705142</v>
      </c>
      <c r="EP202" s="59">
        <f t="shared" si="210"/>
        <v>346.30980704469363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9.6593227932066306</v>
      </c>
      <c r="EW202" s="21">
        <f>EXP(-LN(2)/25)*EW201+(1-EXP(-LN(2)/25))/(LN(2)/25)*Calculateur!ER202*Calculateur!ET202*VLOOKUP('Données projet'!$B$15,Paramètres!$A$1:$I$89,3,0)*0.475*44/12</f>
        <v>0.1032133135735924</v>
      </c>
      <c r="EX202" s="21">
        <f>EXP(-LN(2)/2)*EX201+(1-EXP(-LN(2)/2))/(LN(2)/2)*ER202*EU202*VLOOKUP('Données projet'!$B$15,Paramètres!$A$1:$I$89,3,0)*0.475*44/12</f>
        <v>6.2053603637369666E-17</v>
      </c>
      <c r="EY202" s="22">
        <f t="shared" si="181"/>
        <v>9.7625361067802228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-1.383341441396624E-13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304.26232113495314</v>
      </c>
      <c r="FK202" s="59">
        <f t="shared" si="211"/>
        <v>297.47246687305056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9.985406458393669</v>
      </c>
      <c r="FR202" s="21">
        <f>EXP(-LN(2)/25)*FR201+(1-EXP(-LN(2)/25))/(LN(2)/25)*Calculateur!FM202*Calculateur!FO202*VLOOKUP('Données projet'!$B$16,Paramètres!$A$1:$I$89,3,0)*0.475*44/12</f>
        <v>0.10669763398680444</v>
      </c>
      <c r="FS202" s="21">
        <f>EXP(-LN(2)/2)*FS201+(1-EXP(-LN(2)/2))/(LN(2)/2)*FM202*FP202*VLOOKUP('Données projet'!$B$16,Paramètres!$A$1:$I$89,3,0)*0.475*44/12</f>
        <v>5.2044957889406997E-17</v>
      </c>
      <c r="FT202" s="22">
        <f t="shared" si="184"/>
        <v>10.092104092380474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-1.4897523215040567E-13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381.72225529388083</v>
      </c>
      <c r="T203" s="59">
        <f t="shared" si="204"/>
        <v>360.05900046417361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16.488880312495926</v>
      </c>
      <c r="AA203" s="21">
        <f>EXP(-LN(2)/25)*AA202+(1-EXP(-LN(2)/25))/(LN(2)/25)*Calculateur!V203*Calculateur!X203*VLOOKUP('Données projet'!$B$9,Paramètres!$A$1:$I$89,3,0)*0.475*44/12</f>
        <v>1.1960480432600087</v>
      </c>
      <c r="AB203" s="21">
        <f>EXP(-LN(2)/2)*AB202+(1-EXP(-LN(2)/2))/(LN(2)/2)*V203*Y203*VLOOKUP('Données projet'!$B$9,Paramètres!$A$1:$I$89,3,0)*0.475*44/12</f>
        <v>4.0821572613888058E-26</v>
      </c>
      <c r="AC203" s="22">
        <f t="shared" si="163"/>
        <v>17.684928355755936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-4.1677594708744434E-14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464.3681853739115</v>
      </c>
      <c r="AO203" s="59">
        <f t="shared" si="205"/>
        <v>272.97841038165217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26.361189512554567</v>
      </c>
      <c r="AV203" s="21">
        <f>EXP(-LN(2)/25)*AV202+(1-EXP(-LN(2)/25))/(LN(2)/25)*Calculateur!AQ203*Calculateur!AS203*VLOOKUP('Données projet'!$B$10,Paramètres!$A$1:$I$89,3,0)*0.475*44/12</f>
        <v>3.6679596365646607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30.029149149119228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-1.3567387213697657E-13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299.10536994156814</v>
      </c>
      <c r="BJ203" s="59">
        <f t="shared" si="206"/>
        <v>292.57799203101769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9.6013372142364712</v>
      </c>
      <c r="BQ203" s="21">
        <f>EXP(-LN(2)/25)*BQ202+(1-EXP(-LN(2)/25))/(LN(2)/25)*Calculateur!BL203*Calculateur!BN203*VLOOKUP('Données projet'!$B$11,Paramètres!$A$1:$I$89,3,0)*0.475*44/12</f>
        <v>0.10178421269801874</v>
      </c>
      <c r="BR203" s="21">
        <f>EXP(-LN(2)/2)*BR202+(1-EXP(-LN(2)/2))/(LN(2)/2)*BL203*BO203*VLOOKUP('Données projet'!$B$11,Paramètres!$A$1:$I$89,3,0)*0.475*44/12</f>
        <v>3.6093624522280046E-17</v>
      </c>
      <c r="BS203" s="22">
        <f t="shared" si="169"/>
        <v>9.7031214269344908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-1.7053025658242404E-13</v>
      </c>
      <c r="BZ203" s="13">
        <f>BY203*VLOOKUP('Données projet'!$B$12,Paramètres!$A$1:$I$89,3,0)*VLOOKUP('Données projet'!$B$12,Paramètres!$A$1:$I$89,5,0)</f>
        <v>-1.3567387213697657E-13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299.10536994156814</v>
      </c>
      <c r="CE203" s="59">
        <f t="shared" si="207"/>
        <v>292.57799203101769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9.6013372142364712</v>
      </c>
      <c r="CL203" s="21">
        <f>EXP(-LN(2)/25)*CL202+(1-EXP(-LN(2)/25))/(LN(2)/25)*Calculateur!CG203*Calculateur!CI203*VLOOKUP('Données projet'!$B$12,Paramètres!$A$1:$I$89,3,0)*0.475*44/12</f>
        <v>0.10178421269801874</v>
      </c>
      <c r="CM203" s="21">
        <f>EXP(-LN(2)/2)*CM202+(1-EXP(-LN(2)/2))/(LN(2)/2)*CG203*CJ203*VLOOKUP('Données projet'!$B$12,Paramètres!$A$1:$I$89,3,0)*0.475*44/12</f>
        <v>3.6093624522280046E-17</v>
      </c>
      <c r="CN203" s="22">
        <f t="shared" si="172"/>
        <v>9.7031214269344908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-7.9580786405131221E-13</v>
      </c>
      <c r="CU203" s="17">
        <f>CT203*VLOOKUP('Données projet'!$B$13,Paramètres!$A$1:$I$89,3,0)*VLOOKUP('Données projet'!$B$13,Paramètres!$A$1:$I$89,5,0)</f>
        <v>-7.2004695539362725E-13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528.15559695545812</v>
      </c>
      <c r="CZ203" s="59">
        <f t="shared" si="208"/>
        <v>276.26988364830532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73.381224852508524</v>
      </c>
      <c r="DG203" s="21">
        <f>EXP(-LN(2)/25)*DG202+(1-EXP(-LN(2)/25))/(LN(2)/25)*Calculateur!DB203*Calculateur!DD203*VLOOKUP('Données projet'!$B$13,Paramètres!$A$1:$I$89,3,0)*0.475*44/12</f>
        <v>8.6043682935627857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81.985593146071309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-7.9580786405131221E-13</v>
      </c>
      <c r="DP203" s="17">
        <f>DO203*VLOOKUP('Données projet'!$B$14,Paramètres!$A$1:$I$89,3,0)*VLOOKUP('Données projet'!$B$14,Paramètres!$A$1:$I$89,5,0)</f>
        <v>-8.0694917414803056E-13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586.50020405958992</v>
      </c>
      <c r="DU203" s="59">
        <f t="shared" si="209"/>
        <v>304.44184537595294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82.237579576087157</v>
      </c>
      <c r="EB203" s="21">
        <f>EXP(-LN(2)/25)*EB202+(1-EXP(-LN(2)/25))/(LN(2)/25)*Calculateur!DW203*Calculateur!DY203*VLOOKUP('Données projet'!$B$14,Paramètres!$A$1:$I$89,3,0)*0.475*44/12</f>
        <v>9.6428265358893359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91.880406111976498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-1.7053025658242404E-13</v>
      </c>
      <c r="EK203" s="17">
        <f>EJ203*VLOOKUP('Données projet'!$B$15,Paramètres!$A$1:$I$89,3,0)*VLOOKUP('Données projet'!$B$15,Paramètres!$A$1:$I$89,5,0)</f>
        <v>-1.6493686416652052E-13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355.72173590705142</v>
      </c>
      <c r="EP203" s="59">
        <f t="shared" si="210"/>
        <v>346.30980704469363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9.4699093648370045</v>
      </c>
      <c r="EW203" s="21">
        <f>EXP(-LN(2)/25)*EW202+(1-EXP(-LN(2)/25))/(LN(2)/25)*Calculateur!ER203*Calculateur!ET203*VLOOKUP('Données projet'!$B$15,Paramètres!$A$1:$I$89,3,0)*0.475*44/12</f>
        <v>0.10039094008617025</v>
      </c>
      <c r="EX203" s="21">
        <f>EXP(-LN(2)/2)*EX202+(1-EXP(-LN(2)/2))/(LN(2)/2)*ER203*EU203*VLOOKUP('Données projet'!$B$15,Paramètres!$A$1:$I$89,3,0)*0.475*44/12</f>
        <v>4.3878523929046304E-17</v>
      </c>
      <c r="EY203" s="22">
        <f t="shared" si="181"/>
        <v>9.5703003049231743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-1.383341441396624E-13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304.26232113495314</v>
      </c>
      <c r="FK203" s="59">
        <f t="shared" si="211"/>
        <v>297.47246687305056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9.7895987282411223</v>
      </c>
      <c r="FR203" s="21">
        <f>EXP(-LN(2)/25)*FR202+(1-EXP(-LN(2)/25))/(LN(2)/25)*Calculateur!FM203*Calculateur!FO203*VLOOKUP('Données projet'!$B$16,Paramètres!$A$1:$I$89,3,0)*0.475*44/12</f>
        <v>0.10377998157445056</v>
      </c>
      <c r="FS203" s="21">
        <f>EXP(-LN(2)/2)*FS202+(1-EXP(-LN(2)/2))/(LN(2)/2)*FM203*FP203*VLOOKUP('Données projet'!$B$16,Paramètres!$A$1:$I$89,3,0)*0.475*44/12</f>
        <v>3.6801342650167993E-17</v>
      </c>
      <c r="FT203" s="22">
        <f t="shared" si="184"/>
        <v>9.8933787098155737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1.4269435884576509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1.2229519710813024</v>
      </c>
      <c r="BA205" s="82">
        <f>EXP(LN('Données projet'!B88)/'Données projet'!A88)</f>
        <v>1.2721747796233518</v>
      </c>
      <c r="BV205" s="82">
        <f>EXP(LN('Données projet'!B114)/'Données projet'!A114)</f>
        <v>1.2721747796233518</v>
      </c>
      <c r="CQ205" s="82">
        <f>EXP(LN('Données projet'!B140)/'Données projet'!A140)</f>
        <v>1.1480333746076383</v>
      </c>
      <c r="DL205" s="82">
        <f>EXP(LN('Données projet'!B166)/'Données projet'!A166)</f>
        <v>1.1480333746076383</v>
      </c>
      <c r="EG205" s="82">
        <f>EXP(LN('Données projet'!B192)/'Données projet'!A192)</f>
        <v>1.2721747796233518</v>
      </c>
      <c r="FB205" s="82">
        <f>EXP(LN('Données projet'!B218)/'Données projet'!A218)</f>
        <v>1.2721747796233518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rouge d'Amérique</v>
      </c>
      <c r="B6" s="146">
        <f>'Données projet'!D9</f>
        <v>0.88</v>
      </c>
      <c r="C6" s="147">
        <f ca="1">IF(OR('Données projet'!B9="",'Données projet'!C9="",'Données projet'!C9=0%),0,Calculateur!S3)</f>
        <v>381.72225529388083</v>
      </c>
      <c r="D6" s="147">
        <f>IF(OR('Données projet'!B9="",'Données projet'!C9="",'Données projet'!C9=0%),0,Calculateur!T3)</f>
        <v>360.05900046417361</v>
      </c>
      <c r="E6" s="147">
        <f ca="1">MIN(C6,D6)</f>
        <v>360.05900046417361</v>
      </c>
      <c r="F6" s="147">
        <f ca="1">E6*B6</f>
        <v>316.85192040847278</v>
      </c>
      <c r="G6" s="147">
        <f ca="1">F6*(100%-'Données projet'!$C$24)*(100%-'Données projet'!$C$25)*(100%-'Données projet'!$C$26)*(100%-'Données projet'!$C$27)</f>
        <v>285.16672836762552</v>
      </c>
      <c r="H6" s="148">
        <f>IF(OR('Données projet'!B9="",'Données projet'!C9="",'Données projet'!C9=0%),0,AVERAGE(Calculateur!$AC$3:$AC$33)*B6)</f>
        <v>4.2922467918046054</v>
      </c>
      <c r="I6" s="149">
        <f>H6*(100%-'Données projet'!$C$24)*(100%-'Données projet'!$C$25)*(100%-'Données projet'!$C$26)*(100%-'Données projet'!$C$27)</f>
        <v>3.8630221126241451</v>
      </c>
      <c r="J6" s="150">
        <f>IF(OR('Données projet'!B9="",'Données projet'!C9="",'Données projet'!C9=0%),0,SUM(Calculateur!$V$3:$V$33)*VLOOKUP('Données projet'!$B$9,Paramètres!$A$1:$I$89,9,0)*B6)</f>
        <v>26.84</v>
      </c>
      <c r="K6" s="151">
        <f>J6*(100%-'Données projet'!$C$24)*(100%-'Données projet'!$C$25)*(100%-'Données projet'!$C$26)*(100%-'Données projet'!$C$27)</f>
        <v>24.155999999999999</v>
      </c>
      <c r="L6" s="152">
        <f ca="1">G6+I6+K6</f>
        <v>313.18575048024968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Châtaignier</v>
      </c>
      <c r="B7" s="154">
        <f>'Données projet'!D10</f>
        <v>0.88</v>
      </c>
      <c r="C7" s="147">
        <f ca="1">IF(OR('Données projet'!B10="",'Données projet'!C10="",'Données projet'!C10=0%),0,Calculateur!AN3)</f>
        <v>464.3681853739115</v>
      </c>
      <c r="D7" s="147">
        <f>IF(OR('Données projet'!B10="",'Données projet'!C10="",'Données projet'!C10=0%),0,Calculateur!AO3)</f>
        <v>272.97841038165217</v>
      </c>
      <c r="E7" s="147">
        <f t="shared" ref="E7:E15" ca="1" si="0">MIN(C7,D7)</f>
        <v>272.97841038165217</v>
      </c>
      <c r="F7" s="147">
        <f t="shared" ref="F7:F15" ca="1" si="1">E7*B7</f>
        <v>240.2210011358539</v>
      </c>
      <c r="G7" s="147">
        <f ca="1">F7*(100%-'Données projet'!$C$24)*(100%-'Données projet'!$C$25)*(100%-'Données projet'!$C$26)*(100%-'Données projet'!$C$27)</f>
        <v>216.1989010222685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13.42</v>
      </c>
      <c r="K7" s="151">
        <f>J7*(100%-'Données projet'!$C$24)*(100%-'Données projet'!$C$25)*(100%-'Données projet'!$C$26)*(100%-'Données projet'!$C$27)</f>
        <v>12.077999999999999</v>
      </c>
      <c r="L7" s="152">
        <f t="shared" ref="L7:L15" ca="1" si="2">G7+I7+K7</f>
        <v>228.2769010222685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Erable sycomore</v>
      </c>
      <c r="B8" s="154">
        <f>'Données projet'!D11</f>
        <v>0.16499999999999998</v>
      </c>
      <c r="C8" s="147">
        <f ca="1">IF(OR('Données projet'!B11="",'Données projet'!C11="",'Données projet'!C11=0%),0,Calculateur!BI3)</f>
        <v>299.10536994156814</v>
      </c>
      <c r="D8" s="147">
        <f>IF(OR('Données projet'!B11="",'Données projet'!C11="",'Données projet'!C11=0%),0,Calculateur!BJ3)</f>
        <v>292.57799203101769</v>
      </c>
      <c r="E8" s="147">
        <f t="shared" ca="1" si="0"/>
        <v>292.57799203101769</v>
      </c>
      <c r="F8" s="147">
        <f t="shared" ca="1" si="1"/>
        <v>48.275368685117911</v>
      </c>
      <c r="G8" s="147">
        <f ca="1">F8*(100%-'Données projet'!$C$24)*(100%-'Données projet'!$C$25)*(100%-'Données projet'!$C$26)*(100%-'Données projet'!$C$27)</f>
        <v>43.447831816606119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4.0837499999999993</v>
      </c>
      <c r="K8" s="151">
        <f>J8*(100%-'Données projet'!$C$24)*(100%-'Données projet'!$C$25)*(100%-'Données projet'!$C$26)*(100%-'Données projet'!$C$27)</f>
        <v>3.6753749999999994</v>
      </c>
      <c r="L8" s="152">
        <f t="shared" ca="1" si="2"/>
        <v>47.123206816606121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sycomore</v>
      </c>
      <c r="B9" s="154">
        <f>'Données projet'!D12</f>
        <v>0.27500000000000002</v>
      </c>
      <c r="C9" s="147">
        <f ca="1">IF(OR('Données projet'!B12="",'Données projet'!C12="",'Données projet'!C12=0%),0,Calculateur!CD3)</f>
        <v>299.10536994156814</v>
      </c>
      <c r="D9" s="147">
        <f>IF(OR('Données projet'!B12="",'Données projet'!C12="",'Données projet'!C12=0%),0,Calculateur!CE3)</f>
        <v>292.57799203101769</v>
      </c>
      <c r="E9" s="147">
        <f t="shared" ca="1" si="0"/>
        <v>292.57799203101769</v>
      </c>
      <c r="F9" s="147">
        <f t="shared" ca="1" si="1"/>
        <v>80.458947808529871</v>
      </c>
      <c r="G9" s="147">
        <f ca="1">F9*(100%-'Données projet'!$C$24)*(100%-'Données projet'!$C$25)*(100%-'Données projet'!$C$26)*(100%-'Données projet'!$C$27)</f>
        <v>72.413053027676881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6.8062500000000004</v>
      </c>
      <c r="K9" s="151">
        <f>J9*(100%-'Données projet'!$C$24)*(100%-'Données projet'!$C$25)*(100%-'Données projet'!$C$26)*(100%-'Données projet'!$C$27)</f>
        <v>6.1256250000000003</v>
      </c>
      <c r="L9" s="152">
        <f t="shared" ca="1" si="2"/>
        <v>78.53867802767688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sessile</v>
      </c>
      <c r="B10" s="154">
        <f>'Données projet'!D13</f>
        <v>1.375</v>
      </c>
      <c r="C10" s="147">
        <f ca="1">IF(OR('Données projet'!B13="",'Données projet'!C13="",'Données projet'!C13=0%),0,Calculateur!CY3)</f>
        <v>528.15559695545812</v>
      </c>
      <c r="D10" s="147">
        <f>IF(OR('Données projet'!B13="",'Données projet'!C13="",'Données projet'!C13=0%),0,Calculateur!CZ3)</f>
        <v>276.26988364830532</v>
      </c>
      <c r="E10" s="147">
        <f t="shared" ca="1" si="0"/>
        <v>276.26988364830532</v>
      </c>
      <c r="F10" s="147">
        <f t="shared" ca="1" si="1"/>
        <v>379.87109001641983</v>
      </c>
      <c r="G10" s="147">
        <f ca="1">F10*(100%-'Données projet'!$C$24)*(100%-'Données projet'!$C$25)*(100%-'Données projet'!$C$26)*(100%-'Données projet'!$C$27)</f>
        <v>341.88398101477787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341.88398101477787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pubescent</v>
      </c>
      <c r="B11" s="154">
        <f>'Données projet'!D14</f>
        <v>1.375</v>
      </c>
      <c r="C11" s="147">
        <f ca="1">IF(OR('Données projet'!B14="",'Données projet'!C14="",'Données projet'!C14=0%),0,Calculateur!DT3)</f>
        <v>586.50020405958992</v>
      </c>
      <c r="D11" s="147">
        <f>IF(OR('Données projet'!B14="",'Données projet'!C14="",'Données projet'!C14=0%),0,Calculateur!DU3)</f>
        <v>304.44184537595294</v>
      </c>
      <c r="E11" s="147">
        <f t="shared" ca="1" si="0"/>
        <v>304.44184537595294</v>
      </c>
      <c r="F11" s="147">
        <f t="shared" ca="1" si="1"/>
        <v>418.6075373919353</v>
      </c>
      <c r="G11" s="147">
        <f ca="1">F11*(100%-'Données projet'!$C$24)*(100%-'Données projet'!$C$25)*(100%-'Données projet'!$C$26)*(100%-'Données projet'!$C$27)</f>
        <v>376.74678365274178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376.74678365274178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Alisier torminal</v>
      </c>
      <c r="B12" s="154">
        <f>'Données projet'!D15</f>
        <v>0.27500000000000002</v>
      </c>
      <c r="C12" s="147">
        <f ca="1">IF(OR('Données projet'!B15="",'Données projet'!C15="",'Données projet'!C15=0%),0,Calculateur!EO3)</f>
        <v>355.72173590705142</v>
      </c>
      <c r="D12" s="147">
        <f>IF(OR('Données projet'!B15="",'Données projet'!C15="",'Données projet'!C15=0%),0,Calculateur!EP3)</f>
        <v>346.30980704469363</v>
      </c>
      <c r="E12" s="147">
        <f t="shared" ca="1" si="0"/>
        <v>346.30980704469363</v>
      </c>
      <c r="F12" s="147">
        <f t="shared" ca="1" si="1"/>
        <v>95.235196937290752</v>
      </c>
      <c r="G12" s="147">
        <f ca="1">F12*(100%-'Données projet'!$C$24)*(100%-'Données projet'!$C$25)*(100%-'Données projet'!$C$26)*(100%-'Données projet'!$C$27)</f>
        <v>85.711677243561681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6.8062500000000004</v>
      </c>
      <c r="K12" s="151">
        <f>J12*(100%-'Données projet'!$C$24)*(100%-'Données projet'!$C$25)*(100%-'Données projet'!$C$26)*(100%-'Données projet'!$C$27)</f>
        <v>6.1256250000000003</v>
      </c>
      <c r="L12" s="152">
        <f t="shared" ca="1" si="2"/>
        <v>91.83730224356168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Noyer</v>
      </c>
      <c r="B13" s="154">
        <f>'Données projet'!D16</f>
        <v>0.27500000000000002</v>
      </c>
      <c r="C13" s="147">
        <f ca="1">IF(OR('Données projet'!B16="",'Données projet'!C16="",'Données projet'!C16=0%),0,Calculateur!FJ3)</f>
        <v>304.26232113495314</v>
      </c>
      <c r="D13" s="147">
        <f>IF(OR('Données projet'!B16="",'Données projet'!C16="",'Données projet'!C16=0%),0,Calculateur!FK3)</f>
        <v>297.47246687305056</v>
      </c>
      <c r="E13" s="147">
        <f t="shared" ca="1" si="0"/>
        <v>297.47246687305056</v>
      </c>
      <c r="F13" s="147">
        <f t="shared" ca="1" si="1"/>
        <v>81.804928390088918</v>
      </c>
      <c r="G13" s="147">
        <f ca="1">F13*(100%-'Données projet'!$C$24)*(100%-'Données projet'!$C$25)*(100%-'Données projet'!$C$26)*(100%-'Données projet'!$C$27)</f>
        <v>73.624435551080026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6.8062500000000004</v>
      </c>
      <c r="K13" s="151">
        <f>J13*(100%-'Données projet'!$C$24)*(100%-'Données projet'!$C$25)*(100%-'Données projet'!$C$26)*(100%-'Données projet'!$C$27)</f>
        <v>6.1256250000000003</v>
      </c>
      <c r="L13" s="152">
        <f t="shared" ca="1" si="2"/>
        <v>79.750060551080026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1661.325990773709</v>
      </c>
      <c r="G16" s="166">
        <f t="shared" ca="1" si="3"/>
        <v>1495.1933916963385</v>
      </c>
      <c r="H16" s="167">
        <f t="shared" si="3"/>
        <v>4.2922467918046054</v>
      </c>
      <c r="I16" s="167">
        <f t="shared" si="3"/>
        <v>3.8630221126241451</v>
      </c>
      <c r="J16" s="168">
        <f t="shared" si="3"/>
        <v>64.762500000000003</v>
      </c>
      <c r="K16" s="168">
        <f t="shared" si="3"/>
        <v>58.286249999999995</v>
      </c>
      <c r="L16" s="169">
        <f t="shared" ca="1" si="3"/>
        <v>1557.3426638089625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Châtaignier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Noyer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I28" sqref="I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2360.7934482005485</v>
      </c>
      <c r="U10" s="178">
        <f>'Données projet'!D9</f>
        <v>0.88</v>
      </c>
      <c r="V10" s="177">
        <f>U10*T10</f>
        <v>2077.4982344164828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Châtaignier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894.69094833436884</v>
      </c>
      <c r="U11" s="178">
        <f>'Données projet'!D10</f>
        <v>0.88</v>
      </c>
      <c r="V11" s="177">
        <f t="shared" ref="V11" si="0">U11*T11</f>
        <v>787.32803453424458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915.17745391973426</v>
      </c>
      <c r="U12" s="178">
        <f>'Données projet'!D11</f>
        <v>0.16499999999999998</v>
      </c>
      <c r="V12" s="177">
        <f t="shared" ref="V12:V19" si="1">U12*T12</f>
        <v>151.00427989675615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915.17745391973426</v>
      </c>
      <c r="U13" s="178">
        <f>'Données projet'!D12</f>
        <v>0.27500000000000002</v>
      </c>
      <c r="V13" s="177">
        <f t="shared" si="1"/>
        <v>251.67379982792696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471.49124729379758</v>
      </c>
      <c r="U14" s="178">
        <f>'Données projet'!D13</f>
        <v>1.375</v>
      </c>
      <c r="V14" s="177">
        <f t="shared" si="1"/>
        <v>648.30046502897164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471.49124729379758</v>
      </c>
      <c r="U15" s="178">
        <f>'Données projet'!D14</f>
        <v>1.375</v>
      </c>
      <c r="V15" s="177">
        <f t="shared" si="1"/>
        <v>648.30046502897164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915.17745391973426</v>
      </c>
      <c r="U16" s="178">
        <f>'Données projet'!D15</f>
        <v>0.27500000000000002</v>
      </c>
      <c r="V16" s="177">
        <f t="shared" si="1"/>
        <v>251.67379982792696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Noyer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915.17745391973426</v>
      </c>
      <c r="U17" s="178">
        <f>'Données projet'!D16</f>
        <v>0.27500000000000002</v>
      </c>
      <c r="V17" s="177">
        <f t="shared" si="1"/>
        <v>251.67379982792696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8000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5</v>
      </c>
      <c r="I23" s="191">
        <v>750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-49804.749601205251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15</v>
      </c>
      <c r="B24" s="181">
        <f>'Données projet'!D37</f>
        <v>30</v>
      </c>
      <c r="C24" s="193">
        <v>8</v>
      </c>
      <c r="D24" s="182">
        <f t="shared" ref="D24:D42" si="2">B24*C24</f>
        <v>240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29</v>
      </c>
      <c r="C25" s="193">
        <v>20.8</v>
      </c>
      <c r="D25" s="182">
        <f t="shared" si="2"/>
        <v>603.20000000000005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-49804.749601205251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25</v>
      </c>
      <c r="B26" s="181">
        <f>'Données projet'!D39</f>
        <v>31</v>
      </c>
      <c r="C26" s="193">
        <v>25.8</v>
      </c>
      <c r="D26" s="182">
        <f t="shared" si="2"/>
        <v>799.80000000000007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30</v>
      </c>
      <c r="B27" s="181">
        <f>'Données projet'!D40</f>
        <v>32</v>
      </c>
      <c r="C27" s="193">
        <v>35.599999999999994</v>
      </c>
      <c r="D27" s="182">
        <f t="shared" si="2"/>
        <v>1139.1999999999998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35</v>
      </c>
      <c r="B28" s="181">
        <f>'Données projet'!D41</f>
        <v>32</v>
      </c>
      <c r="C28" s="193">
        <v>45.599999999999994</v>
      </c>
      <c r="D28" s="182">
        <f t="shared" si="2"/>
        <v>1459.1999999999998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31</v>
      </c>
      <c r="C29" s="193">
        <v>45.599999999999994</v>
      </c>
      <c r="D29" s="182">
        <f t="shared" si="2"/>
        <v>1413.6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45</v>
      </c>
      <c r="B30" s="181">
        <f>'Données projet'!D43</f>
        <v>30</v>
      </c>
      <c r="C30" s="193">
        <v>45.599999999999994</v>
      </c>
      <c r="D30" s="182">
        <f t="shared" si="2"/>
        <v>1367.9999999999998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50</v>
      </c>
      <c r="B31" s="181">
        <f>'Données projet'!D44</f>
        <v>28</v>
      </c>
      <c r="C31" s="193">
        <v>45.599999999999994</v>
      </c>
      <c r="D31" s="182">
        <f t="shared" si="2"/>
        <v>1276.7999999999997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55</v>
      </c>
      <c r="B32" s="181">
        <f>'Données projet'!D45</f>
        <v>26</v>
      </c>
      <c r="C32" s="193">
        <v>45.599999999999994</v>
      </c>
      <c r="D32" s="182">
        <f t="shared" si="2"/>
        <v>1185.5999999999999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60</v>
      </c>
      <c r="B33" s="181">
        <f>'Données projet'!D46</f>
        <v>24</v>
      </c>
      <c r="C33" s="193">
        <v>45.599999999999994</v>
      </c>
      <c r="D33" s="182">
        <f t="shared" si="2"/>
        <v>1094.3999999999999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65</v>
      </c>
      <c r="B34" s="181">
        <f>'Données projet'!D47</f>
        <v>22</v>
      </c>
      <c r="C34" s="193">
        <v>45.599999999999994</v>
      </c>
      <c r="D34" s="182">
        <f t="shared" si="2"/>
        <v>1003.1999999999998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70</v>
      </c>
      <c r="B35" s="181">
        <f>'Données projet'!D48</f>
        <v>21</v>
      </c>
      <c r="C35" s="193">
        <v>45.599999999999994</v>
      </c>
      <c r="D35" s="182">
        <f t="shared" si="2"/>
        <v>957.59999999999991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75</v>
      </c>
      <c r="B36" s="181">
        <f>'Données projet'!D49</f>
        <v>19</v>
      </c>
      <c r="C36" s="193">
        <v>45.599999999999994</v>
      </c>
      <c r="D36" s="182">
        <f t="shared" si="2"/>
        <v>866.39999999999986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80</v>
      </c>
      <c r="B37" s="181">
        <f>'Données projet'!D50</f>
        <v>17</v>
      </c>
      <c r="C37" s="193">
        <v>45.599999999999994</v>
      </c>
      <c r="D37" s="182">
        <f t="shared" si="2"/>
        <v>775.19999999999993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85</v>
      </c>
      <c r="B38" s="181">
        <f>'Données projet'!D51</f>
        <v>16</v>
      </c>
      <c r="C38" s="193">
        <v>45.599999999999994</v>
      </c>
      <c r="D38" s="182">
        <f t="shared" si="2"/>
        <v>729.59999999999991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90</v>
      </c>
      <c r="B39" s="181">
        <f>'Données projet'!D52</f>
        <v>14</v>
      </c>
      <c r="C39" s="193">
        <v>45.599999999999994</v>
      </c>
      <c r="D39" s="182">
        <f t="shared" si="2"/>
        <v>638.39999999999986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95</v>
      </c>
      <c r="B40" s="181">
        <f>'Données projet'!D53</f>
        <v>13</v>
      </c>
      <c r="C40" s="193">
        <v>45.599999999999994</v>
      </c>
      <c r="D40" s="182">
        <f t="shared" si="2"/>
        <v>592.79999999999995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100</v>
      </c>
      <c r="B41" s="181">
        <f>'Données projet'!D54</f>
        <v>273</v>
      </c>
      <c r="C41" s="193">
        <v>45.599999999999994</v>
      </c>
      <c r="D41" s="182">
        <f t="shared" si="2"/>
        <v>12448.8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Châtaignier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26</v>
      </c>
      <c r="C55" s="191">
        <v>8</v>
      </c>
      <c r="D55" s="179">
        <f t="shared" ref="D55:D73" si="4">B55*C55</f>
        <v>208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35</v>
      </c>
      <c r="C56" s="191">
        <v>8</v>
      </c>
      <c r="D56" s="179">
        <f t="shared" si="4"/>
        <v>280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35</v>
      </c>
      <c r="C57" s="191">
        <v>8</v>
      </c>
      <c r="D57" s="179">
        <f t="shared" si="4"/>
        <v>280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35</v>
      </c>
      <c r="C58" s="191">
        <v>8</v>
      </c>
      <c r="D58" s="179">
        <f t="shared" si="4"/>
        <v>280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35</v>
      </c>
      <c r="C59" s="191">
        <v>11.000000000000002</v>
      </c>
      <c r="D59" s="179">
        <f t="shared" si="4"/>
        <v>385.00000000000006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35</v>
      </c>
      <c r="C60" s="191">
        <v>14.799999999999999</v>
      </c>
      <c r="D60" s="179">
        <f t="shared" si="4"/>
        <v>518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35</v>
      </c>
      <c r="C61" s="191">
        <v>22.8</v>
      </c>
      <c r="D61" s="179">
        <f t="shared" si="4"/>
        <v>798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35</v>
      </c>
      <c r="C62" s="191">
        <v>30.8</v>
      </c>
      <c r="D62" s="179">
        <f t="shared" si="4"/>
        <v>1078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35</v>
      </c>
      <c r="C63" s="191">
        <v>38.599999999999994</v>
      </c>
      <c r="D63" s="179">
        <f t="shared" si="4"/>
        <v>1350.9999999999998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35</v>
      </c>
      <c r="C64" s="191">
        <v>38.599999999999994</v>
      </c>
      <c r="D64" s="179">
        <f t="shared" si="4"/>
        <v>1350.9999999999998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35</v>
      </c>
      <c r="C65" s="191">
        <v>38.599999999999994</v>
      </c>
      <c r="D65" s="179">
        <f t="shared" si="4"/>
        <v>1350.9999999999998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34</v>
      </c>
      <c r="C66" s="191">
        <v>38.599999999999994</v>
      </c>
      <c r="D66" s="179">
        <f t="shared" si="4"/>
        <v>1312.3999999999999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33</v>
      </c>
      <c r="C67" s="191">
        <v>38.599999999999994</v>
      </c>
      <c r="D67" s="179">
        <f t="shared" si="4"/>
        <v>1273.7999999999997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31</v>
      </c>
      <c r="C68" s="191">
        <v>38.599999999999994</v>
      </c>
      <c r="D68" s="179">
        <f t="shared" si="4"/>
        <v>1196.5999999999999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95</v>
      </c>
      <c r="B69" s="181">
        <f>'Données projet'!D77</f>
        <v>30</v>
      </c>
      <c r="C69" s="191">
        <v>38.599999999999994</v>
      </c>
      <c r="D69" s="179">
        <f t="shared" si="4"/>
        <v>1157.9999999999998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100</v>
      </c>
      <c r="B70" s="181">
        <f>'Données projet'!D78</f>
        <v>29</v>
      </c>
      <c r="C70" s="191">
        <v>38.599999999999994</v>
      </c>
      <c r="D70" s="179">
        <f t="shared" si="4"/>
        <v>1119.3999999999999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105</v>
      </c>
      <c r="B71" s="181">
        <f>'Données projet'!D79</f>
        <v>28</v>
      </c>
      <c r="C71" s="191">
        <v>38.599999999999994</v>
      </c>
      <c r="D71" s="179">
        <f t="shared" si="4"/>
        <v>1080.7999999999997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110</v>
      </c>
      <c r="B72" s="181">
        <f>'Données projet'!D80</f>
        <v>27</v>
      </c>
      <c r="C72" s="191">
        <v>38.599999999999994</v>
      </c>
      <c r="D72" s="179">
        <f t="shared" si="4"/>
        <v>1042.1999999999998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115</v>
      </c>
      <c r="B73" s="181">
        <f>'Données projet'!D81</f>
        <v>501</v>
      </c>
      <c r="C73" s="191">
        <v>38.599999999999994</v>
      </c>
      <c r="D73" s="179">
        <f t="shared" si="4"/>
        <v>19338.599999999999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15</v>
      </c>
      <c r="C85" s="191">
        <v>8</v>
      </c>
      <c r="D85" s="179">
        <f>B85*C85</f>
        <v>120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28</v>
      </c>
      <c r="C86" s="191">
        <v>8</v>
      </c>
      <c r="D86" s="179">
        <f t="shared" ref="D86:D104" si="6">B86*C86</f>
        <v>224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25</v>
      </c>
      <c r="B87" s="181">
        <f>'Données projet'!D90</f>
        <v>28</v>
      </c>
      <c r="C87" s="191">
        <v>8</v>
      </c>
      <c r="D87" s="179">
        <f t="shared" si="6"/>
        <v>224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28</v>
      </c>
      <c r="C88" s="191">
        <v>8</v>
      </c>
      <c r="D88" s="179">
        <f t="shared" si="6"/>
        <v>224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35</v>
      </c>
      <c r="B89" s="181">
        <f>'Données projet'!D92</f>
        <v>28</v>
      </c>
      <c r="C89" s="191">
        <v>8</v>
      </c>
      <c r="D89" s="179">
        <f t="shared" si="6"/>
        <v>224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40</v>
      </c>
      <c r="B90" s="181">
        <f>'Données projet'!D93</f>
        <v>28</v>
      </c>
      <c r="C90" s="191">
        <v>11.000000000000002</v>
      </c>
      <c r="D90" s="179">
        <f t="shared" si="6"/>
        <v>308.00000000000006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45</v>
      </c>
      <c r="B91" s="181">
        <f>'Données projet'!D94</f>
        <v>22</v>
      </c>
      <c r="C91" s="191">
        <v>14.799999999999999</v>
      </c>
      <c r="D91" s="179">
        <f t="shared" si="6"/>
        <v>325.59999999999997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50</v>
      </c>
      <c r="B92" s="181">
        <f>'Données projet'!D95</f>
        <v>17</v>
      </c>
      <c r="C92" s="191">
        <v>22.8</v>
      </c>
      <c r="D92" s="179">
        <f t="shared" si="6"/>
        <v>387.6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55</v>
      </c>
      <c r="B93" s="181">
        <f>'Données projet'!D96</f>
        <v>13</v>
      </c>
      <c r="C93" s="191">
        <v>30.8</v>
      </c>
      <c r="D93" s="179">
        <f t="shared" si="6"/>
        <v>400.40000000000003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60</v>
      </c>
      <c r="B94" s="181">
        <f>'Données projet'!D97</f>
        <v>12</v>
      </c>
      <c r="C94" s="191">
        <v>38.599999999999994</v>
      </c>
      <c r="D94" s="179">
        <f t="shared" si="6"/>
        <v>463.19999999999993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65</v>
      </c>
      <c r="B95" s="181">
        <f>'Données projet'!D98</f>
        <v>11</v>
      </c>
      <c r="C95" s="191">
        <v>38.599999999999994</v>
      </c>
      <c r="D95" s="179">
        <f t="shared" si="6"/>
        <v>424.59999999999991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70</v>
      </c>
      <c r="B96" s="181">
        <f>'Données projet'!D99</f>
        <v>10</v>
      </c>
      <c r="C96" s="191">
        <v>38.599999999999994</v>
      </c>
      <c r="D96" s="179">
        <f t="shared" si="6"/>
        <v>385.99999999999994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75</v>
      </c>
      <c r="B97" s="181">
        <f>'Données projet'!D100</f>
        <v>9</v>
      </c>
      <c r="C97" s="191">
        <v>38.599999999999994</v>
      </c>
      <c r="D97" s="179">
        <f t="shared" si="6"/>
        <v>347.4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80</v>
      </c>
      <c r="B98" s="181">
        <f>'Données projet'!D101</f>
        <v>275</v>
      </c>
      <c r="C98" s="191">
        <v>38.599999999999994</v>
      </c>
      <c r="D98" s="179">
        <f t="shared" si="6"/>
        <v>10614.999999999998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15</v>
      </c>
      <c r="C116" s="191">
        <v>8</v>
      </c>
      <c r="D116" s="179">
        <f>B116*C116</f>
        <v>120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28</v>
      </c>
      <c r="C117" s="191">
        <v>8</v>
      </c>
      <c r="D117" s="179">
        <f t="shared" ref="D117:D135" si="8">B117*C117</f>
        <v>224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28</v>
      </c>
      <c r="C118" s="191">
        <v>8</v>
      </c>
      <c r="D118" s="179">
        <f t="shared" si="8"/>
        <v>224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30</v>
      </c>
      <c r="B119" s="181">
        <f>'Données projet'!D117</f>
        <v>28</v>
      </c>
      <c r="C119" s="191">
        <v>8</v>
      </c>
      <c r="D119" s="179">
        <f t="shared" si="8"/>
        <v>224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35</v>
      </c>
      <c r="B120" s="181">
        <f>'Données projet'!D118</f>
        <v>28</v>
      </c>
      <c r="C120" s="191">
        <v>8</v>
      </c>
      <c r="D120" s="179">
        <f t="shared" si="8"/>
        <v>224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40</v>
      </c>
      <c r="B121" s="181">
        <f>'Données projet'!D119</f>
        <v>28</v>
      </c>
      <c r="C121" s="191">
        <v>11.000000000000002</v>
      </c>
      <c r="D121" s="179">
        <f t="shared" si="8"/>
        <v>308.00000000000006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45</v>
      </c>
      <c r="B122" s="181">
        <f>'Données projet'!D120</f>
        <v>22</v>
      </c>
      <c r="C122" s="191">
        <v>14.799999999999999</v>
      </c>
      <c r="D122" s="179">
        <f t="shared" si="8"/>
        <v>325.59999999999997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50</v>
      </c>
      <c r="B123" s="181">
        <f>'Données projet'!D121</f>
        <v>17</v>
      </c>
      <c r="C123" s="191">
        <v>22.8</v>
      </c>
      <c r="D123" s="179">
        <f t="shared" si="8"/>
        <v>387.6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55</v>
      </c>
      <c r="B124" s="181">
        <f>'Données projet'!D122</f>
        <v>13</v>
      </c>
      <c r="C124" s="191">
        <v>30.8</v>
      </c>
      <c r="D124" s="179">
        <f t="shared" si="8"/>
        <v>400.40000000000003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60</v>
      </c>
      <c r="B125" s="181">
        <f>'Données projet'!D123</f>
        <v>12</v>
      </c>
      <c r="C125" s="191">
        <v>38.599999999999994</v>
      </c>
      <c r="D125" s="179">
        <f t="shared" si="8"/>
        <v>463.19999999999993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65</v>
      </c>
      <c r="B126" s="181">
        <f>'Données projet'!D124</f>
        <v>11</v>
      </c>
      <c r="C126" s="191">
        <v>38.599999999999994</v>
      </c>
      <c r="D126" s="179">
        <f t="shared" si="8"/>
        <v>424.59999999999991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70</v>
      </c>
      <c r="B127" s="181">
        <f>'Données projet'!D125</f>
        <v>10</v>
      </c>
      <c r="C127" s="191">
        <v>38.599999999999994</v>
      </c>
      <c r="D127" s="179">
        <f t="shared" si="8"/>
        <v>385.99999999999994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75</v>
      </c>
      <c r="B128" s="181">
        <f>'Données projet'!D126</f>
        <v>9</v>
      </c>
      <c r="C128" s="191">
        <v>38.599999999999994</v>
      </c>
      <c r="D128" s="179">
        <f t="shared" si="8"/>
        <v>347.4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80</v>
      </c>
      <c r="B129" s="181">
        <f>'Données projet'!D127</f>
        <v>275</v>
      </c>
      <c r="C129" s="191">
        <v>38.599999999999994</v>
      </c>
      <c r="D129" s="179">
        <f t="shared" si="8"/>
        <v>10614.999999999998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36</v>
      </c>
      <c r="B147" s="175">
        <f>'Données projet'!D140</f>
        <v>35</v>
      </c>
      <c r="C147" s="191">
        <v>8</v>
      </c>
      <c r="D147" s="182">
        <f>B147*C147</f>
        <v>280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44</v>
      </c>
      <c r="B148" s="175">
        <f>'Données projet'!D141</f>
        <v>46</v>
      </c>
      <c r="C148" s="191">
        <v>9</v>
      </c>
      <c r="D148" s="182">
        <f t="shared" ref="D148:D166" si="10">B148*C148</f>
        <v>414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52</v>
      </c>
      <c r="B149" s="175">
        <f>'Données projet'!D142</f>
        <v>63</v>
      </c>
      <c r="C149" s="191">
        <v>9</v>
      </c>
      <c r="D149" s="182">
        <f t="shared" si="10"/>
        <v>567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60</v>
      </c>
      <c r="B150" s="175">
        <f>'Données projet'!D143</f>
        <v>54</v>
      </c>
      <c r="C150" s="191">
        <v>9</v>
      </c>
      <c r="D150" s="182">
        <f t="shared" si="10"/>
        <v>486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69</v>
      </c>
      <c r="B151" s="175">
        <f>'Données projet'!D144</f>
        <v>51</v>
      </c>
      <c r="C151" s="191">
        <v>9</v>
      </c>
      <c r="D151" s="182">
        <f t="shared" si="10"/>
        <v>459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78</v>
      </c>
      <c r="B152" s="175">
        <f>'Données projet'!D145</f>
        <v>49</v>
      </c>
      <c r="C152" s="191">
        <v>14.2</v>
      </c>
      <c r="D152" s="182">
        <f t="shared" si="10"/>
        <v>695.8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87</v>
      </c>
      <c r="B153" s="175">
        <f>'Données projet'!D146</f>
        <v>45</v>
      </c>
      <c r="C153" s="191">
        <v>24.3</v>
      </c>
      <c r="D153" s="182">
        <f t="shared" si="10"/>
        <v>1093.5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96</v>
      </c>
      <c r="B154" s="175">
        <f>'Données projet'!D147</f>
        <v>44</v>
      </c>
      <c r="C154" s="191">
        <v>57.4</v>
      </c>
      <c r="D154" s="182">
        <f t="shared" si="10"/>
        <v>2525.6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105</v>
      </c>
      <c r="B155" s="175">
        <f>'Données projet'!D148</f>
        <v>43</v>
      </c>
      <c r="C155" s="191">
        <v>93.6</v>
      </c>
      <c r="D155" s="182">
        <f t="shared" si="10"/>
        <v>4024.7999999999997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114</v>
      </c>
      <c r="B156" s="175">
        <f>'Données projet'!D149</f>
        <v>43</v>
      </c>
      <c r="C156" s="191">
        <v>93.6</v>
      </c>
      <c r="D156" s="182">
        <f t="shared" si="10"/>
        <v>4024.7999999999997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123</v>
      </c>
      <c r="B157" s="175">
        <f>'Données projet'!D150</f>
        <v>41</v>
      </c>
      <c r="C157" s="191">
        <v>93.6</v>
      </c>
      <c r="D157" s="182">
        <f t="shared" si="10"/>
        <v>3837.6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132</v>
      </c>
      <c r="B158" s="175">
        <f>'Données projet'!D151</f>
        <v>42</v>
      </c>
      <c r="C158" s="191">
        <v>93.6</v>
      </c>
      <c r="D158" s="182">
        <f t="shared" si="10"/>
        <v>3931.2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141</v>
      </c>
      <c r="B159" s="175">
        <f>'Données projet'!D152</f>
        <v>45</v>
      </c>
      <c r="C159" s="191">
        <v>93.6</v>
      </c>
      <c r="D159" s="182">
        <f t="shared" si="10"/>
        <v>4212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153</v>
      </c>
      <c r="B160" s="175">
        <f>'Données projet'!D153</f>
        <v>481</v>
      </c>
      <c r="C160" s="191">
        <v>93.6</v>
      </c>
      <c r="D160" s="182">
        <f t="shared" si="10"/>
        <v>45021.599999999999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36</v>
      </c>
      <c r="B178" s="181">
        <f>'Données projet'!D166</f>
        <v>35</v>
      </c>
      <c r="C178" s="193">
        <v>8</v>
      </c>
      <c r="D178" s="179">
        <f>B178*C178</f>
        <v>280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44</v>
      </c>
      <c r="B179" s="181">
        <f>'Données projet'!D167</f>
        <v>46</v>
      </c>
      <c r="C179" s="193">
        <v>9</v>
      </c>
      <c r="D179" s="179">
        <f t="shared" ref="D179:D197" si="11">B179*C179</f>
        <v>414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52</v>
      </c>
      <c r="B180" s="181">
        <f>'Données projet'!D168</f>
        <v>63</v>
      </c>
      <c r="C180" s="193">
        <v>9</v>
      </c>
      <c r="D180" s="179">
        <f t="shared" si="11"/>
        <v>567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60</v>
      </c>
      <c r="B181" s="181">
        <f>'Données projet'!D169</f>
        <v>54</v>
      </c>
      <c r="C181" s="193">
        <v>9</v>
      </c>
      <c r="D181" s="179">
        <f t="shared" si="11"/>
        <v>486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69</v>
      </c>
      <c r="B182" s="181">
        <f>'Données projet'!D170</f>
        <v>51</v>
      </c>
      <c r="C182" s="193">
        <v>9</v>
      </c>
      <c r="D182" s="179">
        <f t="shared" si="11"/>
        <v>459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78</v>
      </c>
      <c r="B183" s="181">
        <f>'Données projet'!D171</f>
        <v>49</v>
      </c>
      <c r="C183" s="193">
        <v>14.2</v>
      </c>
      <c r="D183" s="179">
        <f t="shared" si="11"/>
        <v>695.8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87</v>
      </c>
      <c r="B184" s="181">
        <f>'Données projet'!D172</f>
        <v>45</v>
      </c>
      <c r="C184" s="193">
        <v>24.3</v>
      </c>
      <c r="D184" s="179">
        <f t="shared" si="11"/>
        <v>1093.5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96</v>
      </c>
      <c r="B185" s="181">
        <f>'Données projet'!D173</f>
        <v>44</v>
      </c>
      <c r="C185" s="193">
        <v>57.4</v>
      </c>
      <c r="D185" s="179">
        <f t="shared" si="11"/>
        <v>2525.6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105</v>
      </c>
      <c r="B186" s="181">
        <f>'Données projet'!D174</f>
        <v>43</v>
      </c>
      <c r="C186" s="193">
        <v>93.6</v>
      </c>
      <c r="D186" s="179">
        <f t="shared" si="11"/>
        <v>4024.7999999999997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114</v>
      </c>
      <c r="B187" s="181">
        <f>'Données projet'!D175</f>
        <v>43</v>
      </c>
      <c r="C187" s="193">
        <v>93.6</v>
      </c>
      <c r="D187" s="179">
        <f t="shared" si="11"/>
        <v>4024.7999999999997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123</v>
      </c>
      <c r="B188" s="181">
        <f>'Données projet'!D176</f>
        <v>41</v>
      </c>
      <c r="C188" s="193">
        <v>93.6</v>
      </c>
      <c r="D188" s="179">
        <f t="shared" si="11"/>
        <v>3837.6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132</v>
      </c>
      <c r="B189" s="181">
        <f>'Données projet'!D177</f>
        <v>42</v>
      </c>
      <c r="C189" s="193">
        <v>93.6</v>
      </c>
      <c r="D189" s="179">
        <f t="shared" si="11"/>
        <v>3931.2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141</v>
      </c>
      <c r="B190" s="181">
        <f>'Données projet'!D178</f>
        <v>45</v>
      </c>
      <c r="C190" s="193">
        <v>93.6</v>
      </c>
      <c r="D190" s="179">
        <f t="shared" si="11"/>
        <v>4212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153</v>
      </c>
      <c r="B191" s="181">
        <f>'Données projet'!D179</f>
        <v>481</v>
      </c>
      <c r="C191" s="193">
        <v>93.6</v>
      </c>
      <c r="D191" s="179">
        <f t="shared" si="11"/>
        <v>45021.599999999999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15</v>
      </c>
      <c r="B209" s="181">
        <f>'Données projet'!D192</f>
        <v>15</v>
      </c>
      <c r="C209" s="193">
        <v>8</v>
      </c>
      <c r="D209" s="179">
        <f>B209*C209</f>
        <v>120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28</v>
      </c>
      <c r="C210" s="193">
        <v>8</v>
      </c>
      <c r="D210" s="179">
        <f t="shared" ref="D210:D228" si="12">B210*C210</f>
        <v>224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25</v>
      </c>
      <c r="B211" s="181">
        <f>'Données projet'!D194</f>
        <v>28</v>
      </c>
      <c r="C211" s="193">
        <v>8</v>
      </c>
      <c r="D211" s="179">
        <f t="shared" si="12"/>
        <v>224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30</v>
      </c>
      <c r="B212" s="181">
        <f>'Données projet'!D195</f>
        <v>28</v>
      </c>
      <c r="C212" s="193">
        <v>8</v>
      </c>
      <c r="D212" s="179">
        <f t="shared" si="12"/>
        <v>224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35</v>
      </c>
      <c r="B213" s="181">
        <f>'Données projet'!D196</f>
        <v>28</v>
      </c>
      <c r="C213" s="193">
        <v>8</v>
      </c>
      <c r="D213" s="179">
        <f t="shared" si="12"/>
        <v>224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40</v>
      </c>
      <c r="B214" s="181">
        <f>'Données projet'!D197</f>
        <v>28</v>
      </c>
      <c r="C214" s="193">
        <v>11.000000000000002</v>
      </c>
      <c r="D214" s="179">
        <f t="shared" si="12"/>
        <v>308.00000000000006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45</v>
      </c>
      <c r="B215" s="181">
        <f>'Données projet'!D198</f>
        <v>22</v>
      </c>
      <c r="C215" s="193">
        <v>14.799999999999999</v>
      </c>
      <c r="D215" s="179">
        <f t="shared" si="12"/>
        <v>325.59999999999997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50</v>
      </c>
      <c r="B216" s="181">
        <f>'Données projet'!D199</f>
        <v>17</v>
      </c>
      <c r="C216" s="193">
        <v>22.8</v>
      </c>
      <c r="D216" s="179">
        <f t="shared" si="12"/>
        <v>387.6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55</v>
      </c>
      <c r="B217" s="181">
        <f>'Données projet'!D200</f>
        <v>13</v>
      </c>
      <c r="C217" s="193">
        <v>30.8</v>
      </c>
      <c r="D217" s="179">
        <f t="shared" si="12"/>
        <v>400.40000000000003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60</v>
      </c>
      <c r="B218" s="181">
        <f>'Données projet'!D201</f>
        <v>12</v>
      </c>
      <c r="C218" s="193">
        <v>38.599999999999994</v>
      </c>
      <c r="D218" s="179">
        <f t="shared" si="12"/>
        <v>463.19999999999993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65</v>
      </c>
      <c r="B219" s="181">
        <f>'Données projet'!D202</f>
        <v>11</v>
      </c>
      <c r="C219" s="193">
        <v>38.599999999999994</v>
      </c>
      <c r="D219" s="179">
        <f t="shared" si="12"/>
        <v>424.59999999999991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70</v>
      </c>
      <c r="B220" s="181">
        <f>'Données projet'!D203</f>
        <v>10</v>
      </c>
      <c r="C220" s="193">
        <v>38.599999999999994</v>
      </c>
      <c r="D220" s="179">
        <f t="shared" si="12"/>
        <v>385.99999999999994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75</v>
      </c>
      <c r="B221" s="181">
        <f>'Données projet'!D204</f>
        <v>9</v>
      </c>
      <c r="C221" s="193">
        <v>38.599999999999994</v>
      </c>
      <c r="D221" s="179">
        <f t="shared" si="12"/>
        <v>347.4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80</v>
      </c>
      <c r="B222" s="181">
        <f>'Données projet'!D205</f>
        <v>275</v>
      </c>
      <c r="C222" s="193">
        <v>38.599999999999994</v>
      </c>
      <c r="D222" s="179">
        <f t="shared" si="12"/>
        <v>10614.999999999998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Noyer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15</v>
      </c>
      <c r="B240" s="181">
        <f>'Données projet'!D218</f>
        <v>15</v>
      </c>
      <c r="C240" s="193">
        <v>8</v>
      </c>
      <c r="D240" s="179">
        <f>B240*C240</f>
        <v>120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20</v>
      </c>
      <c r="B241" s="181">
        <f>'Données projet'!D219</f>
        <v>28</v>
      </c>
      <c r="C241" s="193">
        <v>8</v>
      </c>
      <c r="D241" s="179">
        <f t="shared" ref="D241:D259" si="13">B241*C241</f>
        <v>224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25</v>
      </c>
      <c r="B242" s="181">
        <f>'Données projet'!D220</f>
        <v>28</v>
      </c>
      <c r="C242" s="193">
        <v>8</v>
      </c>
      <c r="D242" s="179">
        <f t="shared" si="13"/>
        <v>224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30</v>
      </c>
      <c r="B243" s="181">
        <f>'Données projet'!D221</f>
        <v>28</v>
      </c>
      <c r="C243" s="193">
        <v>8</v>
      </c>
      <c r="D243" s="179">
        <f t="shared" si="13"/>
        <v>224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35</v>
      </c>
      <c r="B244" s="181">
        <f>'Données projet'!D222</f>
        <v>28</v>
      </c>
      <c r="C244" s="193">
        <v>8</v>
      </c>
      <c r="D244" s="179">
        <f t="shared" si="13"/>
        <v>224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40</v>
      </c>
      <c r="B245" s="181">
        <f>'Données projet'!D223</f>
        <v>28</v>
      </c>
      <c r="C245" s="193">
        <v>11.000000000000002</v>
      </c>
      <c r="D245" s="179">
        <f t="shared" si="13"/>
        <v>308.00000000000006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45</v>
      </c>
      <c r="B246" s="181">
        <f>'Données projet'!D224</f>
        <v>22</v>
      </c>
      <c r="C246" s="193">
        <v>14.799999999999999</v>
      </c>
      <c r="D246" s="179">
        <f t="shared" si="13"/>
        <v>325.59999999999997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50</v>
      </c>
      <c r="B247" s="181">
        <f>'Données projet'!D225</f>
        <v>17</v>
      </c>
      <c r="C247" s="193">
        <v>22.8</v>
      </c>
      <c r="D247" s="179">
        <f t="shared" si="13"/>
        <v>387.6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55</v>
      </c>
      <c r="B248" s="181">
        <f>'Données projet'!D226</f>
        <v>13</v>
      </c>
      <c r="C248" s="193">
        <v>30.8</v>
      </c>
      <c r="D248" s="179">
        <f t="shared" si="13"/>
        <v>400.40000000000003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60</v>
      </c>
      <c r="B249" s="181">
        <f>'Données projet'!D227</f>
        <v>12</v>
      </c>
      <c r="C249" s="193">
        <v>38.599999999999994</v>
      </c>
      <c r="D249" s="179">
        <f t="shared" si="13"/>
        <v>463.19999999999993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65</v>
      </c>
      <c r="B250" s="181">
        <f>'Données projet'!D228</f>
        <v>11</v>
      </c>
      <c r="C250" s="193">
        <v>38.599999999999994</v>
      </c>
      <c r="D250" s="179">
        <f t="shared" si="13"/>
        <v>424.59999999999991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70</v>
      </c>
      <c r="B251" s="181">
        <f>'Données projet'!D229</f>
        <v>10</v>
      </c>
      <c r="C251" s="193">
        <v>38.599999999999994</v>
      </c>
      <c r="D251" s="179">
        <f t="shared" si="13"/>
        <v>385.99999999999994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75</v>
      </c>
      <c r="B252" s="181">
        <f>'Données projet'!D230</f>
        <v>9</v>
      </c>
      <c r="C252" s="193">
        <v>38.599999999999994</v>
      </c>
      <c r="D252" s="179">
        <f t="shared" si="13"/>
        <v>347.4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80</v>
      </c>
      <c r="B253" s="181">
        <f>'Données projet'!D231</f>
        <v>275</v>
      </c>
      <c r="C253" s="193">
        <v>38.599999999999994</v>
      </c>
      <c r="D253" s="179">
        <f t="shared" si="13"/>
        <v>10614.999999999998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2025-11-05T11:08:09Z</dcterms:modified>
</cp:coreProperties>
</file>