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n\Desktop\Google Drive\CABINET LORNE\2_LABEL CARBONE\Projet\BOISEMENT-HERIC (44)\DOCUMENT\"/>
    </mc:Choice>
  </mc:AlternateContent>
  <bookViews>
    <workbookView xWindow="0" yWindow="0" windowWidth="15528" windowHeight="6768" tabRatio="764"/>
  </bookViews>
  <sheets>
    <sheet name="1-REA" sheetId="14" r:id="rId1"/>
    <sheet name="VERRA" sheetId="32" r:id="rId2"/>
    <sheet name="VAN " sheetId="31" r:id="rId3"/>
    <sheet name="Inputs" sheetId="19" r:id="rId4"/>
    <sheet name="Inputs - Tables de production" sheetId="10" r:id="rId5"/>
    <sheet name="Lexique" sheetId="30" r:id="rId6"/>
  </sheets>
  <externalReferences>
    <externalReference r:id="rId7"/>
  </externalReferences>
  <definedNames>
    <definedName name="CF" localSheetId="2">[1]Inputs!$B$1:$D$1</definedName>
    <definedName name="CF">Class_Fertilite[Classe de fertilité]</definedName>
    <definedName name="ESS" localSheetId="2">[1]Inputs!$A$2:$A$11</definedName>
    <definedName name="ESS">Inputs!$A$2:$A$13</definedName>
    <definedName name="Rab" localSheetId="2">[1]Inputs!$A$34:$A$37</definedName>
    <definedName name="Rab">Inputs!$A$65:$A$68</definedName>
    <definedName name="Tc">'1-REA'!$C$29</definedName>
    <definedName name="TPR" localSheetId="2">[1]Inputs!#REF!</definedName>
    <definedName name="TPR">Inputs!$A$49:$A$62</definedName>
    <definedName name="Vbi" localSheetId="2">[1]Inputs!$L$2:$N$109</definedName>
    <definedName name="Vbi">Inputs!$R$2:$W$13</definedName>
    <definedName name="Vbo">[1]Inputs!$G$2:$I$11</definedName>
    <definedName name="Vt" localSheetId="2">[1]Inputs!$B$2:$D$11</definedName>
    <definedName name="Vt">Inputs!$B$2:$G$13</definedName>
    <definedName name="_xlnm.Print_Area" localSheetId="0">'1-REA'!$A$1:$T$90</definedName>
    <definedName name="_xlnm.Print_Area" localSheetId="3">Inputs!$A$1:$W$173</definedName>
    <definedName name="_xlnm.Print_Area" localSheetId="2">'VAN '!$A$1:$N$48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32" l="1"/>
  <c r="L18" i="32" l="1"/>
  <c r="K47" i="32"/>
  <c r="L47" i="32" s="1"/>
  <c r="K46" i="32"/>
  <c r="L46" i="32" s="1"/>
  <c r="K45" i="32"/>
  <c r="L45" i="32" s="1"/>
  <c r="K44" i="32"/>
  <c r="L44" i="32" s="1"/>
  <c r="K43" i="32"/>
  <c r="L43" i="32" s="1"/>
  <c r="K42" i="32"/>
  <c r="L42" i="32" s="1"/>
  <c r="K41" i="32"/>
  <c r="L41" i="32" s="1"/>
  <c r="K40" i="32"/>
  <c r="L40" i="32" s="1"/>
  <c r="K39" i="32"/>
  <c r="L39" i="32" s="1"/>
  <c r="K38" i="32"/>
  <c r="L38" i="32" s="1"/>
  <c r="K37" i="32"/>
  <c r="L37" i="32" s="1"/>
  <c r="K36" i="32"/>
  <c r="L36" i="32" s="1"/>
  <c r="K35" i="32"/>
  <c r="L35" i="32" s="1"/>
  <c r="K34" i="32"/>
  <c r="L34" i="32" s="1"/>
  <c r="K33" i="32"/>
  <c r="L33" i="32" s="1"/>
  <c r="K32" i="32"/>
  <c r="L32" i="32" s="1"/>
  <c r="K31" i="32"/>
  <c r="L31" i="32" s="1"/>
  <c r="K30" i="32"/>
  <c r="L30" i="32" s="1"/>
  <c r="K29" i="32"/>
  <c r="L29" i="32" s="1"/>
  <c r="K28" i="32"/>
  <c r="L28" i="32" s="1"/>
  <c r="K27" i="32"/>
  <c r="L27" i="32" s="1"/>
  <c r="K26" i="32"/>
  <c r="L26" i="32" s="1"/>
  <c r="K25" i="32"/>
  <c r="L25" i="32" s="1"/>
  <c r="K24" i="32"/>
  <c r="L24" i="32" s="1"/>
  <c r="K23" i="32"/>
  <c r="L23" i="32" s="1"/>
  <c r="K22" i="32"/>
  <c r="L22" i="32" s="1"/>
  <c r="K21" i="32"/>
  <c r="L21" i="32" s="1"/>
  <c r="K20" i="32"/>
  <c r="L20" i="32" s="1"/>
  <c r="K19" i="32"/>
  <c r="L19" i="32" s="1"/>
  <c r="K18" i="32"/>
  <c r="B13" i="32" l="1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55" i="32"/>
  <c r="F56" i="32"/>
  <c r="F57" i="32"/>
  <c r="F58" i="32"/>
  <c r="F59" i="32"/>
  <c r="F60" i="32"/>
  <c r="F61" i="32"/>
  <c r="F62" i="32"/>
  <c r="F63" i="32"/>
  <c r="F64" i="32"/>
  <c r="F65" i="32"/>
  <c r="F66" i="32"/>
  <c r="F67" i="32"/>
  <c r="F68" i="32"/>
  <c r="F69" i="32"/>
  <c r="F70" i="32"/>
  <c r="F71" i="32"/>
  <c r="F72" i="32"/>
  <c r="F73" i="32"/>
  <c r="F74" i="32"/>
  <c r="F75" i="32"/>
  <c r="F76" i="32"/>
  <c r="F77" i="32"/>
  <c r="F78" i="32"/>
  <c r="F79" i="32"/>
  <c r="F80" i="32"/>
  <c r="F81" i="32"/>
  <c r="F82" i="32"/>
  <c r="F83" i="32"/>
  <c r="F84" i="32"/>
  <c r="F85" i="32"/>
  <c r="F86" i="32"/>
  <c r="F87" i="32"/>
  <c r="F88" i="32"/>
  <c r="F89" i="32"/>
  <c r="F90" i="32"/>
  <c r="F91" i="32"/>
  <c r="F92" i="32"/>
  <c r="F93" i="32"/>
  <c r="F94" i="32"/>
  <c r="F95" i="32"/>
  <c r="F96" i="32"/>
  <c r="F97" i="32"/>
  <c r="F98" i="32"/>
  <c r="F99" i="32"/>
  <c r="F100" i="32"/>
  <c r="F101" i="32"/>
  <c r="F102" i="32"/>
  <c r="F103" i="32"/>
  <c r="F104" i="32"/>
  <c r="F105" i="32"/>
  <c r="F106" i="32"/>
  <c r="F107" i="32"/>
  <c r="F108" i="32"/>
  <c r="F109" i="32"/>
  <c r="F110" i="32"/>
  <c r="F111" i="32"/>
  <c r="F112" i="32"/>
  <c r="F113" i="32"/>
  <c r="F114" i="32"/>
  <c r="F115" i="32"/>
  <c r="F116" i="32"/>
  <c r="F117" i="32"/>
  <c r="F118" i="32"/>
  <c r="F119" i="32"/>
  <c r="F120" i="32"/>
  <c r="G120" i="32" s="1"/>
  <c r="F121" i="32"/>
  <c r="G121" i="32" s="1"/>
  <c r="F122" i="32"/>
  <c r="G122" i="32" s="1"/>
  <c r="F123" i="32"/>
  <c r="G123" i="32" s="1"/>
  <c r="F124" i="32"/>
  <c r="G124" i="32" s="1"/>
  <c r="F125" i="32"/>
  <c r="G125" i="32" s="1"/>
  <c r="F126" i="32"/>
  <c r="G126" i="32" s="1"/>
  <c r="F127" i="32"/>
  <c r="G127" i="32" s="1"/>
  <c r="F128" i="32"/>
  <c r="G128" i="32" s="1"/>
  <c r="F129" i="32"/>
  <c r="G129" i="32" s="1"/>
  <c r="F130" i="32"/>
  <c r="G130" i="32" s="1"/>
  <c r="F131" i="32"/>
  <c r="G131" i="32" s="1"/>
  <c r="F132" i="32"/>
  <c r="G132" i="32" s="1"/>
  <c r="F133" i="32"/>
  <c r="G133" i="32" s="1"/>
  <c r="F134" i="32"/>
  <c r="G134" i="32" s="1"/>
  <c r="F55" i="32"/>
  <c r="E56" i="32"/>
  <c r="E57" i="32"/>
  <c r="E58" i="32"/>
  <c r="E59" i="32"/>
  <c r="E60" i="32"/>
  <c r="E61" i="32"/>
  <c r="E62" i="32"/>
  <c r="E63" i="32"/>
  <c r="E64" i="32"/>
  <c r="E65" i="32"/>
  <c r="E66" i="32"/>
  <c r="E67" i="32"/>
  <c r="E68" i="32"/>
  <c r="E69" i="32"/>
  <c r="E70" i="32"/>
  <c r="E71" i="32"/>
  <c r="E72" i="32"/>
  <c r="E73" i="32"/>
  <c r="E74" i="32"/>
  <c r="E75" i="32"/>
  <c r="E76" i="32"/>
  <c r="E77" i="32"/>
  <c r="E78" i="32"/>
  <c r="E79" i="32"/>
  <c r="E80" i="32"/>
  <c r="E81" i="32"/>
  <c r="E82" i="32"/>
  <c r="E83" i="32"/>
  <c r="E84" i="32"/>
  <c r="E85" i="32"/>
  <c r="E86" i="32"/>
  <c r="E87" i="32"/>
  <c r="E88" i="32"/>
  <c r="E89" i="32"/>
  <c r="E90" i="32"/>
  <c r="E91" i="32"/>
  <c r="E92" i="32"/>
  <c r="E93" i="32"/>
  <c r="E94" i="32"/>
  <c r="E95" i="32"/>
  <c r="E96" i="32"/>
  <c r="E97" i="32"/>
  <c r="E98" i="32"/>
  <c r="E99" i="32"/>
  <c r="E100" i="32"/>
  <c r="E101" i="32"/>
  <c r="E102" i="32"/>
  <c r="E103" i="32"/>
  <c r="E104" i="32"/>
  <c r="E105" i="32"/>
  <c r="E106" i="32"/>
  <c r="E107" i="32"/>
  <c r="E108" i="32"/>
  <c r="E109" i="32"/>
  <c r="E110" i="32"/>
  <c r="E111" i="32"/>
  <c r="E112" i="32"/>
  <c r="E113" i="32"/>
  <c r="E114" i="32"/>
  <c r="E115" i="32"/>
  <c r="E116" i="32"/>
  <c r="E117" i="32"/>
  <c r="E118" i="32"/>
  <c r="E119" i="32"/>
  <c r="E55" i="32"/>
  <c r="D55" i="32"/>
  <c r="D56" i="32"/>
  <c r="D57" i="32"/>
  <c r="D58" i="32"/>
  <c r="D59" i="32"/>
  <c r="D60" i="32"/>
  <c r="D61" i="32"/>
  <c r="D62" i="32"/>
  <c r="D63" i="32"/>
  <c r="D64" i="32"/>
  <c r="D65" i="32"/>
  <c r="D66" i="32"/>
  <c r="D67" i="32"/>
  <c r="D68" i="32"/>
  <c r="D69" i="32"/>
  <c r="D70" i="32"/>
  <c r="D71" i="32"/>
  <c r="D72" i="32"/>
  <c r="D73" i="32"/>
  <c r="D74" i="32"/>
  <c r="D75" i="32"/>
  <c r="D76" i="32"/>
  <c r="D77" i="32"/>
  <c r="D78" i="32"/>
  <c r="D79" i="32"/>
  <c r="D80" i="32"/>
  <c r="D81" i="32"/>
  <c r="D82" i="32"/>
  <c r="D83" i="32"/>
  <c r="D84" i="32"/>
  <c r="D85" i="32"/>
  <c r="D86" i="32"/>
  <c r="D87" i="32"/>
  <c r="D88" i="32"/>
  <c r="D89" i="32"/>
  <c r="D90" i="32"/>
  <c r="D91" i="32"/>
  <c r="D92" i="32"/>
  <c r="D93" i="32"/>
  <c r="D94" i="32"/>
  <c r="D95" i="32"/>
  <c r="D96" i="32"/>
  <c r="D97" i="32"/>
  <c r="D98" i="32"/>
  <c r="D99" i="32"/>
  <c r="D100" i="32"/>
  <c r="D101" i="32"/>
  <c r="D102" i="32"/>
  <c r="D103" i="32"/>
  <c r="D104" i="32"/>
  <c r="D105" i="32"/>
  <c r="D106" i="32"/>
  <c r="D107" i="32"/>
  <c r="D108" i="32"/>
  <c r="D109" i="32"/>
  <c r="D110" i="32"/>
  <c r="D111" i="32"/>
  <c r="D112" i="32"/>
  <c r="D113" i="32"/>
  <c r="D114" i="32"/>
  <c r="D115" i="32"/>
  <c r="D116" i="32"/>
  <c r="D117" i="32"/>
  <c r="D118" i="32"/>
  <c r="D119" i="32"/>
  <c r="D120" i="32"/>
  <c r="E120" i="32" s="1"/>
  <c r="D121" i="32"/>
  <c r="E121" i="32" s="1"/>
  <c r="D122" i="32"/>
  <c r="E122" i="32" s="1"/>
  <c r="D123" i="32"/>
  <c r="E123" i="32" s="1"/>
  <c r="D124" i="32"/>
  <c r="E124" i="32" s="1"/>
  <c r="D125" i="32"/>
  <c r="E125" i="32" s="1"/>
  <c r="D126" i="32"/>
  <c r="E126" i="32" s="1"/>
  <c r="D127" i="32"/>
  <c r="E127" i="32" s="1"/>
  <c r="D128" i="32"/>
  <c r="E128" i="32" s="1"/>
  <c r="D129" i="32"/>
  <c r="E129" i="32" s="1"/>
  <c r="D130" i="32"/>
  <c r="E130" i="32" s="1"/>
  <c r="D131" i="32"/>
  <c r="E131" i="32" s="1"/>
  <c r="D132" i="32"/>
  <c r="E132" i="32" s="1"/>
  <c r="D133" i="32"/>
  <c r="E133" i="32" s="1"/>
  <c r="D134" i="32"/>
  <c r="E134" i="32" s="1"/>
  <c r="D135" i="32"/>
  <c r="E135" i="32" s="1"/>
  <c r="D136" i="32"/>
  <c r="E136" i="32" s="1"/>
  <c r="B56" i="32"/>
  <c r="C56" i="32" s="1"/>
  <c r="B57" i="32"/>
  <c r="C57" i="32" s="1"/>
  <c r="B58" i="32"/>
  <c r="B59" i="32"/>
  <c r="B60" i="32"/>
  <c r="B61" i="32"/>
  <c r="B62" i="32"/>
  <c r="B63" i="32"/>
  <c r="B64" i="32"/>
  <c r="C64" i="32" s="1"/>
  <c r="B65" i="32"/>
  <c r="B66" i="32"/>
  <c r="B67" i="32"/>
  <c r="B68" i="32"/>
  <c r="B69" i="32"/>
  <c r="B70" i="32"/>
  <c r="B71" i="32"/>
  <c r="B72" i="32"/>
  <c r="B73" i="32"/>
  <c r="B74" i="32"/>
  <c r="B75" i="32"/>
  <c r="B76" i="32"/>
  <c r="B77" i="32"/>
  <c r="B78" i="32"/>
  <c r="B79" i="32"/>
  <c r="B80" i="32"/>
  <c r="B81" i="32"/>
  <c r="B82" i="32"/>
  <c r="B83" i="32"/>
  <c r="B84" i="32"/>
  <c r="B85" i="32"/>
  <c r="B86" i="32"/>
  <c r="B87" i="32"/>
  <c r="B88" i="32"/>
  <c r="B89" i="32"/>
  <c r="B90" i="32"/>
  <c r="B91" i="32"/>
  <c r="B92" i="32"/>
  <c r="B93" i="32"/>
  <c r="B94" i="32"/>
  <c r="B95" i="32"/>
  <c r="B96" i="32"/>
  <c r="B97" i="32"/>
  <c r="B98" i="32"/>
  <c r="B99" i="32"/>
  <c r="B100" i="32"/>
  <c r="B101" i="32"/>
  <c r="B102" i="32"/>
  <c r="B103" i="32"/>
  <c r="B104" i="32"/>
  <c r="B105" i="32"/>
  <c r="B106" i="32"/>
  <c r="B107" i="32"/>
  <c r="B108" i="32"/>
  <c r="B109" i="32"/>
  <c r="B110" i="32"/>
  <c r="B111" i="32"/>
  <c r="B112" i="32"/>
  <c r="B113" i="32"/>
  <c r="B114" i="32"/>
  <c r="B115" i="32"/>
  <c r="B116" i="32"/>
  <c r="B117" i="32"/>
  <c r="B118" i="32"/>
  <c r="B119" i="32"/>
  <c r="B55" i="32"/>
  <c r="C55" i="32" s="1"/>
  <c r="H18" i="32"/>
  <c r="H19" i="32"/>
  <c r="H20" i="32"/>
  <c r="H21" i="32"/>
  <c r="H22" i="32"/>
  <c r="H23" i="32"/>
  <c r="H24" i="32"/>
  <c r="H25" i="32"/>
  <c r="G19" i="32"/>
  <c r="G20" i="32"/>
  <c r="G21" i="32"/>
  <c r="G22" i="32"/>
  <c r="G23" i="32"/>
  <c r="G24" i="32"/>
  <c r="G25" i="32"/>
  <c r="G18" i="32"/>
  <c r="E19" i="32"/>
  <c r="E20" i="32"/>
  <c r="E21" i="32"/>
  <c r="E22" i="32"/>
  <c r="E23" i="32"/>
  <c r="E24" i="32"/>
  <c r="E25" i="32"/>
  <c r="E26" i="32"/>
  <c r="E27" i="32"/>
  <c r="E28" i="32"/>
  <c r="E18" i="32"/>
  <c r="D19" i="32"/>
  <c r="D20" i="32"/>
  <c r="D21" i="32"/>
  <c r="D22" i="32"/>
  <c r="D23" i="32"/>
  <c r="D24" i="32"/>
  <c r="D25" i="32"/>
  <c r="D26" i="32"/>
  <c r="D27" i="32"/>
  <c r="D28" i="32"/>
  <c r="D18" i="32"/>
  <c r="B19" i="32"/>
  <c r="B20" i="32"/>
  <c r="B21" i="32"/>
  <c r="B22" i="32"/>
  <c r="B23" i="32"/>
  <c r="B24" i="32"/>
  <c r="B25" i="32"/>
  <c r="B26" i="32"/>
  <c r="B27" i="32"/>
  <c r="B28" i="32"/>
  <c r="B18" i="32"/>
  <c r="C63" i="32"/>
  <c r="C62" i="32"/>
  <c r="C61" i="32"/>
  <c r="C60" i="32"/>
  <c r="C59" i="32"/>
  <c r="C58" i="32"/>
  <c r="D13" i="32" l="1"/>
  <c r="C13" i="32"/>
  <c r="C68" i="32"/>
  <c r="C86" i="32"/>
  <c r="C81" i="32"/>
  <c r="C65" i="32"/>
  <c r="C73" i="32"/>
  <c r="C90" i="32"/>
  <c r="C106" i="32"/>
  <c r="C66" i="32"/>
  <c r="C78" i="32"/>
  <c r="C94" i="32"/>
  <c r="C110" i="32"/>
  <c r="C72" i="32"/>
  <c r="C74" i="32"/>
  <c r="C102" i="32"/>
  <c r="C118" i="32"/>
  <c r="C76" i="32"/>
  <c r="C70" i="32"/>
  <c r="C69" i="32"/>
  <c r="C77" i="32"/>
  <c r="C82" i="32"/>
  <c r="C98" i="32"/>
  <c r="C114" i="32"/>
  <c r="C116" i="32"/>
  <c r="C80" i="32"/>
  <c r="C88" i="32"/>
  <c r="C96" i="32"/>
  <c r="C112" i="32"/>
  <c r="C75" i="32"/>
  <c r="C87" i="32"/>
  <c r="C99" i="32"/>
  <c r="C103" i="32"/>
  <c r="C107" i="32"/>
  <c r="C111" i="32"/>
  <c r="C115" i="32"/>
  <c r="C104" i="32"/>
  <c r="C108" i="32"/>
  <c r="C84" i="32"/>
  <c r="C92" i="32"/>
  <c r="C100" i="32"/>
  <c r="C71" i="32"/>
  <c r="C83" i="32"/>
  <c r="C91" i="32"/>
  <c r="C67" i="32"/>
  <c r="C79" i="32"/>
  <c r="C95" i="32"/>
  <c r="C119" i="32"/>
  <c r="C85" i="32"/>
  <c r="C89" i="32"/>
  <c r="C93" i="32"/>
  <c r="C97" i="32"/>
  <c r="C101" i="32"/>
  <c r="C105" i="32"/>
  <c r="C109" i="32"/>
  <c r="C113" i="32"/>
  <c r="C117" i="32"/>
  <c r="E23" i="31" l="1"/>
  <c r="D42" i="31" l="1"/>
  <c r="F27" i="31"/>
  <c r="F28" i="31"/>
  <c r="F29" i="31"/>
  <c r="F30" i="31"/>
  <c r="F31" i="31"/>
  <c r="F32" i="31"/>
  <c r="F33" i="31"/>
  <c r="F34" i="31"/>
  <c r="F35" i="31"/>
  <c r="F36" i="31"/>
  <c r="F26" i="31"/>
  <c r="E11" i="31"/>
  <c r="C18" i="31"/>
  <c r="C17" i="31"/>
  <c r="C16" i="31"/>
  <c r="C15" i="31"/>
  <c r="C14" i="31"/>
  <c r="C13" i="31"/>
  <c r="E9" i="31"/>
  <c r="C9" i="31"/>
  <c r="C25" i="14" l="1"/>
  <c r="E36" i="31" l="1"/>
  <c r="E35" i="31"/>
  <c r="E34" i="31"/>
  <c r="E33" i="31"/>
  <c r="E32" i="31"/>
  <c r="E31" i="31"/>
  <c r="E30" i="31"/>
  <c r="E29" i="31"/>
  <c r="E28" i="31"/>
  <c r="E27" i="31"/>
  <c r="E26" i="31"/>
  <c r="E18" i="31"/>
  <c r="E25" i="31" s="1"/>
  <c r="F25" i="31" s="1"/>
  <c r="E17" i="31"/>
  <c r="E24" i="31" s="1"/>
  <c r="F24" i="31" s="1"/>
  <c r="E16" i="31"/>
  <c r="E15" i="31"/>
  <c r="E14" i="31"/>
  <c r="E13" i="31"/>
  <c r="E12" i="31"/>
  <c r="C6" i="31"/>
  <c r="D4" i="31" s="1"/>
  <c r="D61" i="14"/>
  <c r="E61" i="14" s="1"/>
  <c r="D59" i="14"/>
  <c r="E59" i="14" s="1"/>
  <c r="F23" i="31" l="1"/>
  <c r="F37" i="31" s="1"/>
  <c r="D41" i="31" s="1"/>
  <c r="B23" i="19"/>
  <c r="R7" i="19"/>
  <c r="S7" i="19"/>
  <c r="T7" i="19"/>
  <c r="U7" i="19"/>
  <c r="V7" i="19"/>
  <c r="R25" i="14" l="1"/>
  <c r="M25" i="14"/>
  <c r="H25" i="14"/>
  <c r="I16" i="19" l="1"/>
  <c r="C3" i="19"/>
  <c r="B3" i="19"/>
  <c r="T24" i="19" l="1"/>
  <c r="S24" i="19"/>
  <c r="R24" i="19"/>
  <c r="R25" i="19"/>
  <c r="J12" i="19"/>
  <c r="D39" i="10"/>
  <c r="D40" i="10"/>
  <c r="D41" i="10"/>
  <c r="D42" i="10"/>
  <c r="D43" i="10"/>
  <c r="D44" i="10"/>
  <c r="D38" i="10"/>
  <c r="D37" i="10"/>
  <c r="D30" i="10"/>
  <c r="D26" i="10"/>
  <c r="D35" i="10"/>
  <c r="D34" i="10"/>
  <c r="D33" i="10"/>
  <c r="D32" i="10"/>
  <c r="D31" i="10"/>
  <c r="D29" i="10"/>
  <c r="D28" i="10"/>
  <c r="D27" i="10"/>
  <c r="D25" i="10"/>
  <c r="D15" i="10"/>
  <c r="D16" i="10"/>
  <c r="D17" i="10"/>
  <c r="D18" i="10"/>
  <c r="D19" i="10"/>
  <c r="D20" i="10"/>
  <c r="D21" i="10"/>
  <c r="D22" i="10"/>
  <c r="D23" i="10"/>
  <c r="D13" i="10"/>
  <c r="D14" i="10"/>
  <c r="F121" i="19"/>
  <c r="L115" i="19"/>
  <c r="H19" i="19"/>
  <c r="G19" i="19"/>
  <c r="G20" i="19" l="1"/>
  <c r="H20" i="19" l="1"/>
  <c r="H21" i="19"/>
  <c r="G21" i="19" l="1"/>
  <c r="H22" i="19" l="1"/>
  <c r="G22" i="19"/>
  <c r="H23" i="19" l="1"/>
  <c r="G24" i="19"/>
  <c r="G23" i="19"/>
  <c r="R22" i="14"/>
  <c r="M22" i="14"/>
  <c r="W27" i="19"/>
  <c r="V27" i="19"/>
  <c r="U27" i="19"/>
  <c r="T27" i="19"/>
  <c r="S27" i="19"/>
  <c r="R27" i="19"/>
  <c r="U25" i="19"/>
  <c r="T25" i="19"/>
  <c r="S25" i="19"/>
  <c r="V6" i="19"/>
  <c r="U6" i="19"/>
  <c r="T6" i="19"/>
  <c r="H22" i="14" s="1"/>
  <c r="S6" i="19"/>
  <c r="R6" i="19"/>
  <c r="R2" i="19"/>
  <c r="H24" i="19" l="1"/>
  <c r="G25" i="19"/>
  <c r="G26" i="19"/>
  <c r="U9" i="19"/>
  <c r="T9" i="19"/>
  <c r="S9" i="19"/>
  <c r="R9" i="19"/>
  <c r="W11" i="19"/>
  <c r="V11" i="19"/>
  <c r="U11" i="19"/>
  <c r="R11" i="19"/>
  <c r="E6" i="10"/>
  <c r="T8" i="19" s="1"/>
  <c r="E5" i="10"/>
  <c r="S8" i="19" s="1"/>
  <c r="C22" i="14" s="1"/>
  <c r="E4" i="10"/>
  <c r="R8" i="19" s="1"/>
  <c r="T5" i="19"/>
  <c r="S5" i="19"/>
  <c r="R5" i="19"/>
  <c r="R18" i="19"/>
  <c r="H26" i="19" l="1"/>
  <c r="H25" i="19"/>
  <c r="T11" i="19"/>
  <c r="S11" i="19"/>
  <c r="R4" i="19"/>
  <c r="R12" i="19"/>
  <c r="S12" i="19"/>
  <c r="S4" i="19"/>
  <c r="T12" i="19"/>
  <c r="T13" i="19"/>
  <c r="S13" i="19"/>
  <c r="T4" i="19"/>
  <c r="R13" i="19"/>
  <c r="B113" i="19"/>
  <c r="D113" i="19"/>
  <c r="E113" i="19"/>
  <c r="F113" i="19"/>
  <c r="G113" i="19"/>
  <c r="H113" i="19"/>
  <c r="I113" i="19"/>
  <c r="J113" i="19"/>
  <c r="K113" i="19"/>
  <c r="L113" i="19"/>
  <c r="B114" i="19"/>
  <c r="D114" i="19"/>
  <c r="E114" i="19"/>
  <c r="F114" i="19"/>
  <c r="G114" i="19"/>
  <c r="H114" i="19"/>
  <c r="I114" i="19"/>
  <c r="J114" i="19"/>
  <c r="K114" i="19"/>
  <c r="L114" i="19"/>
  <c r="B115" i="19"/>
  <c r="D115" i="19"/>
  <c r="E115" i="19"/>
  <c r="F115" i="19"/>
  <c r="G115" i="19"/>
  <c r="H115" i="19"/>
  <c r="I115" i="19"/>
  <c r="J115" i="19"/>
  <c r="K115" i="19"/>
  <c r="B116" i="19"/>
  <c r="D116" i="19"/>
  <c r="E116" i="19"/>
  <c r="F116" i="19"/>
  <c r="G116" i="19"/>
  <c r="H116" i="19"/>
  <c r="I116" i="19"/>
  <c r="J116" i="19"/>
  <c r="K116" i="19"/>
  <c r="L116" i="19"/>
  <c r="B117" i="19"/>
  <c r="D117" i="19"/>
  <c r="E117" i="19"/>
  <c r="F117" i="19"/>
  <c r="G117" i="19"/>
  <c r="H117" i="19"/>
  <c r="I117" i="19"/>
  <c r="J117" i="19"/>
  <c r="K117" i="19"/>
  <c r="L117" i="19"/>
  <c r="B118" i="19"/>
  <c r="D118" i="19"/>
  <c r="E118" i="19"/>
  <c r="F118" i="19"/>
  <c r="G118" i="19"/>
  <c r="H118" i="19"/>
  <c r="I118" i="19"/>
  <c r="J118" i="19"/>
  <c r="K118" i="19"/>
  <c r="L118" i="19"/>
  <c r="B119" i="19"/>
  <c r="D119" i="19"/>
  <c r="E119" i="19"/>
  <c r="F119" i="19"/>
  <c r="G119" i="19"/>
  <c r="H119" i="19"/>
  <c r="I119" i="19"/>
  <c r="J119" i="19"/>
  <c r="K119" i="19"/>
  <c r="L119" i="19"/>
  <c r="B120" i="19"/>
  <c r="D120" i="19"/>
  <c r="E120" i="19"/>
  <c r="F120" i="19"/>
  <c r="G120" i="19"/>
  <c r="H120" i="19"/>
  <c r="I120" i="19"/>
  <c r="J120" i="19"/>
  <c r="K120" i="19"/>
  <c r="L120" i="19"/>
  <c r="B121" i="19"/>
  <c r="D121" i="19"/>
  <c r="E121" i="19"/>
  <c r="G121" i="19"/>
  <c r="H121" i="19"/>
  <c r="I121" i="19"/>
  <c r="J121" i="19"/>
  <c r="K121" i="19"/>
  <c r="L121" i="19"/>
  <c r="B122" i="19"/>
  <c r="D122" i="19"/>
  <c r="E122" i="19"/>
  <c r="F122" i="19"/>
  <c r="G122" i="19"/>
  <c r="H122" i="19"/>
  <c r="I122" i="19"/>
  <c r="J122" i="19"/>
  <c r="K122" i="19"/>
  <c r="L122" i="19"/>
  <c r="B123" i="19"/>
  <c r="D123" i="19"/>
  <c r="E123" i="19"/>
  <c r="F123" i="19"/>
  <c r="G123" i="19"/>
  <c r="H123" i="19"/>
  <c r="I123" i="19"/>
  <c r="J123" i="19"/>
  <c r="K123" i="19"/>
  <c r="L123" i="19"/>
  <c r="B124" i="19"/>
  <c r="D124" i="19"/>
  <c r="E124" i="19"/>
  <c r="F124" i="19"/>
  <c r="G124" i="19"/>
  <c r="H124" i="19"/>
  <c r="I124" i="19"/>
  <c r="J124" i="19"/>
  <c r="K124" i="19"/>
  <c r="L124" i="19"/>
  <c r="B125" i="19"/>
  <c r="D125" i="19"/>
  <c r="E125" i="19"/>
  <c r="F125" i="19"/>
  <c r="G125" i="19"/>
  <c r="H125" i="19"/>
  <c r="I125" i="19"/>
  <c r="J125" i="19"/>
  <c r="K125" i="19"/>
  <c r="L125" i="19"/>
  <c r="B126" i="19"/>
  <c r="D126" i="19"/>
  <c r="E126" i="19"/>
  <c r="F126" i="19"/>
  <c r="G126" i="19"/>
  <c r="H126" i="19"/>
  <c r="I126" i="19"/>
  <c r="J126" i="19"/>
  <c r="K126" i="19"/>
  <c r="L126" i="19"/>
  <c r="B127" i="19"/>
  <c r="D127" i="19"/>
  <c r="E127" i="19"/>
  <c r="F127" i="19"/>
  <c r="G127" i="19"/>
  <c r="H127" i="19"/>
  <c r="I127" i="19"/>
  <c r="J127" i="19"/>
  <c r="K127" i="19"/>
  <c r="L127" i="19"/>
  <c r="B128" i="19"/>
  <c r="D128" i="19"/>
  <c r="E128" i="19"/>
  <c r="F128" i="19"/>
  <c r="G128" i="19"/>
  <c r="H128" i="19"/>
  <c r="I128" i="19"/>
  <c r="J128" i="19"/>
  <c r="K128" i="19"/>
  <c r="L128" i="19"/>
  <c r="B129" i="19"/>
  <c r="D129" i="19"/>
  <c r="E129" i="19"/>
  <c r="F129" i="19"/>
  <c r="G129" i="19"/>
  <c r="H129" i="19"/>
  <c r="I129" i="19"/>
  <c r="J129" i="19"/>
  <c r="K129" i="19"/>
  <c r="L129" i="19"/>
  <c r="B130" i="19"/>
  <c r="D130" i="19"/>
  <c r="E130" i="19"/>
  <c r="F130" i="19"/>
  <c r="G130" i="19"/>
  <c r="H130" i="19"/>
  <c r="I130" i="19"/>
  <c r="J130" i="19"/>
  <c r="K130" i="19"/>
  <c r="L130" i="19"/>
  <c r="B131" i="19"/>
  <c r="D131" i="19"/>
  <c r="E131" i="19"/>
  <c r="F131" i="19"/>
  <c r="G131" i="19"/>
  <c r="H131" i="19"/>
  <c r="I131" i="19"/>
  <c r="J131" i="19"/>
  <c r="K131" i="19"/>
  <c r="L131" i="19"/>
  <c r="B132" i="19"/>
  <c r="D132" i="19"/>
  <c r="E132" i="19"/>
  <c r="G132" i="19"/>
  <c r="H132" i="19"/>
  <c r="I132" i="19"/>
  <c r="J132" i="19"/>
  <c r="K132" i="19"/>
  <c r="L132" i="19"/>
  <c r="B133" i="19"/>
  <c r="D133" i="19"/>
  <c r="E133" i="19"/>
  <c r="F133" i="19"/>
  <c r="G133" i="19"/>
  <c r="H133" i="19"/>
  <c r="I133" i="19"/>
  <c r="J133" i="19"/>
  <c r="K133" i="19"/>
  <c r="L133" i="19"/>
  <c r="B134" i="19"/>
  <c r="D134" i="19"/>
  <c r="E134" i="19"/>
  <c r="F134" i="19"/>
  <c r="G134" i="19"/>
  <c r="H134" i="19"/>
  <c r="I134" i="19"/>
  <c r="J134" i="19"/>
  <c r="K134" i="19"/>
  <c r="L134" i="19"/>
  <c r="B135" i="19"/>
  <c r="D135" i="19"/>
  <c r="E135" i="19"/>
  <c r="F135" i="19"/>
  <c r="G135" i="19"/>
  <c r="H135" i="19"/>
  <c r="I135" i="19"/>
  <c r="J135" i="19"/>
  <c r="K135" i="19"/>
  <c r="L135" i="19"/>
  <c r="C10" i="19"/>
  <c r="B10" i="19"/>
  <c r="E9" i="19"/>
  <c r="D9" i="19"/>
  <c r="C9" i="19"/>
  <c r="B9" i="19"/>
  <c r="B2" i="19"/>
  <c r="G27" i="19" l="1"/>
  <c r="H27" i="19"/>
  <c r="C94" i="10"/>
  <c r="C76" i="10"/>
  <c r="C58" i="10"/>
  <c r="C77" i="10"/>
  <c r="C95" i="10"/>
  <c r="C59" i="10"/>
  <c r="C63" i="10"/>
  <c r="C81" i="10"/>
  <c r="C54" i="10"/>
  <c r="C90" i="10"/>
  <c r="C72" i="10"/>
  <c r="C80" i="10"/>
  <c r="C62" i="10"/>
  <c r="C79" i="10"/>
  <c r="C97" i="10"/>
  <c r="C61" i="10"/>
  <c r="C57" i="10"/>
  <c r="C75" i="10"/>
  <c r="C93" i="10"/>
  <c r="C56" i="10"/>
  <c r="C74" i="10"/>
  <c r="C92" i="10"/>
  <c r="C82" i="10"/>
  <c r="C64" i="10"/>
  <c r="C55" i="10"/>
  <c r="C91" i="10"/>
  <c r="C73" i="10"/>
  <c r="C96" i="10"/>
  <c r="C78" i="10"/>
  <c r="C60" i="10"/>
  <c r="G29" i="19"/>
  <c r="C11" i="19"/>
  <c r="G30" i="19" l="1"/>
  <c r="H28" i="19"/>
  <c r="G28" i="19"/>
  <c r="D4" i="19"/>
  <c r="C4" i="19"/>
  <c r="B4" i="19"/>
  <c r="H29" i="19" l="1"/>
  <c r="H30" i="19"/>
  <c r="B12" i="19"/>
  <c r="B13" i="19"/>
  <c r="C12" i="19"/>
  <c r="C13" i="19"/>
  <c r="D13" i="19"/>
  <c r="D12" i="19"/>
  <c r="J6" i="19" l="1"/>
  <c r="J7" i="19"/>
  <c r="C10" i="14"/>
  <c r="D3" i="32" l="1"/>
  <c r="D4" i="32"/>
  <c r="D5" i="32" s="1"/>
  <c r="F59" i="14"/>
  <c r="F61" i="14"/>
  <c r="E89" i="10" l="1"/>
  <c r="E88" i="10"/>
  <c r="E87" i="10"/>
  <c r="E86" i="10"/>
  <c r="E75" i="10"/>
  <c r="E71" i="10"/>
  <c r="E70" i="10"/>
  <c r="E69" i="10"/>
  <c r="E68" i="10"/>
  <c r="E53" i="10"/>
  <c r="E52" i="10"/>
  <c r="E51" i="10"/>
  <c r="E50" i="10"/>
  <c r="G11" i="19"/>
  <c r="F11" i="19"/>
  <c r="E11" i="19"/>
  <c r="D11" i="19"/>
  <c r="B6" i="10"/>
  <c r="D8" i="19" s="1"/>
  <c r="B5" i="10"/>
  <c r="C8" i="19" s="1"/>
  <c r="C21" i="14" s="1"/>
  <c r="B11" i="19"/>
  <c r="B4" i="10"/>
  <c r="B8" i="19" s="1"/>
  <c r="B34" i="19"/>
  <c r="B33" i="19"/>
  <c r="A20" i="19"/>
  <c r="E94" i="10"/>
  <c r="E60" i="14"/>
  <c r="F60" i="14" s="1"/>
  <c r="C50" i="14"/>
  <c r="C43" i="14" s="1"/>
  <c r="R21" i="14"/>
  <c r="R23" i="14" s="1"/>
  <c r="M21" i="14"/>
  <c r="M23" i="14" s="1"/>
  <c r="K6" i="19" l="1"/>
  <c r="K7" i="19"/>
  <c r="R30" i="14"/>
  <c r="R35" i="14" s="1"/>
  <c r="R37" i="14" s="1"/>
  <c r="T37" i="14" s="1"/>
  <c r="H30" i="14"/>
  <c r="H35" i="14" s="1"/>
  <c r="H37" i="14" s="1"/>
  <c r="J37" i="14" s="1"/>
  <c r="M30" i="14"/>
  <c r="M35" i="14" s="1"/>
  <c r="M37" i="14" s="1"/>
  <c r="O37" i="14" s="1"/>
  <c r="C30" i="14"/>
  <c r="B5" i="19"/>
  <c r="C5" i="19"/>
  <c r="D5" i="19"/>
  <c r="E90" i="10"/>
  <c r="E72" i="10"/>
  <c r="E96" i="10"/>
  <c r="E78" i="10"/>
  <c r="E60" i="10"/>
  <c r="E62" i="10"/>
  <c r="E80" i="10"/>
  <c r="E58" i="10"/>
  <c r="E82" i="10"/>
  <c r="E64" i="10"/>
  <c r="E73" i="10"/>
  <c r="E91" i="10"/>
  <c r="E55" i="10"/>
  <c r="E93" i="10"/>
  <c r="E57" i="10"/>
  <c r="E95" i="10"/>
  <c r="E59" i="10"/>
  <c r="E97" i="10"/>
  <c r="E79" i="10"/>
  <c r="E61" i="10"/>
  <c r="E81" i="10"/>
  <c r="E63" i="10"/>
  <c r="E54" i="10"/>
  <c r="E77" i="10"/>
  <c r="E92" i="10"/>
  <c r="E74" i="10"/>
  <c r="E56" i="10"/>
  <c r="E76" i="10"/>
  <c r="C44" i="14"/>
  <c r="C52" i="14" s="1"/>
  <c r="C53" i="14" s="1"/>
  <c r="C54" i="14" s="1"/>
  <c r="R24" i="14"/>
  <c r="R34" i="14" s="1"/>
  <c r="R36" i="14" s="1"/>
  <c r="T36" i="14" s="1"/>
  <c r="M24" i="14"/>
  <c r="M34" i="14" s="1"/>
  <c r="M36" i="14" s="1"/>
  <c r="O36" i="14" s="1"/>
  <c r="C6" i="19" l="1"/>
  <c r="C7" i="19"/>
  <c r="F6" i="19"/>
  <c r="F7" i="19"/>
  <c r="E6" i="19"/>
  <c r="E7" i="19"/>
  <c r="C35" i="14"/>
  <c r="C37" i="14" s="1"/>
  <c r="E37" i="14" s="1"/>
  <c r="C23" i="14"/>
  <c r="J5" i="19"/>
  <c r="K5" i="19"/>
  <c r="J2" i="19"/>
  <c r="L9" i="19"/>
  <c r="K11" i="19"/>
  <c r="J11" i="19"/>
  <c r="E98" i="10"/>
  <c r="C6" i="10" s="1"/>
  <c r="L8" i="19" s="1"/>
  <c r="O11" i="19"/>
  <c r="M9" i="19"/>
  <c r="K9" i="19"/>
  <c r="J9" i="19"/>
  <c r="E65" i="10"/>
  <c r="C4" i="10" s="1"/>
  <c r="J8" i="19" s="1"/>
  <c r="E83" i="10"/>
  <c r="C5" i="10" s="1"/>
  <c r="K8" i="19" s="1"/>
  <c r="L11" i="19"/>
  <c r="R10" i="19"/>
  <c r="S10" i="19"/>
  <c r="N11" i="19"/>
  <c r="M11" i="19"/>
  <c r="L5" i="19"/>
  <c r="D62" i="14"/>
  <c r="E62" i="14" s="1"/>
  <c r="F62" i="14" s="1"/>
  <c r="B77" i="14" s="1"/>
  <c r="R33" i="14"/>
  <c r="M33" i="14"/>
  <c r="S22" i="19" l="1"/>
  <c r="S23" i="19"/>
  <c r="D6" i="19"/>
  <c r="H21" i="14" s="1"/>
  <c r="H23" i="14" s="1"/>
  <c r="H24" i="14" s="1"/>
  <c r="H33" i="14" s="1"/>
  <c r="D7" i="19"/>
  <c r="V22" i="19"/>
  <c r="V23" i="19"/>
  <c r="C24" i="14"/>
  <c r="C33" i="14" s="1"/>
  <c r="K4" i="19"/>
  <c r="K12" i="19"/>
  <c r="L4" i="19"/>
  <c r="L13" i="19" s="1"/>
  <c r="L12" i="19"/>
  <c r="J4" i="19"/>
  <c r="T22" i="19" l="1"/>
  <c r="T23" i="19"/>
  <c r="H34" i="14"/>
  <c r="H36" i="14" s="1"/>
  <c r="J36" i="14" s="1"/>
  <c r="U22" i="19"/>
  <c r="U23" i="19"/>
  <c r="C34" i="14"/>
  <c r="C36" i="14" s="1"/>
  <c r="K13" i="19"/>
  <c r="J13" i="19"/>
  <c r="E36" i="14" l="1"/>
  <c r="B76" i="14" s="1"/>
  <c r="B78" i="14" s="1"/>
  <c r="C80" i="14" s="1"/>
  <c r="J10" i="19" l="1"/>
  <c r="K10" i="19"/>
  <c r="F132" i="19"/>
  <c r="B6" i="19" l="1"/>
  <c r="B7" i="19"/>
  <c r="R22" i="19"/>
  <c r="R23" i="19"/>
  <c r="L6" i="19" l="1"/>
  <c r="L7" i="19"/>
</calcChain>
</file>

<file path=xl/sharedStrings.xml><?xml version="1.0" encoding="utf-8"?>
<sst xmlns="http://schemas.openxmlformats.org/spreadsheetml/2006/main" count="569" uniqueCount="270">
  <si>
    <t>Dégagement</t>
  </si>
  <si>
    <t xml:space="preserve">Type intervention </t>
  </si>
  <si>
    <t>Plantation</t>
  </si>
  <si>
    <r>
      <t xml:space="preserve">Recette (Ri)
</t>
    </r>
    <r>
      <rPr>
        <sz val="11"/>
        <color theme="1"/>
        <rFont val="Calibri"/>
        <family val="2"/>
      </rPr>
      <t>€/ha</t>
    </r>
  </si>
  <si>
    <r>
      <t xml:space="preserve">Dépense (Ci)
</t>
    </r>
    <r>
      <rPr>
        <sz val="11"/>
        <color theme="1"/>
        <rFont val="Calibri"/>
        <family val="2"/>
      </rPr>
      <t>€/ha</t>
    </r>
  </si>
  <si>
    <t>VAN (n)</t>
  </si>
  <si>
    <t>Frais divers de gestion forestière / Ha</t>
  </si>
  <si>
    <t>Dessouchage</t>
  </si>
  <si>
    <t>Mise en andain</t>
  </si>
  <si>
    <t>Sous-solage</t>
  </si>
  <si>
    <t xml:space="preserve">Broyeur forestier léger </t>
  </si>
  <si>
    <t>Broyeur lourd</t>
  </si>
  <si>
    <t>Broyage d'interlignes (1 interligne/2)</t>
  </si>
  <si>
    <t>Cover Crop - Rota</t>
  </si>
  <si>
    <t>Frais de dégagement - Année N+1</t>
  </si>
  <si>
    <t>Frais de dégagement - Année N+2</t>
  </si>
  <si>
    <t>Frais de dégagement - Année N+3</t>
  </si>
  <si>
    <t>Frais de marquage</t>
  </si>
  <si>
    <t>Frais de dégagement régénération irrégulier</t>
  </si>
  <si>
    <t>Eclaircie 1</t>
  </si>
  <si>
    <t>Eclaircie 2</t>
  </si>
  <si>
    <t>Eclaircie 3</t>
  </si>
  <si>
    <t>Colonne1</t>
  </si>
  <si>
    <t>Chataignier</t>
  </si>
  <si>
    <t>Age</t>
  </si>
  <si>
    <t>Vt</t>
  </si>
  <si>
    <t>Ve</t>
  </si>
  <si>
    <t>ACV</t>
  </si>
  <si>
    <t>PVT</t>
  </si>
  <si>
    <t>C.F</t>
  </si>
  <si>
    <t>Accroissement moyen (m3/ha/an)</t>
  </si>
  <si>
    <t xml:space="preserve">Prix moyen m3 bois à l'age de la coupe </t>
  </si>
  <si>
    <t>Taux actualisation</t>
  </si>
  <si>
    <t xml:space="preserve">Volume commercialisable à l'age de la coupe </t>
  </si>
  <si>
    <t>CALCUL DE LA VAN :</t>
  </si>
  <si>
    <t>Chêne</t>
  </si>
  <si>
    <t>Pin Laricio</t>
  </si>
  <si>
    <t>Pin Maritime</t>
  </si>
  <si>
    <t>Douglas</t>
  </si>
  <si>
    <t>Ba</t>
  </si>
  <si>
    <t>Stock de la biomasse aérienne ( en tMS)</t>
  </si>
  <si>
    <t>Br</t>
  </si>
  <si>
    <t>S</t>
  </si>
  <si>
    <t>Stock de la biomasse racinaire (en tMS)</t>
  </si>
  <si>
    <t>L</t>
  </si>
  <si>
    <t>M</t>
  </si>
  <si>
    <t>τc</t>
  </si>
  <si>
    <t>Stock de bois mort ( en tC)</t>
  </si>
  <si>
    <t>Stock de la litière constante (tC/ha)</t>
  </si>
  <si>
    <t>Taux de carbone dans la matière sèche (tC/tMS)</t>
  </si>
  <si>
    <t>Volume total (en m3)</t>
  </si>
  <si>
    <t>di</t>
  </si>
  <si>
    <t>infradensité de l'essence</t>
  </si>
  <si>
    <t>Surface :</t>
  </si>
  <si>
    <t>ha</t>
  </si>
  <si>
    <t>Variables</t>
  </si>
  <si>
    <t>V</t>
  </si>
  <si>
    <t>Sprojet (30)</t>
  </si>
  <si>
    <t>Poursuite culture agricole</t>
  </si>
  <si>
    <t>Poursuite prairie ou pature</t>
  </si>
  <si>
    <t>AM</t>
  </si>
  <si>
    <t>P</t>
  </si>
  <si>
    <t>r</t>
  </si>
  <si>
    <t>Vf</t>
  </si>
  <si>
    <t>tCO2</t>
  </si>
  <si>
    <t xml:space="preserve">Classe de fertilité </t>
  </si>
  <si>
    <t>V(30)</t>
  </si>
  <si>
    <t xml:space="preserve"> (DECOURT - 1965) SOLOGNE</t>
  </si>
  <si>
    <t xml:space="preserve">V(30) </t>
  </si>
  <si>
    <t xml:space="preserve">PIN LARICIO DE CORSE </t>
  </si>
  <si>
    <t>Cèdre</t>
  </si>
  <si>
    <t>Thuya</t>
  </si>
  <si>
    <t>Mélèze</t>
  </si>
  <si>
    <t>Epicéa sitka</t>
  </si>
  <si>
    <t>Intégration des rabais</t>
  </si>
  <si>
    <t>Rabais pour les risques généraux difficilement maitrisable (-10%)</t>
  </si>
  <si>
    <t>Rabais pour le risque d'incendie (0, -5, -10 ou -15 %)</t>
  </si>
  <si>
    <t>Rabais sur la classe de fertilité (0 ou -10%)</t>
  </si>
  <si>
    <t xml:space="preserve">Calcul de VAN </t>
  </si>
  <si>
    <t xml:space="preserve">Eclaircie </t>
  </si>
  <si>
    <t>C.F 1</t>
  </si>
  <si>
    <t>Pin Sylvestre</t>
  </si>
  <si>
    <t>Cèdre de l'Atlas</t>
  </si>
  <si>
    <t>Infradensité de l'Essence (tMS/m3)</t>
  </si>
  <si>
    <t>classe fertilite</t>
  </si>
  <si>
    <t xml:space="preserve">Catégorie de produit </t>
  </si>
  <si>
    <t>Coeff de substitution</t>
  </si>
  <si>
    <t>Essence 1 :</t>
  </si>
  <si>
    <t>Classe de fertilité</t>
  </si>
  <si>
    <t xml:space="preserve">Douglas </t>
  </si>
  <si>
    <t>infradensité de l'essence (TMS/m3)</t>
  </si>
  <si>
    <t xml:space="preserve">Vignes et vergers </t>
  </si>
  <si>
    <t>S sol (TC/ha)</t>
  </si>
  <si>
    <t>Le projet de boisement se situe sur des parcelles qui, l’année précédant la présente demande de certification, étaient :</t>
  </si>
  <si>
    <t>Embrousaillement/friche</t>
  </si>
  <si>
    <t>S Ess1 (T C/ha)</t>
  </si>
  <si>
    <t>S Ess1 (TCO2)</t>
  </si>
  <si>
    <t>S Ess1 (T CO2/ha)</t>
  </si>
  <si>
    <t>TC/ha</t>
  </si>
  <si>
    <t>TCO2/ha</t>
  </si>
  <si>
    <t xml:space="preserve">TCO2 </t>
  </si>
  <si>
    <t xml:space="preserve">Surface projet total : </t>
  </si>
  <si>
    <t>Sref accrus (T CO2/ha)</t>
  </si>
  <si>
    <t>Sref accrus TCO2</t>
  </si>
  <si>
    <t>Sref  (30)</t>
  </si>
  <si>
    <t>Eclaircie 4</t>
  </si>
  <si>
    <t>Eclaircie 5</t>
  </si>
  <si>
    <t>Eclaircie 6</t>
  </si>
  <si>
    <t>Eclaircie 7</t>
  </si>
  <si>
    <t>Eclaircie 8</t>
  </si>
  <si>
    <t>Eclaircie 9</t>
  </si>
  <si>
    <t>Eclaircie 10</t>
  </si>
  <si>
    <t>Eclaircie 11</t>
  </si>
  <si>
    <t>Eclaircie 12</t>
  </si>
  <si>
    <t>Eclaircie 13</t>
  </si>
  <si>
    <t>Eclaircie 14</t>
  </si>
  <si>
    <t>Eclaircie 15</t>
  </si>
  <si>
    <t>Eclaircie 16</t>
  </si>
  <si>
    <t>Eclaircie 17</t>
  </si>
  <si>
    <t>Recette (Ri)
€/ha</t>
  </si>
  <si>
    <t>Dépense (Ci)
€/ha</t>
  </si>
  <si>
    <t>Eclaircie 18</t>
  </si>
  <si>
    <t>Eclaircie 19</t>
  </si>
  <si>
    <t>Eclaircie 20</t>
  </si>
  <si>
    <t>Eclaircie 21</t>
  </si>
  <si>
    <t>Eclaircie 22</t>
  </si>
  <si>
    <t>Eclaircie 23</t>
  </si>
  <si>
    <t>CR</t>
  </si>
  <si>
    <t>C.F 2</t>
  </si>
  <si>
    <t>C.F 3</t>
  </si>
  <si>
    <t>VAN</t>
  </si>
  <si>
    <t>TOTAL VAN</t>
  </si>
  <si>
    <t>VAN Boisement</t>
  </si>
  <si>
    <t>S projet</t>
  </si>
  <si>
    <t>REA forêt</t>
  </si>
  <si>
    <t xml:space="preserve">S ref </t>
  </si>
  <si>
    <t>Plantation résineux</t>
  </si>
  <si>
    <t>Plantation feuillus</t>
  </si>
  <si>
    <t>Information projet</t>
  </si>
  <si>
    <t>Essence 2 :</t>
  </si>
  <si>
    <t>Essence 3 :</t>
  </si>
  <si>
    <t>Essence 4 :</t>
  </si>
  <si>
    <t>S Ess 2 (T C/ha)</t>
  </si>
  <si>
    <t>S Ess 2 (T CO2/ha)</t>
  </si>
  <si>
    <t>S Ess 2 (TCO2)</t>
  </si>
  <si>
    <t>S Ess3 (T C/ha)</t>
  </si>
  <si>
    <t>S Ess3 (T CO2/ha)</t>
  </si>
  <si>
    <t>S Ess3 (TCO2)</t>
  </si>
  <si>
    <t>S Ess4 (T C/ha)</t>
  </si>
  <si>
    <t>S Ess4 (T CO2/ha)</t>
  </si>
  <si>
    <t>S Ess4 (TCO2)</t>
  </si>
  <si>
    <t>Cèdre de l'Atlas - technique et forêt "Première approche de la production potentielle du cèdre de l'atlas" J.TOTH</t>
  </si>
  <si>
    <t>Chêne -  (PARDE 1962) SECTEUR LIGERIEN</t>
  </si>
  <si>
    <t>Douglas - (DECOURT 1972) OUEST DU MASSIF CENTRAL</t>
  </si>
  <si>
    <t>Pin Maritime - (DECOURT - LEMOINE - 1969) SUD OUEST LANDES</t>
  </si>
  <si>
    <t>Chataignier - Bilan des essais forestiers consacrés au chataignier en Bretagne CRPF</t>
  </si>
  <si>
    <t>Pin Laricio - (DECOURT - 1965) SOLOGNE</t>
  </si>
  <si>
    <t>Pin Sylvestre - (DECOURT 1965) SOLOGNE</t>
  </si>
  <si>
    <t>Epicéa sitka - CRPF Bretagne 1986</t>
  </si>
  <si>
    <t>Thuya - Douglas - (DECOURT 1972) OUEST DU MASSIF CENTRAL</t>
  </si>
  <si>
    <t>Rabais</t>
  </si>
  <si>
    <t>Prix avec décote immobilière 20% voir Guide expertise CNIEFEB</t>
  </si>
  <si>
    <t>Prix marché actuel</t>
  </si>
  <si>
    <t xml:space="preserve">Chêne - ONF chenaie Atlantique </t>
  </si>
  <si>
    <t>Rabais pour absence d'analyse économique pour l'additionnalié (0 ou - 5 %)</t>
  </si>
  <si>
    <t xml:space="preserve">Coefficient de forme et hauteurs moyennes pour peuplement purs equiènnes adultes (d'après GRUNDNER et SCHWAPPACH, 1952). Coefficient de forme 0,54 Station moyenne. </t>
  </si>
  <si>
    <t>Chêne - Chênaies Atlantique (ONF  2018)</t>
  </si>
  <si>
    <t>Volume bois fort (Vbf)/Volume total (Vt)</t>
  </si>
  <si>
    <t>Vbf</t>
  </si>
  <si>
    <t>FEB</t>
  </si>
  <si>
    <t>Facteur expension branche (FEB)</t>
  </si>
  <si>
    <t>Chêne ONF</t>
  </si>
  <si>
    <t>Nombre de classes de fertilités par essences</t>
  </si>
  <si>
    <t>REA forêt générables</t>
  </si>
  <si>
    <t>tC02</t>
  </si>
  <si>
    <t>BO - Bois d'Œuvre</t>
  </si>
  <si>
    <t>BI - Bois d'Industrie</t>
  </si>
  <si>
    <t>BE - Bois Energie</t>
  </si>
  <si>
    <t>Classes de Fertifilité Existantes (Voir table)</t>
  </si>
  <si>
    <t>Classe</t>
  </si>
  <si>
    <t>Sref accrus (30) - Croissance du peuplement existant</t>
  </si>
  <si>
    <t>VAN Accru - Peuplement existant</t>
  </si>
  <si>
    <t>PRIX</t>
  </si>
  <si>
    <t xml:space="preserve">     </t>
  </si>
  <si>
    <t>Ve BO  (30)</t>
  </si>
  <si>
    <t>Ve BI (30)</t>
  </si>
  <si>
    <t>Ve BE (30)</t>
  </si>
  <si>
    <t>unité</t>
  </si>
  <si>
    <t>définition</t>
  </si>
  <si>
    <t>m³/ha</t>
  </si>
  <si>
    <t>Production totale. Somme du volume restant sur pied et des volumes enlevés par les éclaircies.</t>
  </si>
  <si>
    <t>Somme cumulée des volumes enlevés par les éclaircies.</t>
  </si>
  <si>
    <t>Volume du peuplement. Bois fort tige pour les résineux, bois fort total pour les feuillus.</t>
  </si>
  <si>
    <t>m³/ha/an</t>
  </si>
  <si>
    <t xml:space="preserve">Accroissement courant. Accroissement en volume durant une courte période de temps encadrant l'âge considéré. </t>
  </si>
  <si>
    <t>Vec</t>
  </si>
  <si>
    <t>Volume enlevé par l'éclaircie à l'âge de la coupe.</t>
  </si>
  <si>
    <t>Vbi(30)</t>
  </si>
  <si>
    <t>Vbe(30)</t>
  </si>
  <si>
    <t>Vbi</t>
  </si>
  <si>
    <t>Volume de bois sur pied (en m3)</t>
  </si>
  <si>
    <t>Volume éclaircie en bois d'industrie ( en m3)</t>
  </si>
  <si>
    <t>S produit Ess 1 (TCO2)</t>
  </si>
  <si>
    <t>TCO2</t>
  </si>
  <si>
    <t>S produits (T CO2/ha)</t>
  </si>
  <si>
    <t>REA - Méthode Boisement</t>
  </si>
  <si>
    <t>S produit Ess 2 (TCO2)</t>
  </si>
  <si>
    <t>S produit Ess 2 (T CO2/ha)</t>
  </si>
  <si>
    <t>S produit Ess 3 (TCO2)</t>
  </si>
  <si>
    <t>S produit Ess 3 (T CO2/ha)</t>
  </si>
  <si>
    <t>S produit Ess 4 (T CO2/ha)</t>
  </si>
  <si>
    <t>S produit Ess 4(TCO2)</t>
  </si>
  <si>
    <t>Age taillis</t>
  </si>
  <si>
    <t>Robinier</t>
  </si>
  <si>
    <t>C.fertilié</t>
  </si>
  <si>
    <t>Stock de carbone dans les sols (en tC)</t>
  </si>
  <si>
    <t xml:space="preserve">Taillis Chataignier - ( BEDENEAU 1988) Croissance du taillis de châtaignier en France : premiers résultats. </t>
  </si>
  <si>
    <t>Taillis de Chêne - (J. RONDEUX - D. JACQUES 1988) Tarfs de cubage pour les taillis de chênes et de bouleaux en Ardenne méridionale</t>
  </si>
  <si>
    <t>Mélèze - Douglas (DECOURT 1972) OUEST DU MASSIF CENTRAL</t>
  </si>
  <si>
    <t>C.fertilité</t>
  </si>
  <si>
    <t xml:space="preserve"> Robinier - Assimilé au Chataignier - Bilan des essais forestiers consacrés au chataignier en Bretagne CRPF</t>
  </si>
  <si>
    <t>tC/ha</t>
  </si>
  <si>
    <t>TC02/projet</t>
  </si>
  <si>
    <t>Sref accrus (T C / ha)</t>
  </si>
  <si>
    <t>taux actualisation</t>
  </si>
  <si>
    <t>Année</t>
  </si>
  <si>
    <t>Recettes</t>
  </si>
  <si>
    <t>Dépenses</t>
  </si>
  <si>
    <t xml:space="preserve">Plantation </t>
  </si>
  <si>
    <t>Entretien année N+1</t>
  </si>
  <si>
    <t>Entretien année N+2</t>
  </si>
  <si>
    <t xml:space="preserve">Eclaircie 1 </t>
  </si>
  <si>
    <t>Passage du rotavator</t>
  </si>
  <si>
    <t xml:space="preserve">Passage du culti 3b </t>
  </si>
  <si>
    <t>Fourniture de pin laricio</t>
  </si>
  <si>
    <t>Application trico N+1</t>
  </si>
  <si>
    <t>Plantation à la pioche</t>
  </si>
  <si>
    <t xml:space="preserve">VAN Projet </t>
  </si>
  <si>
    <t xml:space="preserve">VAN ref  </t>
  </si>
  <si>
    <t>Application tricot</t>
  </si>
  <si>
    <t>inf.</t>
  </si>
  <si>
    <t xml:space="preserve">CF1 </t>
  </si>
  <si>
    <t xml:space="preserve">CF2 </t>
  </si>
  <si>
    <t>CF3</t>
  </si>
  <si>
    <t>Stock MLT</t>
  </si>
  <si>
    <t xml:space="preserve">Volume total après éclaircie </t>
  </si>
  <si>
    <t>Âge</t>
  </si>
  <si>
    <t xml:space="preserve">CF. 1 </t>
  </si>
  <si>
    <t>CF. 2</t>
  </si>
  <si>
    <t>CF. 3</t>
  </si>
  <si>
    <t xml:space="preserve">CF.1 </t>
  </si>
  <si>
    <t xml:space="preserve">CF.2 </t>
  </si>
  <si>
    <t>CF.3</t>
  </si>
  <si>
    <t xml:space="preserve">V cf1 </t>
  </si>
  <si>
    <t xml:space="preserve">S cf1 </t>
  </si>
  <si>
    <t xml:space="preserve">V cf2 </t>
  </si>
  <si>
    <t xml:space="preserve">S cf2 </t>
  </si>
  <si>
    <t xml:space="preserve">Vcf3 </t>
  </si>
  <si>
    <t>S cf3</t>
  </si>
  <si>
    <t>Accrus</t>
  </si>
  <si>
    <t>Stock MLT ref</t>
  </si>
  <si>
    <t>Accroissement accrus 1M3/ha/an</t>
  </si>
  <si>
    <t xml:space="preserve">Age </t>
  </si>
  <si>
    <t>Volume (m3)</t>
  </si>
  <si>
    <t>S (TCO2)</t>
  </si>
  <si>
    <t>METHODE VERRA</t>
  </si>
  <si>
    <t xml:space="preserve">Stock moyen long terme projet </t>
  </si>
  <si>
    <t>Stock moyen long terme ref</t>
  </si>
  <si>
    <t>STMLT (VERRA)</t>
  </si>
  <si>
    <t>Supérieur à la différence de stock à 30 ans, cette valeur ne sera donc pas retenue pour la quantification carbone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</si>
</sst>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0.0%"/>
    <numFmt numFmtId="166" formatCode="_-* #,##0\ &quot;€&quot;_-;\-* #,##0\ &quot;€&quot;_-;_-* &quot;-&quot;??\ &quot;€&quot;_-;_-@_-"/>
    <numFmt numFmtId="167" formatCode="0.000"/>
    <numFmt numFmtId="168" formatCode="0.0"/>
    <numFmt numFmtId="169" formatCode="_-* #,##0_-;\-* #,##0_-;_-* &quot;-&quot;??_-;_-@_-"/>
    <numFmt numFmtId="170" formatCode="_-* #,##0&quot; M3&quot;;\-* #,##0&quot; M3&quot;;_-* &quot;-&quot;??_-;_-@_-"/>
    <numFmt numFmtId="171" formatCode="#,##0\ &quot;€&quot;;\(#,##0\)\ &quot;€&quot;"/>
    <numFmt numFmtId="172" formatCode="#,##0.0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9" tint="0.59999389629810485"/>
      <name val="Arial Narrow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 tint="0.59999389629810485"/>
      <name val="Arial Narrow"/>
      <family val="2"/>
    </font>
    <font>
      <sz val="11"/>
      <color theme="5" tint="0.59999389629810485"/>
      <name val="Arial Narrow"/>
      <family val="2"/>
    </font>
    <font>
      <b/>
      <sz val="11"/>
      <color theme="1"/>
      <name val="Calibri"/>
      <family val="2"/>
    </font>
    <font>
      <b/>
      <i/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1"/>
      <color theme="9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i/>
      <sz val="11"/>
      <color theme="2" tint="-0.74999237037263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mbria"/>
      <family val="1"/>
    </font>
    <font>
      <sz val="12"/>
      <color theme="0"/>
      <name val="Arial"/>
      <family val="2"/>
    </font>
    <font>
      <b/>
      <sz val="14"/>
      <color theme="1" tint="0.499984740745262"/>
      <name val="Arial Narrow"/>
      <family val="2"/>
    </font>
    <font>
      <b/>
      <sz val="14"/>
      <color theme="9" tint="0.59999389629810485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theme="5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CF7F4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/>
      <bottom style="thin">
        <color theme="5" tint="0.39997558519241921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/>
      <bottom style="thin">
        <color theme="5" tint="0.39997558519241921"/>
      </bottom>
      <diagonal/>
    </border>
    <border>
      <left style="thin">
        <color theme="5" tint="0.3999755851924192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0">
    <xf numFmtId="0" fontId="0" fillId="0" borderId="0" xfId="0"/>
    <xf numFmtId="9" fontId="0" fillId="0" borderId="0" xfId="1" applyFont="1"/>
    <xf numFmtId="0" fontId="3" fillId="0" borderId="0" xfId="0" applyFont="1"/>
    <xf numFmtId="0" fontId="6" fillId="0" borderId="0" xfId="0" applyFont="1" applyAlignment="1">
      <alignment horizontal="center"/>
    </xf>
    <xf numFmtId="6" fontId="0" fillId="0" borderId="0" xfId="0" applyNumberFormat="1" applyFill="1"/>
    <xf numFmtId="0" fontId="7" fillId="0" borderId="0" xfId="0" applyFont="1" applyAlignment="1">
      <alignment horizontal="left"/>
    </xf>
    <xf numFmtId="165" fontId="7" fillId="0" borderId="0" xfId="1" applyNumberFormat="1" applyFont="1" applyAlignment="1">
      <alignment horizontal="left"/>
    </xf>
    <xf numFmtId="0" fontId="0" fillId="4" borderId="1" xfId="0" applyFont="1" applyFill="1" applyBorder="1"/>
    <xf numFmtId="0" fontId="0" fillId="0" borderId="1" xfId="0" applyFont="1" applyBorder="1"/>
    <xf numFmtId="0" fontId="6" fillId="2" borderId="0" xfId="0" applyFont="1" applyFill="1"/>
    <xf numFmtId="0" fontId="8" fillId="0" borderId="0" xfId="0" applyFont="1"/>
    <xf numFmtId="0" fontId="8" fillId="0" borderId="0" xfId="0" applyFont="1" applyFill="1"/>
    <xf numFmtId="1" fontId="0" fillId="0" borderId="0" xfId="0" applyNumberFormat="1"/>
    <xf numFmtId="1" fontId="0" fillId="4" borderId="1" xfId="0" applyNumberFormat="1" applyFont="1" applyFill="1" applyBorder="1"/>
    <xf numFmtId="1" fontId="0" fillId="0" borderId="1" xfId="0" applyNumberFormat="1" applyFont="1" applyBorder="1"/>
    <xf numFmtId="1" fontId="6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6" fontId="0" fillId="0" borderId="0" xfId="0" applyNumberFormat="1"/>
    <xf numFmtId="0" fontId="7" fillId="0" borderId="0" xfId="0" applyFont="1"/>
    <xf numFmtId="0" fontId="0" fillId="0" borderId="2" xfId="0" applyBorder="1"/>
    <xf numFmtId="0" fontId="0" fillId="0" borderId="0" xfId="0" applyBorder="1"/>
    <xf numFmtId="1" fontId="0" fillId="0" borderId="0" xfId="0" applyNumberFormat="1" applyBorder="1"/>
    <xf numFmtId="0" fontId="0" fillId="0" borderId="0" xfId="0" applyFill="1"/>
    <xf numFmtId="0" fontId="10" fillId="0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0" borderId="0" xfId="0" applyFont="1"/>
    <xf numFmtId="0" fontId="9" fillId="3" borderId="0" xfId="0" applyFont="1" applyFill="1" applyAlignment="1"/>
    <xf numFmtId="0" fontId="9" fillId="0" borderId="0" xfId="0" applyFont="1" applyFill="1" applyAlignment="1"/>
    <xf numFmtId="0" fontId="4" fillId="0" borderId="0" xfId="0" applyFont="1" applyFill="1" applyAlignment="1">
      <alignment horizontal="left"/>
    </xf>
    <xf numFmtId="0" fontId="12" fillId="0" borderId="0" xfId="0" applyFont="1"/>
    <xf numFmtId="0" fontId="6" fillId="0" borderId="0" xfId="0" applyFont="1" applyFill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/>
    <xf numFmtId="0" fontId="12" fillId="0" borderId="0" xfId="0" applyFont="1" applyFill="1"/>
    <xf numFmtId="44" fontId="12" fillId="0" borderId="0" xfId="2" applyNumberFormat="1" applyFont="1" applyFill="1"/>
    <xf numFmtId="0" fontId="9" fillId="0" borderId="0" xfId="0" applyFont="1" applyFill="1" applyAlignment="1">
      <alignment horizontal="left"/>
    </xf>
    <xf numFmtId="0" fontId="0" fillId="0" borderId="0" xfId="0" applyFill="1" applyBorder="1"/>
    <xf numFmtId="0" fontId="13" fillId="7" borderId="4" xfId="0" applyFont="1" applyFill="1" applyBorder="1"/>
    <xf numFmtId="0" fontId="13" fillId="7" borderId="5" xfId="0" applyFont="1" applyFill="1" applyBorder="1"/>
    <xf numFmtId="0" fontId="13" fillId="7" borderId="6" xfId="0" applyFont="1" applyFill="1" applyBorder="1"/>
    <xf numFmtId="0" fontId="0" fillId="8" borderId="4" xfId="0" applyFont="1" applyFill="1" applyBorder="1"/>
    <xf numFmtId="0" fontId="0" fillId="0" borderId="4" xfId="0" applyFont="1" applyBorder="1"/>
    <xf numFmtId="0" fontId="0" fillId="0" borderId="6" xfId="0" applyFont="1" applyBorder="1"/>
    <xf numFmtId="167" fontId="0" fillId="4" borderId="1" xfId="0" applyNumberFormat="1" applyFont="1" applyFill="1" applyBorder="1"/>
    <xf numFmtId="0" fontId="0" fillId="0" borderId="0" xfId="0" applyFont="1"/>
    <xf numFmtId="1" fontId="8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14" fillId="0" borderId="0" xfId="0" applyFont="1" applyFill="1" applyAlignment="1">
      <alignment horizontal="left"/>
    </xf>
    <xf numFmtId="0" fontId="0" fillId="0" borderId="2" xfId="0" applyFill="1" applyBorder="1"/>
    <xf numFmtId="0" fontId="10" fillId="0" borderId="0" xfId="0" applyFont="1" applyFill="1" applyAlignment="1"/>
    <xf numFmtId="0" fontId="15" fillId="2" borderId="0" xfId="0" applyFont="1" applyFill="1"/>
    <xf numFmtId="0" fontId="6" fillId="4" borderId="1" xfId="0" applyFont="1" applyFill="1" applyBorder="1"/>
    <xf numFmtId="1" fontId="6" fillId="4" borderId="1" xfId="0" applyNumberFormat="1" applyFont="1" applyFill="1" applyBorder="1"/>
    <xf numFmtId="0" fontId="16" fillId="0" borderId="0" xfId="0" applyFont="1" applyFill="1"/>
    <xf numFmtId="0" fontId="0" fillId="0" borderId="0" xfId="0" applyNumberFormat="1"/>
    <xf numFmtId="0" fontId="0" fillId="0" borderId="0" xfId="0" applyAlignment="1">
      <alignment horizontal="left"/>
    </xf>
    <xf numFmtId="0" fontId="17" fillId="9" borderId="0" xfId="0" applyFont="1" applyFill="1"/>
    <xf numFmtId="0" fontId="18" fillId="9" borderId="0" xfId="0" applyFont="1" applyFill="1" applyAlignment="1"/>
    <xf numFmtId="0" fontId="0" fillId="3" borderId="0" xfId="0" applyFill="1"/>
    <xf numFmtId="1" fontId="0" fillId="8" borderId="4" xfId="0" applyNumberFormat="1" applyFont="1" applyFill="1" applyBorder="1"/>
    <xf numFmtId="1" fontId="0" fillId="0" borderId="4" xfId="0" applyNumberFormat="1" applyFont="1" applyBorder="1"/>
    <xf numFmtId="44" fontId="0" fillId="0" borderId="0" xfId="2" applyFont="1" applyBorder="1"/>
    <xf numFmtId="44" fontId="0" fillId="0" borderId="0" xfId="0" applyNumberFormat="1" applyBorder="1"/>
    <xf numFmtId="0" fontId="2" fillId="0" borderId="0" xfId="0" applyFont="1" applyBorder="1"/>
    <xf numFmtId="0" fontId="4" fillId="2" borderId="0" xfId="0" applyFont="1" applyFill="1" applyAlignment="1">
      <alignment horizontal="left"/>
    </xf>
    <xf numFmtId="0" fontId="18" fillId="9" borderId="0" xfId="0" applyFont="1" applyFill="1" applyAlignment="1">
      <alignment horizontal="right"/>
    </xf>
    <xf numFmtId="0" fontId="8" fillId="6" borderId="0" xfId="0" applyFont="1" applyFill="1"/>
    <xf numFmtId="2" fontId="20" fillId="6" borderId="0" xfId="0" applyNumberFormat="1" applyFont="1" applyFill="1" applyBorder="1"/>
    <xf numFmtId="0" fontId="0" fillId="0" borderId="0" xfId="0" applyFill="1" applyBorder="1" applyAlignment="1">
      <alignment horizontal="center"/>
    </xf>
    <xf numFmtId="169" fontId="0" fillId="0" borderId="0" xfId="3" applyNumberFormat="1" applyFont="1"/>
    <xf numFmtId="0" fontId="8" fillId="11" borderId="2" xfId="0" applyFont="1" applyFill="1" applyBorder="1"/>
    <xf numFmtId="0" fontId="0" fillId="11" borderId="2" xfId="0" applyNumberFormat="1" applyFill="1" applyBorder="1"/>
    <xf numFmtId="170" fontId="0" fillId="8" borderId="6" xfId="0" applyNumberFormat="1" applyFill="1" applyBorder="1"/>
    <xf numFmtId="170" fontId="0" fillId="0" borderId="6" xfId="0" applyNumberFormat="1" applyBorder="1"/>
    <xf numFmtId="0" fontId="0" fillId="0" borderId="0" xfId="0" applyAlignment="1">
      <alignment horizontal="right"/>
    </xf>
    <xf numFmtId="171" fontId="0" fillId="8" borderId="6" xfId="2" applyNumberFormat="1" applyFont="1" applyFill="1" applyBorder="1"/>
    <xf numFmtId="171" fontId="0" fillId="0" borderId="6" xfId="2" applyNumberFormat="1" applyFont="1" applyBorder="1"/>
    <xf numFmtId="166" fontId="0" fillId="0" borderId="0" xfId="2" applyNumberFormat="1" applyFont="1"/>
    <xf numFmtId="166" fontId="0" fillId="8" borderId="4" xfId="2" applyNumberFormat="1" applyFont="1" applyFill="1" applyBorder="1"/>
    <xf numFmtId="166" fontId="0" fillId="8" borderId="5" xfId="2" applyNumberFormat="1" applyFont="1" applyFill="1" applyBorder="1"/>
    <xf numFmtId="166" fontId="0" fillId="8" borderId="6" xfId="2" applyNumberFormat="1" applyFont="1" applyFill="1" applyBorder="1"/>
    <xf numFmtId="166" fontId="0" fillId="0" borderId="4" xfId="2" applyNumberFormat="1" applyFont="1" applyBorder="1"/>
    <xf numFmtId="166" fontId="0" fillId="0" borderId="5" xfId="2" applyNumberFormat="1" applyFont="1" applyBorder="1"/>
    <xf numFmtId="166" fontId="0" fillId="0" borderId="6" xfId="2" applyNumberFormat="1" applyFont="1" applyBorder="1"/>
    <xf numFmtId="0" fontId="0" fillId="11" borderId="2" xfId="0" applyFill="1" applyBorder="1"/>
    <xf numFmtId="171" fontId="0" fillId="0" borderId="2" xfId="2" applyNumberFormat="1" applyFont="1" applyBorder="1"/>
    <xf numFmtId="0" fontId="0" fillId="9" borderId="2" xfId="0" applyFill="1" applyBorder="1"/>
    <xf numFmtId="0" fontId="0" fillId="9" borderId="2" xfId="0" applyFill="1" applyBorder="1" applyAlignment="1">
      <alignment horizontal="right"/>
    </xf>
    <xf numFmtId="0" fontId="21" fillId="10" borderId="4" xfId="0" applyFont="1" applyFill="1" applyBorder="1"/>
    <xf numFmtId="0" fontId="22" fillId="10" borderId="12" xfId="0" applyFont="1" applyFill="1" applyBorder="1"/>
    <xf numFmtId="0" fontId="22" fillId="5" borderId="12" xfId="0" applyFont="1" applyFill="1" applyBorder="1"/>
    <xf numFmtId="0" fontId="22" fillId="5" borderId="13" xfId="0" applyFont="1" applyFill="1" applyBorder="1"/>
    <xf numFmtId="0" fontId="22" fillId="0" borderId="0" xfId="0" applyFont="1"/>
    <xf numFmtId="0" fontId="21" fillId="5" borderId="4" xfId="0" applyFont="1" applyFill="1" applyBorder="1"/>
    <xf numFmtId="0" fontId="21" fillId="5" borderId="6" xfId="0" applyFont="1" applyFill="1" applyBorder="1"/>
    <xf numFmtId="171" fontId="0" fillId="11" borderId="2" xfId="0" applyNumberFormat="1" applyFill="1" applyBorder="1"/>
    <xf numFmtId="0" fontId="13" fillId="12" borderId="0" xfId="0" applyFont="1" applyFill="1"/>
    <xf numFmtId="0" fontId="8" fillId="0" borderId="0" xfId="0" applyFont="1" applyFill="1" applyAlignment="1">
      <alignment horizontal="center"/>
    </xf>
    <xf numFmtId="0" fontId="0" fillId="13" borderId="2" xfId="0" applyFill="1" applyBorder="1"/>
    <xf numFmtId="0" fontId="23" fillId="0" borderId="0" xfId="0" applyFont="1"/>
    <xf numFmtId="170" fontId="0" fillId="0" borderId="6" xfId="0" applyNumberFormat="1" applyFill="1" applyBorder="1"/>
    <xf numFmtId="0" fontId="0" fillId="0" borderId="0" xfId="0" applyFont="1" applyFill="1" applyBorder="1"/>
    <xf numFmtId="171" fontId="0" fillId="0" borderId="6" xfId="2" applyNumberFormat="1" applyFont="1" applyFill="1" applyBorder="1"/>
    <xf numFmtId="0" fontId="6" fillId="0" borderId="0" xfId="0" applyFont="1" applyFill="1" applyBorder="1"/>
    <xf numFmtId="0" fontId="0" fillId="0" borderId="0" xfId="0" applyFont="1" applyBorder="1" applyAlignment="1"/>
    <xf numFmtId="171" fontId="0" fillId="0" borderId="0" xfId="2" applyNumberFormat="1" applyFont="1" applyFill="1" applyBorder="1"/>
    <xf numFmtId="167" fontId="0" fillId="0" borderId="0" xfId="0" applyNumberFormat="1" applyFont="1" applyFill="1" applyBorder="1"/>
    <xf numFmtId="1" fontId="24" fillId="0" borderId="0" xfId="0" applyNumberFormat="1" applyFont="1"/>
    <xf numFmtId="0" fontId="0" fillId="0" borderId="5" xfId="0" applyFont="1" applyBorder="1"/>
    <xf numFmtId="0" fontId="0" fillId="0" borderId="18" xfId="0" applyFont="1" applyFill="1" applyBorder="1"/>
    <xf numFmtId="0" fontId="0" fillId="8" borderId="0" xfId="0" applyFont="1" applyFill="1" applyBorder="1"/>
    <xf numFmtId="170" fontId="0" fillId="8" borderId="0" xfId="0" applyNumberFormat="1" applyFill="1" applyBorder="1"/>
    <xf numFmtId="171" fontId="0" fillId="8" borderId="0" xfId="2" applyNumberFormat="1" applyFont="1" applyFill="1" applyBorder="1"/>
    <xf numFmtId="1" fontId="0" fillId="0" borderId="0" xfId="0" applyNumberFormat="1" applyAlignment="1">
      <alignment horizontal="center" vertical="center"/>
    </xf>
    <xf numFmtId="0" fontId="14" fillId="2" borderId="7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9" fontId="21" fillId="14" borderId="1" xfId="1" applyFont="1" applyFill="1" applyBorder="1"/>
    <xf numFmtId="9" fontId="21" fillId="11" borderId="1" xfId="1" applyFont="1" applyFill="1" applyBorder="1"/>
    <xf numFmtId="1" fontId="0" fillId="0" borderId="0" xfId="2" applyNumberFormat="1" applyFont="1"/>
    <xf numFmtId="0" fontId="1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6" fontId="2" fillId="0" borderId="0" xfId="0" applyNumberFormat="1" applyFont="1" applyFill="1" applyBorder="1"/>
    <xf numFmtId="171" fontId="0" fillId="0" borderId="0" xfId="0" applyNumberFormat="1" applyFill="1" applyBorder="1" applyAlignment="1">
      <alignment horizontal="right"/>
    </xf>
    <xf numFmtId="171" fontId="0" fillId="0" borderId="0" xfId="0" applyNumberFormat="1" applyFont="1" applyFill="1" applyBorder="1" applyAlignment="1">
      <alignment horizontal="right"/>
    </xf>
    <xf numFmtId="171" fontId="0" fillId="0" borderId="0" xfId="0" applyNumberFormat="1" applyFont="1" applyFill="1" applyBorder="1" applyAlignment="1">
      <alignment horizontal="right" wrapText="1"/>
    </xf>
    <xf numFmtId="171" fontId="0" fillId="0" borderId="2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2" xfId="0" applyFont="1" applyFill="1" applyBorder="1"/>
    <xf numFmtId="172" fontId="0" fillId="0" borderId="2" xfId="0" applyNumberFormat="1" applyBorder="1"/>
    <xf numFmtId="1" fontId="0" fillId="0" borderId="2" xfId="0" applyNumberFormat="1" applyFont="1" applyFill="1" applyBorder="1" applyAlignment="1">
      <alignment horizontal="right"/>
    </xf>
    <xf numFmtId="172" fontId="0" fillId="11" borderId="2" xfId="0" applyNumberForma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165" fontId="0" fillId="0" borderId="2" xfId="1" applyNumberFormat="1" applyFont="1" applyBorder="1"/>
    <xf numFmtId="168" fontId="0" fillId="0" borderId="0" xfId="0" applyNumberFormat="1" applyFill="1"/>
    <xf numFmtId="0" fontId="8" fillId="0" borderId="0" xfId="0" applyFont="1" applyFill="1" applyAlignment="1"/>
    <xf numFmtId="171" fontId="7" fillId="0" borderId="0" xfId="0" applyNumberFormat="1" applyFont="1" applyFill="1" applyBorder="1" applyAlignment="1">
      <alignment vertical="top"/>
    </xf>
    <xf numFmtId="171" fontId="7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/>
    <xf numFmtId="0" fontId="0" fillId="11" borderId="2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172" fontId="0" fillId="0" borderId="0" xfId="0" applyNumberFormat="1" applyFill="1" applyBorder="1"/>
    <xf numFmtId="172" fontId="5" fillId="0" borderId="0" xfId="0" applyNumberFormat="1" applyFont="1" applyFill="1" applyBorder="1" applyAlignment="1"/>
    <xf numFmtId="0" fontId="3" fillId="0" borderId="0" xfId="0" applyFont="1" applyFill="1" applyBorder="1" applyAlignment="1"/>
    <xf numFmtId="172" fontId="3" fillId="0" borderId="0" xfId="0" applyNumberFormat="1" applyFont="1" applyFill="1" applyBorder="1" applyAlignment="1"/>
    <xf numFmtId="0" fontId="0" fillId="16" borderId="0" xfId="0" applyFill="1"/>
    <xf numFmtId="1" fontId="0" fillId="16" borderId="2" xfId="0" applyNumberFormat="1" applyFill="1" applyBorder="1"/>
    <xf numFmtId="0" fontId="8" fillId="0" borderId="2" xfId="0" applyFont="1" applyBorder="1"/>
    <xf numFmtId="1" fontId="0" fillId="0" borderId="2" xfId="0" applyNumberFormat="1" applyBorder="1"/>
    <xf numFmtId="0" fontId="0" fillId="0" borderId="7" xfId="0" applyBorder="1"/>
    <xf numFmtId="0" fontId="0" fillId="0" borderId="21" xfId="0" applyBorder="1"/>
    <xf numFmtId="0" fontId="0" fillId="0" borderId="22" xfId="0" applyBorder="1"/>
    <xf numFmtId="1" fontId="0" fillId="0" borderId="23" xfId="0" applyNumberFormat="1" applyBorder="1" applyAlignment="1">
      <alignment horizontal="left" indent="3"/>
    </xf>
    <xf numFmtId="1" fontId="0" fillId="0" borderId="24" xfId="0" applyNumberFormat="1" applyBorder="1" applyAlignment="1">
      <alignment horizontal="left" indent="3"/>
    </xf>
    <xf numFmtId="1" fontId="0" fillId="0" borderId="25" xfId="0" applyNumberFormat="1" applyBorder="1" applyAlignment="1">
      <alignment horizontal="left" indent="3"/>
    </xf>
    <xf numFmtId="0" fontId="0" fillId="8" borderId="6" xfId="0" applyFont="1" applyFill="1" applyBorder="1"/>
    <xf numFmtId="1" fontId="0" fillId="0" borderId="2" xfId="0" applyNumberFormat="1" applyFill="1" applyBorder="1"/>
    <xf numFmtId="0" fontId="0" fillId="17" borderId="0" xfId="0" applyFill="1"/>
    <xf numFmtId="0" fontId="0" fillId="18" borderId="0" xfId="0" applyFill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1" fontId="0" fillId="18" borderId="2" xfId="0" applyNumberFormat="1" applyFill="1" applyBorder="1"/>
    <xf numFmtId="1" fontId="0" fillId="0" borderId="2" xfId="0" applyNumberFormat="1" applyBorder="1" applyAlignment="1">
      <alignment horizontal="left" indent="3"/>
    </xf>
    <xf numFmtId="1" fontId="0" fillId="0" borderId="0" xfId="0" applyNumberFormat="1" applyFill="1" applyBorder="1" applyAlignment="1">
      <alignment horizontal="left" indent="3"/>
    </xf>
    <xf numFmtId="0" fontId="7" fillId="0" borderId="0" xfId="0" applyFont="1" applyFill="1" applyBorder="1"/>
    <xf numFmtId="0" fontId="9" fillId="3" borderId="0" xfId="0" applyFont="1" applyFill="1" applyAlignment="1">
      <alignment horizontal="left"/>
    </xf>
    <xf numFmtId="0" fontId="0" fillId="4" borderId="14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4" borderId="16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0" fillId="15" borderId="0" xfId="0" applyFill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3" borderId="0" xfId="0" applyFont="1" applyFill="1" applyAlignment="1">
      <alignment horizontal="left"/>
    </xf>
    <xf numFmtId="0" fontId="19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5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">
    <cellStyle name="Milliers" xfId="3" builtinId="3"/>
    <cellStyle name="Monétaire" xfId="2" builtinId="4"/>
    <cellStyle name="Normal" xfId="0" builtinId="0"/>
    <cellStyle name="Pourcentage" xfId="1" builtinId="5"/>
  </cellStyles>
  <dxfs count="27"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border outline="0">
        <top style="thin">
          <color theme="5" tint="0.39997558519241921"/>
        </top>
      </border>
    </dxf>
    <dxf>
      <numFmt numFmtId="166" formatCode="_-* #,##0\ &quot;€&quot;_-;\-* #,##0\ &quot;€&quot;_-;_-* &quot;-&quot;??\ &quot;€&quot;_-;_-@_-"/>
    </dxf>
    <dxf>
      <border outline="0">
        <bottom style="thin">
          <color theme="5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5" tint="0.39997558519241921"/>
        </patternFill>
      </fill>
    </dxf>
    <dxf>
      <numFmt numFmtId="10" formatCode="#,##0\ &quot;€&quot;;[Red]\-#,##0\ &quot;€&quot;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 tint="0.39997558519241921"/>
        </left>
        <right/>
        <top style="thin">
          <color theme="5" tint="0.39997558519241921"/>
        </top>
        <bottom style="thin">
          <color theme="5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7CF7F4"/>
      <color rgb="FF05AB15"/>
      <color rgb="FFD2E37D"/>
      <color rgb="FFCCCC00"/>
      <color rgb="FF5F9830"/>
      <color rgb="FFBAE18B"/>
      <color rgb="FFDDEFA5"/>
      <color rgb="FFFFCA33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VERRA!$B$17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27151814671202351"/>
                  <c:y val="0.414868748597741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VERRA!$A$18:$A$28</c:f>
              <c:numCache>
                <c:formatCode>General</c:formatCode>
                <c:ptCount val="11"/>
                <c:pt idx="0">
                  <c:v>17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VERRA!$B$18:$B$28</c:f>
              <c:numCache>
                <c:formatCode>0</c:formatCode>
                <c:ptCount val="11"/>
                <c:pt idx="0">
                  <c:v>103</c:v>
                </c:pt>
                <c:pt idx="1">
                  <c:v>122</c:v>
                </c:pt>
                <c:pt idx="2">
                  <c:v>168</c:v>
                </c:pt>
                <c:pt idx="3">
                  <c:v>202</c:v>
                </c:pt>
                <c:pt idx="4">
                  <c:v>244</c:v>
                </c:pt>
                <c:pt idx="5">
                  <c:v>284</c:v>
                </c:pt>
                <c:pt idx="6">
                  <c:v>327</c:v>
                </c:pt>
                <c:pt idx="7">
                  <c:v>367</c:v>
                </c:pt>
                <c:pt idx="8">
                  <c:v>415</c:v>
                </c:pt>
                <c:pt idx="9">
                  <c:v>468</c:v>
                </c:pt>
                <c:pt idx="10">
                  <c:v>527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VERRA!$E$17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753362117499663"/>
                  <c:y val="0.510673903211216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VERRA!$D$18:$D$28</c:f>
              <c:numCache>
                <c:formatCode>0</c:formatCode>
                <c:ptCount val="11"/>
                <c:pt idx="0">
                  <c:v>22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58</c:v>
                </c:pt>
                <c:pt idx="8">
                  <c:v>66</c:v>
                </c:pt>
                <c:pt idx="9">
                  <c:v>74</c:v>
                </c:pt>
                <c:pt idx="10">
                  <c:v>82</c:v>
                </c:pt>
              </c:numCache>
            </c:numRef>
          </c:xVal>
          <c:yVal>
            <c:numRef>
              <c:f>VERRA!$E$18:$E$28</c:f>
              <c:numCache>
                <c:formatCode>0</c:formatCode>
                <c:ptCount val="11"/>
                <c:pt idx="0">
                  <c:v>107</c:v>
                </c:pt>
                <c:pt idx="1">
                  <c:v>127</c:v>
                </c:pt>
                <c:pt idx="2">
                  <c:v>160</c:v>
                </c:pt>
                <c:pt idx="3">
                  <c:v>192</c:v>
                </c:pt>
                <c:pt idx="4">
                  <c:v>223</c:v>
                </c:pt>
                <c:pt idx="5">
                  <c:v>265</c:v>
                </c:pt>
                <c:pt idx="6">
                  <c:v>299</c:v>
                </c:pt>
                <c:pt idx="7">
                  <c:v>362</c:v>
                </c:pt>
                <c:pt idx="8">
                  <c:v>430</c:v>
                </c:pt>
                <c:pt idx="9">
                  <c:v>496</c:v>
                </c:pt>
                <c:pt idx="10">
                  <c:v>541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VERRA!$H$17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20578656897495065"/>
                  <c:y val="0.43455307570949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VERRA!$G$18:$G$25</c:f>
              <c:numCache>
                <c:formatCode>0</c:formatCode>
                <c:ptCount val="8"/>
                <c:pt idx="0">
                  <c:v>27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VERRA!$H$18:$H$25</c:f>
              <c:numCache>
                <c:formatCode>0</c:formatCode>
                <c:ptCount val="8"/>
                <c:pt idx="0">
                  <c:v>103</c:v>
                </c:pt>
                <c:pt idx="1">
                  <c:v>119</c:v>
                </c:pt>
                <c:pt idx="2">
                  <c:v>146</c:v>
                </c:pt>
                <c:pt idx="3">
                  <c:v>174</c:v>
                </c:pt>
                <c:pt idx="4">
                  <c:v>236</c:v>
                </c:pt>
                <c:pt idx="5">
                  <c:v>305</c:v>
                </c:pt>
                <c:pt idx="6">
                  <c:v>370</c:v>
                </c:pt>
                <c:pt idx="7">
                  <c:v>415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5600624"/>
        <c:axId val="-125599536"/>
      </c:scatterChart>
      <c:valAx>
        <c:axId val="-125600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599536"/>
        <c:crosses val="autoZero"/>
        <c:crossBetween val="midCat"/>
      </c:valAx>
      <c:valAx>
        <c:axId val="-12559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5600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77684975933899503"/>
          <c:y val="0.4023953247363754"/>
          <c:w val="0.20804450047973611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A$59" lockText="1" noThreeD="1"/>
</file>

<file path=xl/ctrlProps/ctrlProp10.xml><?xml version="1.0" encoding="utf-8"?>
<formControlPr xmlns="http://schemas.microsoft.com/office/spreadsheetml/2009/9/main" objectType="CheckBox" checked="Checked" fmlaLink="$D$13" lockText="1" noThreeD="1"/>
</file>

<file path=xl/ctrlProps/ctrlProp11.xml><?xml version="1.0" encoding="utf-8"?>
<formControlPr xmlns="http://schemas.microsoft.com/office/spreadsheetml/2009/9/main" objectType="CheckBox" checked="Checked" fmlaLink="$D$14" lockText="1" noThreeD="1"/>
</file>

<file path=xl/ctrlProps/ctrlProp12.xml><?xml version="1.0" encoding="utf-8"?>
<formControlPr xmlns="http://schemas.microsoft.com/office/spreadsheetml/2009/9/main" objectType="CheckBox" checked="Checked" fmlaLink="$D$15" lockText="1" noThreeD="1"/>
</file>

<file path=xl/ctrlProps/ctrlProp13.xml><?xml version="1.0" encoding="utf-8"?>
<formControlPr xmlns="http://schemas.microsoft.com/office/spreadsheetml/2009/9/main" objectType="CheckBox" checked="Checked" fmlaLink="$D$16" lockText="1" noThreeD="1"/>
</file>

<file path=xl/ctrlProps/ctrlProp14.xml><?xml version="1.0" encoding="utf-8"?>
<formControlPr xmlns="http://schemas.microsoft.com/office/spreadsheetml/2009/9/main" objectType="CheckBox" checked="Checked" fmlaLink="$D$17" lockText="1" noThreeD="1"/>
</file>

<file path=xl/ctrlProps/ctrlProp15.xml><?xml version="1.0" encoding="utf-8"?>
<formControlPr xmlns="http://schemas.microsoft.com/office/spreadsheetml/2009/9/main" objectType="CheckBox" checked="Checked" fmlaLink="$D$18" lockText="1" noThreeD="1"/>
</file>

<file path=xl/ctrlProps/ctrlProp16.xml><?xml version="1.0" encoding="utf-8"?>
<formControlPr xmlns="http://schemas.microsoft.com/office/spreadsheetml/2009/9/main" objectType="CheckBox" checked="Checked" fmlaLink="#REF!" lockText="1" noThreeD="1"/>
</file>

<file path=xl/ctrlProps/ctrlProp2.xml><?xml version="1.0" encoding="utf-8"?>
<formControlPr xmlns="http://schemas.microsoft.com/office/spreadsheetml/2009/9/main" objectType="CheckBox" fmlaLink="$A$60" lockText="1" noThreeD="1"/>
</file>

<file path=xl/ctrlProps/ctrlProp3.xml><?xml version="1.0" encoding="utf-8"?>
<formControlPr xmlns="http://schemas.microsoft.com/office/spreadsheetml/2009/9/main" objectType="CheckBox" fmlaLink="$A$61" lockText="1" noThreeD="1"/>
</file>

<file path=xl/ctrlProps/ctrlProp4.xml><?xml version="1.0" encoding="utf-8"?>
<formControlPr xmlns="http://schemas.microsoft.com/office/spreadsheetml/2009/9/main" objectType="CheckBox" checked="Checked" fmlaLink="$A$62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fmlaLink="#REF!" lockText="1" noThreeD="1"/>
</file>

<file path=xl/ctrlProps/ctrlProp8.xml><?xml version="1.0" encoding="utf-8"?>
<formControlPr xmlns="http://schemas.microsoft.com/office/spreadsheetml/2009/9/main" objectType="CheckBox" checked="Checked" fmlaLink="$D$11" lockText="1" noThreeD="1"/>
</file>

<file path=xl/ctrlProps/ctrlProp9.xml><?xml version="1.0" encoding="utf-8"?>
<formControlPr xmlns="http://schemas.microsoft.com/office/spreadsheetml/2009/9/main" objectType="CheckBox" checked="Checked" fmlaLink="$D$12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678180</xdr:colOff>
          <xdr:row>3</xdr:row>
          <xdr:rowOff>22860</xdr:rowOff>
        </xdr:from>
        <xdr:to>
          <xdr:col>0</xdr:col>
          <xdr:colOff>967740</xdr:colOff>
          <xdr:row>4</xdr:row>
          <xdr:rowOff>7620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="" xmlns:a16="http://schemas.microsoft.com/office/drawing/2014/main" id="{00000000-0008-0000-02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678180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="" xmlns:a16="http://schemas.microsoft.com/office/drawing/2014/main" id="{00000000-0008-0000-02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678180</xdr:colOff>
          <xdr:row>5</xdr:row>
          <xdr:rowOff>7620</xdr:rowOff>
        </xdr:from>
        <xdr:to>
          <xdr:col>0</xdr:col>
          <xdr:colOff>944880</xdr:colOff>
          <xdr:row>5</xdr:row>
          <xdr:rowOff>182880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="" xmlns:a16="http://schemas.microsoft.com/office/drawing/2014/main" id="{00000000-0008-0000-02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678180</xdr:colOff>
          <xdr:row>5</xdr:row>
          <xdr:rowOff>190500</xdr:rowOff>
        </xdr:from>
        <xdr:to>
          <xdr:col>0</xdr:col>
          <xdr:colOff>944880</xdr:colOff>
          <xdr:row>6</xdr:row>
          <xdr:rowOff>152400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="" xmlns:a16="http://schemas.microsoft.com/office/drawing/2014/main" id="{00000000-0008-0000-02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243840</xdr:colOff>
      <xdr:row>33</xdr:row>
      <xdr:rowOff>30480</xdr:rowOff>
    </xdr:from>
    <xdr:to>
      <xdr:col>6</xdr:col>
      <xdr:colOff>533400</xdr:colOff>
      <xdr:row>48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8240" y="435610"/>
          <a:ext cx="1968500" cy="46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257175</xdr:colOff>
      <xdr:row>14</xdr:row>
      <xdr:rowOff>117475</xdr:rowOff>
    </xdr:from>
    <xdr:to>
      <xdr:col>12</xdr:col>
      <xdr:colOff>644525</xdr:colOff>
      <xdr:row>17</xdr:row>
      <xdr:rowOff>88900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3043555"/>
          <a:ext cx="1972310" cy="520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10</xdr:row>
          <xdr:rowOff>0</xdr:rowOff>
        </xdr:from>
        <xdr:to>
          <xdr:col>1</xdr:col>
          <xdr:colOff>7620</xdr:colOff>
          <xdr:row>11</xdr:row>
          <xdr:rowOff>0</xdr:rowOff>
        </xdr:to>
        <xdr:sp macro="" textlink="">
          <xdr:nvSpPr>
            <xdr:cNvPr id="44033" name="Check Box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="" xmlns:a16="http://schemas.microsoft.com/office/drawing/2014/main" id="{00000000-0008-0000-06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10</xdr:row>
          <xdr:rowOff>0</xdr:rowOff>
        </xdr:from>
        <xdr:to>
          <xdr:col>1</xdr:col>
          <xdr:colOff>7620</xdr:colOff>
          <xdr:row>11</xdr:row>
          <xdr:rowOff>0</xdr:rowOff>
        </xdr:to>
        <xdr:sp macro="" textlink="">
          <xdr:nvSpPr>
            <xdr:cNvPr id="44034" name="Check Box 2" hidden="1">
              <a:extLst>
                <a:ext uri="{63B3BB69-23CF-44E3-9099-C40C66FF867C}">
                  <a14:compatExt spid="_x0000_s44034"/>
                </a:ext>
                <a:ext uri="{FF2B5EF4-FFF2-40B4-BE49-F238E27FC236}">
                  <a16:creationId xmlns="" xmlns:a16="http://schemas.microsoft.com/office/drawing/2014/main" id="{00000000-0008-0000-0600-00000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10</xdr:row>
          <xdr:rowOff>0</xdr:rowOff>
        </xdr:from>
        <xdr:to>
          <xdr:col>1</xdr:col>
          <xdr:colOff>7620</xdr:colOff>
          <xdr:row>11</xdr:row>
          <xdr:rowOff>0</xdr:rowOff>
        </xdr:to>
        <xdr:sp macro="" textlink="">
          <xdr:nvSpPr>
            <xdr:cNvPr id="44035" name="Check Box 3" hidden="1">
              <a:extLst>
                <a:ext uri="{63B3BB69-23CF-44E3-9099-C40C66FF867C}">
                  <a14:compatExt spid="_x0000_s44035"/>
                </a:ext>
                <a:ext uri="{FF2B5EF4-FFF2-40B4-BE49-F238E27FC236}">
                  <a16:creationId xmlns="" xmlns:a16="http://schemas.microsoft.com/office/drawing/2014/main" id="{00000000-0008-0000-0600-00000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10</xdr:row>
          <xdr:rowOff>22860</xdr:rowOff>
        </xdr:from>
        <xdr:to>
          <xdr:col>1</xdr:col>
          <xdr:colOff>7620</xdr:colOff>
          <xdr:row>11</xdr:row>
          <xdr:rowOff>22860</xdr:rowOff>
        </xdr:to>
        <xdr:sp macro="" textlink="">
          <xdr:nvSpPr>
            <xdr:cNvPr id="44036" name="Check Box 4" hidden="1">
              <a:extLst>
                <a:ext uri="{63B3BB69-23CF-44E3-9099-C40C66FF867C}">
                  <a14:compatExt spid="_x0000_s44036"/>
                </a:ext>
                <a:ext uri="{FF2B5EF4-FFF2-40B4-BE49-F238E27FC236}">
                  <a16:creationId xmlns="" xmlns:a16="http://schemas.microsoft.com/office/drawing/2014/main" id="{00000000-0008-0000-0600-000004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11</xdr:row>
          <xdr:rowOff>22860</xdr:rowOff>
        </xdr:from>
        <xdr:to>
          <xdr:col>1</xdr:col>
          <xdr:colOff>7620</xdr:colOff>
          <xdr:row>12</xdr:row>
          <xdr:rowOff>22860</xdr:rowOff>
        </xdr:to>
        <xdr:sp macro="" textlink="">
          <xdr:nvSpPr>
            <xdr:cNvPr id="44037" name="Check Box 5" hidden="1">
              <a:extLst>
                <a:ext uri="{63B3BB69-23CF-44E3-9099-C40C66FF867C}">
                  <a14:compatExt spid="_x0000_s44037"/>
                </a:ext>
                <a:ext uri="{FF2B5EF4-FFF2-40B4-BE49-F238E27FC236}">
                  <a16:creationId xmlns="" xmlns:a16="http://schemas.microsoft.com/office/drawing/2014/main" id="{00000000-0008-0000-0600-000005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12</xdr:row>
          <xdr:rowOff>22860</xdr:rowOff>
        </xdr:from>
        <xdr:to>
          <xdr:col>1</xdr:col>
          <xdr:colOff>7620</xdr:colOff>
          <xdr:row>13</xdr:row>
          <xdr:rowOff>22860</xdr:rowOff>
        </xdr:to>
        <xdr:sp macro="" textlink="">
          <xdr:nvSpPr>
            <xdr:cNvPr id="44038" name="Check Box 6" hidden="1">
              <a:extLst>
                <a:ext uri="{63B3BB69-23CF-44E3-9099-C40C66FF867C}">
                  <a14:compatExt spid="_x0000_s44038"/>
                </a:ext>
                <a:ext uri="{FF2B5EF4-FFF2-40B4-BE49-F238E27FC236}">
                  <a16:creationId xmlns="" xmlns:a16="http://schemas.microsoft.com/office/drawing/2014/main" id="{00000000-0008-0000-0600-000006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13</xdr:row>
          <xdr:rowOff>22860</xdr:rowOff>
        </xdr:from>
        <xdr:to>
          <xdr:col>1</xdr:col>
          <xdr:colOff>7620</xdr:colOff>
          <xdr:row>14</xdr:row>
          <xdr:rowOff>22860</xdr:rowOff>
        </xdr:to>
        <xdr:sp macro="" textlink="">
          <xdr:nvSpPr>
            <xdr:cNvPr id="44039" name="Check Box 7" hidden="1">
              <a:extLst>
                <a:ext uri="{63B3BB69-23CF-44E3-9099-C40C66FF867C}">
                  <a14:compatExt spid="_x0000_s44039"/>
                </a:ext>
                <a:ext uri="{FF2B5EF4-FFF2-40B4-BE49-F238E27FC236}">
                  <a16:creationId xmlns="" xmlns:a16="http://schemas.microsoft.com/office/drawing/2014/main" id="{00000000-0008-0000-0600-000007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14</xdr:row>
          <xdr:rowOff>22860</xdr:rowOff>
        </xdr:from>
        <xdr:to>
          <xdr:col>1</xdr:col>
          <xdr:colOff>7620</xdr:colOff>
          <xdr:row>15</xdr:row>
          <xdr:rowOff>22860</xdr:rowOff>
        </xdr:to>
        <xdr:sp macro="" textlink="">
          <xdr:nvSpPr>
            <xdr:cNvPr id="44040" name="Check Box 8" hidden="1">
              <a:extLst>
                <a:ext uri="{63B3BB69-23CF-44E3-9099-C40C66FF867C}">
                  <a14:compatExt spid="_x0000_s44040"/>
                </a:ext>
                <a:ext uri="{FF2B5EF4-FFF2-40B4-BE49-F238E27FC236}">
                  <a16:creationId xmlns="" xmlns:a16="http://schemas.microsoft.com/office/drawing/2014/main" id="{00000000-0008-0000-0600-000008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15</xdr:row>
          <xdr:rowOff>22860</xdr:rowOff>
        </xdr:from>
        <xdr:to>
          <xdr:col>1</xdr:col>
          <xdr:colOff>7620</xdr:colOff>
          <xdr:row>16</xdr:row>
          <xdr:rowOff>22860</xdr:rowOff>
        </xdr:to>
        <xdr:sp macro="" textlink="">
          <xdr:nvSpPr>
            <xdr:cNvPr id="44041" name="Check Box 9" hidden="1">
              <a:extLst>
                <a:ext uri="{63B3BB69-23CF-44E3-9099-C40C66FF867C}">
                  <a14:compatExt spid="_x0000_s44041"/>
                </a:ext>
                <a:ext uri="{FF2B5EF4-FFF2-40B4-BE49-F238E27FC236}">
                  <a16:creationId xmlns="" xmlns:a16="http://schemas.microsoft.com/office/drawing/2014/main" id="{00000000-0008-0000-0600-000009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16</xdr:row>
          <xdr:rowOff>22860</xdr:rowOff>
        </xdr:from>
        <xdr:to>
          <xdr:col>1</xdr:col>
          <xdr:colOff>7620</xdr:colOff>
          <xdr:row>17</xdr:row>
          <xdr:rowOff>22860</xdr:rowOff>
        </xdr:to>
        <xdr:sp macro="" textlink="">
          <xdr:nvSpPr>
            <xdr:cNvPr id="44042" name="Check Box 10" hidden="1">
              <a:extLst>
                <a:ext uri="{63B3BB69-23CF-44E3-9099-C40C66FF867C}">
                  <a14:compatExt spid="_x0000_s44042"/>
                </a:ext>
                <a:ext uri="{FF2B5EF4-FFF2-40B4-BE49-F238E27FC236}">
                  <a16:creationId xmlns="" xmlns:a16="http://schemas.microsoft.com/office/drawing/2014/main" id="{00000000-0008-0000-0600-00000A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17</xdr:row>
          <xdr:rowOff>22860</xdr:rowOff>
        </xdr:from>
        <xdr:to>
          <xdr:col>1</xdr:col>
          <xdr:colOff>7620</xdr:colOff>
          <xdr:row>18</xdr:row>
          <xdr:rowOff>22860</xdr:rowOff>
        </xdr:to>
        <xdr:sp macro="" textlink="">
          <xdr:nvSpPr>
            <xdr:cNvPr id="44043" name="Check Box 11" hidden="1">
              <a:extLst>
                <a:ext uri="{63B3BB69-23CF-44E3-9099-C40C66FF867C}">
                  <a14:compatExt spid="_x0000_s44043"/>
                </a:ext>
                <a:ext uri="{FF2B5EF4-FFF2-40B4-BE49-F238E27FC236}">
                  <a16:creationId xmlns="" xmlns:a16="http://schemas.microsoft.com/office/drawing/2014/main" id="{00000000-0008-0000-0600-00000B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18</xdr:row>
          <xdr:rowOff>0</xdr:rowOff>
        </xdr:from>
        <xdr:to>
          <xdr:col>1</xdr:col>
          <xdr:colOff>7620</xdr:colOff>
          <xdr:row>19</xdr:row>
          <xdr:rowOff>0</xdr:rowOff>
        </xdr:to>
        <xdr:sp macro="" textlink="">
          <xdr:nvSpPr>
            <xdr:cNvPr id="44044" name="Check Box 12" hidden="1">
              <a:extLst>
                <a:ext uri="{63B3BB69-23CF-44E3-9099-C40C66FF867C}">
                  <a14:compatExt spid="_x0000_s44044"/>
                </a:ext>
                <a:ext uri="{FF2B5EF4-FFF2-40B4-BE49-F238E27FC236}">
                  <a16:creationId xmlns="" xmlns:a16="http://schemas.microsoft.com/office/drawing/2014/main" id="{00000000-0008-0000-0600-00000C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on/Desktop/Google%20Drive/CABINET%20LORNE/2_LABEL%20CARBONE/EcoTree%20-%20Quantification%20Carbone%20-%20Pont%20de%20bu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tockage"/>
      <sheetName val="1-BOISEMENT"/>
      <sheetName val="1-REA"/>
      <sheetName val="1-VAN"/>
      <sheetName val="2-RECONSTITUTION"/>
      <sheetName val="2-REA "/>
      <sheetName val="2-VAN "/>
      <sheetName val="3-BALIVAGE"/>
      <sheetName val="3-REA"/>
      <sheetName val="Inputs"/>
      <sheetName val="TP- IRREG RESINEUX"/>
      <sheetName val="Méthode VERRA"/>
      <sheetName val="TP-IRREG FEUILLUS"/>
      <sheetName val="TP-REG"/>
      <sheetName val="EcoTree &amp; le Carbone"/>
      <sheetName val="Lexique"/>
      <sheetName val="VERRA"/>
    </sheetNames>
    <sheetDataSet>
      <sheetData sheetId="0"/>
      <sheetData sheetId="1"/>
      <sheetData sheetId="2">
        <row r="29">
          <cell r="C29">
            <v>0.47499999999999998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1">
          <cell r="B1">
            <v>1</v>
          </cell>
          <cell r="C1">
            <v>2</v>
          </cell>
          <cell r="D1">
            <v>3</v>
          </cell>
        </row>
        <row r="2">
          <cell r="A2" t="str">
            <v>Douglas - Régulier</v>
          </cell>
          <cell r="B2">
            <v>383.03999999999996</v>
          </cell>
          <cell r="C2">
            <v>383.03999999999996</v>
          </cell>
          <cell r="D2">
            <v>383.03999999999996</v>
          </cell>
          <cell r="G2">
            <v>391.28949999999998</v>
          </cell>
          <cell r="H2">
            <v>391.28949999999998</v>
          </cell>
          <cell r="I2">
            <v>391.28949999999998</v>
          </cell>
          <cell r="L2">
            <v>234.3621666666667</v>
          </cell>
          <cell r="M2">
            <v>167.69550000000001</v>
          </cell>
          <cell r="N2">
            <v>167.69550000000001</v>
          </cell>
        </row>
        <row r="3">
          <cell r="A3" t="str">
            <v>Douglas - Irrégulier</v>
          </cell>
          <cell r="B3">
            <v>247.33900800000001</v>
          </cell>
          <cell r="C3">
            <v>253.10880000000003</v>
          </cell>
          <cell r="D3">
            <v>267.90750000000003</v>
          </cell>
          <cell r="G3">
            <v>742.33273240000005</v>
          </cell>
          <cell r="H3">
            <v>682.54474585937498</v>
          </cell>
          <cell r="I3">
            <v>555.44568880208328</v>
          </cell>
          <cell r="L3">
            <v>384.80926626666673</v>
          </cell>
          <cell r="M3">
            <v>359.18584346354169</v>
          </cell>
          <cell r="N3">
            <v>304.7148190104167</v>
          </cell>
        </row>
        <row r="4">
          <cell r="A4" t="str">
            <v>Cèdre - Irrégulier</v>
          </cell>
          <cell r="B4">
            <v>202.52753740800006</v>
          </cell>
          <cell r="C4">
            <v>229.68092700000003</v>
          </cell>
          <cell r="D4">
            <v>247.17656250000005</v>
          </cell>
          <cell r="G4">
            <v>546.14500384683754</v>
          </cell>
          <cell r="H4">
            <v>472.83085194843756</v>
          </cell>
          <cell r="I4">
            <v>391.24777343749997</v>
          </cell>
          <cell r="L4">
            <v>298.07494450578753</v>
          </cell>
          <cell r="M4">
            <v>266.65459369218752</v>
          </cell>
          <cell r="N4">
            <v>231.67761718750003</v>
          </cell>
        </row>
        <row r="5">
          <cell r="A5" t="str">
            <v>Méleze - Irrégulier</v>
          </cell>
          <cell r="B5">
            <v>208.73402645760001</v>
          </cell>
          <cell r="C5">
            <v>258.39104287499998</v>
          </cell>
          <cell r="D5">
            <v>278.07363281250002</v>
          </cell>
          <cell r="G5">
            <v>650.94158395777208</v>
          </cell>
          <cell r="H5">
            <v>531.93470844199214</v>
          </cell>
          <cell r="I5">
            <v>440.1537451171875</v>
          </cell>
          <cell r="L5">
            <v>350.98936455333086</v>
          </cell>
          <cell r="M5">
            <v>299.9864179037109</v>
          </cell>
          <cell r="N5">
            <v>260.63731933593755</v>
          </cell>
        </row>
        <row r="6">
          <cell r="A6" t="str">
            <v>Pin maritime - Irrégulier</v>
          </cell>
          <cell r="B6">
            <v>150.71805853138952</v>
          </cell>
          <cell r="C6">
            <v>194.15973298176002</v>
          </cell>
          <cell r="D6">
            <v>215.25504000000006</v>
          </cell>
          <cell r="G6">
            <v>436.38071565075188</v>
          </cell>
          <cell r="H6">
            <v>349.67774740516802</v>
          </cell>
          <cell r="I6">
            <v>280.02174200000002</v>
          </cell>
          <cell r="L6">
            <v>227.02830670746511</v>
          </cell>
          <cell r="M6">
            <v>189.86989174507201</v>
          </cell>
          <cell r="N6">
            <v>160.00931800000001</v>
          </cell>
        </row>
        <row r="7">
          <cell r="A7" t="str">
            <v>Pin sylvestre - Irrégulier</v>
          </cell>
          <cell r="B7">
            <v>187.89651578880003</v>
          </cell>
          <cell r="C7">
            <v>195.72553728000003</v>
          </cell>
          <cell r="D7">
            <v>198.74400000000003</v>
          </cell>
          <cell r="G7">
            <v>315.35328177808009</v>
          </cell>
          <cell r="H7">
            <v>249.58950125200005</v>
          </cell>
          <cell r="I7">
            <v>178.90903333333333</v>
          </cell>
          <cell r="L7">
            <v>175.15940647632004</v>
          </cell>
          <cell r="M7">
            <v>146.97492910800003</v>
          </cell>
          <cell r="N7">
            <v>116.67529999999999</v>
          </cell>
        </row>
        <row r="8">
          <cell r="A8" t="str">
            <v>Chêne - Régulier</v>
          </cell>
          <cell r="B8">
            <v>198.60387626953124</v>
          </cell>
          <cell r="C8">
            <v>0</v>
          </cell>
          <cell r="D8">
            <v>0</v>
          </cell>
          <cell r="G8">
            <v>248.29130858642577</v>
          </cell>
          <cell r="H8">
            <v>0</v>
          </cell>
          <cell r="I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Chêne - Irrégulier</v>
          </cell>
          <cell r="B9">
            <v>203.90737500000003</v>
          </cell>
          <cell r="C9">
            <v>200.43450000000001</v>
          </cell>
          <cell r="D9">
            <v>187.86599999999999</v>
          </cell>
          <cell r="G9">
            <v>169.926946875</v>
          </cell>
          <cell r="H9">
            <v>124.04778749999998</v>
          </cell>
          <cell r="I9">
            <v>88.971749999999986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Chêne rouge - Irrégulier</v>
          </cell>
          <cell r="B10">
            <v>132.11473766400007</v>
          </cell>
          <cell r="C10">
            <v>158.06584684800004</v>
          </cell>
          <cell r="D10">
            <v>181.54717717500003</v>
          </cell>
          <cell r="G10">
            <v>439.44330408034881</v>
          </cell>
          <cell r="H10">
            <v>376.16978150626881</v>
          </cell>
          <cell r="I10">
            <v>300.7936052854688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Chataignier - Irrégulier</v>
          </cell>
          <cell r="B11">
            <v>118.77744033791997</v>
          </cell>
          <cell r="C11">
            <v>149.10091822080008</v>
          </cell>
          <cell r="D11">
            <v>181.54717717500003</v>
          </cell>
          <cell r="G11">
            <v>372.93458252510476</v>
          </cell>
          <cell r="H11">
            <v>372.93458252510476</v>
          </cell>
          <cell r="I11">
            <v>272.48397277237507</v>
          </cell>
          <cell r="L11">
            <v>0</v>
          </cell>
          <cell r="M11">
            <v>0</v>
          </cell>
          <cell r="N11">
            <v>0</v>
          </cell>
        </row>
        <row r="34">
          <cell r="A34" t="str">
            <v>Chêne rouge - Irrégulier</v>
          </cell>
        </row>
        <row r="35">
          <cell r="A35" t="str">
            <v>Chataignier - Irrégulier</v>
          </cell>
        </row>
        <row r="36">
          <cell r="A36">
            <v>0.1</v>
          </cell>
        </row>
        <row r="37">
          <cell r="A37">
            <v>0.15</v>
          </cell>
        </row>
        <row r="39">
          <cell r="L39" t="str">
            <v>Chêne</v>
          </cell>
        </row>
        <row r="40">
          <cell r="L40" t="str">
            <v>C.fertilité</v>
          </cell>
          <cell r="M40">
            <v>1</v>
          </cell>
          <cell r="N40" t="str">
            <v>Ve B0</v>
          </cell>
        </row>
        <row r="41">
          <cell r="L41">
            <v>30</v>
          </cell>
          <cell r="M41">
            <v>0</v>
          </cell>
          <cell r="N41">
            <v>0</v>
          </cell>
        </row>
        <row r="42">
          <cell r="L42">
            <v>40</v>
          </cell>
          <cell r="M42">
            <v>94.921875</v>
          </cell>
          <cell r="N42">
            <v>0</v>
          </cell>
        </row>
        <row r="43">
          <cell r="L43">
            <v>50</v>
          </cell>
          <cell r="M43">
            <v>121.5</v>
          </cell>
          <cell r="N43">
            <v>0</v>
          </cell>
        </row>
        <row r="44">
          <cell r="L44">
            <v>60</v>
          </cell>
          <cell r="M44">
            <v>141.75</v>
          </cell>
          <cell r="N44">
            <v>24.806249999999999</v>
          </cell>
        </row>
        <row r="45">
          <cell r="L45">
            <v>70</v>
          </cell>
          <cell r="M45">
            <v>158.76</v>
          </cell>
          <cell r="N45">
            <v>27.782999999999998</v>
          </cell>
        </row>
        <row r="46">
          <cell r="L46">
            <v>80</v>
          </cell>
          <cell r="M46">
            <v>176.12437499999999</v>
          </cell>
          <cell r="N46">
            <v>30.821765624999994</v>
          </cell>
        </row>
        <row r="47">
          <cell r="L47">
            <v>90</v>
          </cell>
          <cell r="M47">
            <v>187.90734375</v>
          </cell>
          <cell r="N47">
            <v>32.883785156249999</v>
          </cell>
        </row>
        <row r="48">
          <cell r="L48">
            <v>100</v>
          </cell>
          <cell r="M48">
            <v>191.16316406250002</v>
          </cell>
          <cell r="N48">
            <v>43.011711914062502</v>
          </cell>
        </row>
        <row r="49">
          <cell r="L49">
            <v>110</v>
          </cell>
          <cell r="M49">
            <v>196.88410546874999</v>
          </cell>
          <cell r="N49">
            <v>44.298923730468758</v>
          </cell>
        </row>
        <row r="50">
          <cell r="L50" t="str">
            <v>Chêne</v>
          </cell>
          <cell r="M50">
            <v>198.60387626953124</v>
          </cell>
          <cell r="N50">
            <v>44.685872160644536</v>
          </cell>
        </row>
        <row r="51">
          <cell r="L51" t="str">
            <v>C.fertilité</v>
          </cell>
          <cell r="M51">
            <v>1</v>
          </cell>
          <cell r="N51" t="str">
            <v>Ve B0</v>
          </cell>
        </row>
        <row r="52">
          <cell r="L52">
            <v>30</v>
          </cell>
          <cell r="M52">
            <v>0</v>
          </cell>
          <cell r="N52">
            <v>0</v>
          </cell>
        </row>
        <row r="53">
          <cell r="L53">
            <v>40</v>
          </cell>
          <cell r="M53">
            <v>94.921875</v>
          </cell>
          <cell r="N53">
            <v>0</v>
          </cell>
        </row>
        <row r="54">
          <cell r="L54">
            <v>50</v>
          </cell>
          <cell r="M54">
            <v>121.5</v>
          </cell>
          <cell r="N54">
            <v>0</v>
          </cell>
        </row>
        <row r="55">
          <cell r="L55">
            <v>60</v>
          </cell>
          <cell r="M55">
            <v>141.75</v>
          </cell>
          <cell r="N55">
            <v>24.806249999999999</v>
          </cell>
        </row>
        <row r="56">
          <cell r="L56">
            <v>70</v>
          </cell>
          <cell r="M56">
            <v>158.76</v>
          </cell>
          <cell r="N56">
            <v>27.782999999999998</v>
          </cell>
        </row>
        <row r="57">
          <cell r="L57">
            <v>80</v>
          </cell>
          <cell r="M57">
            <v>176.12437499999999</v>
          </cell>
          <cell r="N57">
            <v>30.821765624999994</v>
          </cell>
        </row>
        <row r="58">
          <cell r="L58">
            <v>90</v>
          </cell>
          <cell r="M58">
            <v>187.90734375</v>
          </cell>
          <cell r="N58">
            <v>32.883785156249999</v>
          </cell>
        </row>
        <row r="59">
          <cell r="L59">
            <v>100</v>
          </cell>
          <cell r="M59">
            <v>191.16316406250002</v>
          </cell>
          <cell r="N59">
            <v>43.011711914062502</v>
          </cell>
        </row>
        <row r="60">
          <cell r="L60">
            <v>110</v>
          </cell>
          <cell r="M60">
            <v>196.88410546874999</v>
          </cell>
          <cell r="N60">
            <v>44.298923730468758</v>
          </cell>
        </row>
        <row r="61">
          <cell r="L61">
            <v>120</v>
          </cell>
          <cell r="M61">
            <v>198.60387626953124</v>
          </cell>
          <cell r="N61">
            <v>44.685872160644536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11">
          <cell r="Y11" t="str">
            <v>CF. 3</v>
          </cell>
        </row>
      </sheetData>
    </sheetDataSet>
  </externalBook>
</externalLink>
</file>

<file path=xl/tables/table1.xml><?xml version="1.0" encoding="utf-8"?>
<table xmlns="http://schemas.openxmlformats.org/spreadsheetml/2006/main" id="9" name="Tableau9" displayName="Tableau9" ref="A20:C27" totalsRowShown="0">
  <autoFilter ref="A20:C27"/>
  <tableColumns count="3">
    <tableColumn id="1" name="V"/>
    <tableColumn id="2" name="Variables"/>
    <tableColumn id="3" name="ha" dataDxfId="26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id="7" name="FEB" displayName="FEB" ref="A71:C83" totalsRowShown="0">
  <autoFilter ref="A71:C83"/>
  <tableColumns count="3">
    <tableColumn id="1" name="Facteur expension branche (FEB)" dataDxfId="19"/>
    <tableColumn id="2" name="Volume bois fort (Vbf)/Volume total (Vt)"/>
    <tableColumn id="3" name="FEB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id="10" name="Class_Fertilite" displayName="Class_Fertilite" ref="A85:A91" totalsRowShown="0" dataDxfId="18" dataCellStyle="Pourcentage">
  <autoFilter ref="A85:A91"/>
  <tableColumns count="1">
    <tableColumn id="1" name="Classe de fertilité" dataDxfId="17" dataCellStyle="Pourcentage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id="3" name="Frais" displayName="Frais" ref="A96:B110" totalsRowShown="0" headerRowDxfId="16">
  <autoFilter ref="A96:B110"/>
  <tableColumns count="2">
    <tableColumn id="1" name="Frais divers de gestion forestière / Ha"/>
    <tableColumn id="2" name="Colonne1" dataDxfId="15"/>
  </tableColumns>
  <tableStyleInfo name="TableStyleLight21" showFirstColumn="0" showLastColumn="0" showRowStripes="1" showColumnStripes="0"/>
</table>
</file>

<file path=xl/tables/table13.xml><?xml version="1.0" encoding="utf-8"?>
<table xmlns="http://schemas.openxmlformats.org/spreadsheetml/2006/main" id="22" name="Prix_eclaircie" displayName="Prix_eclaircie" ref="B112:L135" totalsRowShown="0" headerRowDxfId="14" dataDxfId="12" headerRowBorderDxfId="13" tableBorderDxfId="11" dataCellStyle="Monétaire">
  <autoFilter ref="B112:L135"/>
  <tableColumns count="11">
    <tableColumn id="1" name="Chêne" dataDxfId="10" dataCellStyle="Monétaire">
      <calculatedColumnFormula>N113*0.8</calculatedColumnFormula>
    </tableColumn>
    <tableColumn id="11" name="Chêne ONF" dataDxfId="9" dataCellStyle="Monétaire"/>
    <tableColumn id="2" name="Douglas " dataDxfId="8" dataCellStyle="Monétaire">
      <calculatedColumnFormula>O113*0.8</calculatedColumnFormula>
    </tableColumn>
    <tableColumn id="3" name="Pin Maritime" dataDxfId="7" dataCellStyle="Monétaire">
      <calculatedColumnFormula>P113*0.8</calculatedColumnFormula>
    </tableColumn>
    <tableColumn id="4" name="Chataignier" dataDxfId="6" dataCellStyle="Monétaire">
      <calculatedColumnFormula>Q113*0.8</calculatedColumnFormula>
    </tableColumn>
    <tableColumn id="5" name="Pin Laricio" dataDxfId="5" dataCellStyle="Monétaire">
      <calculatedColumnFormula>R113*0.8</calculatedColumnFormula>
    </tableColumn>
    <tableColumn id="6" name="Pin Sylvestre" dataDxfId="4" dataCellStyle="Monétaire">
      <calculatedColumnFormula>S113*0.8</calculatedColumnFormula>
    </tableColumn>
    <tableColumn id="7" name="Cèdre" dataDxfId="3" dataCellStyle="Monétaire">
      <calculatedColumnFormula>T113*0.8</calculatedColumnFormula>
    </tableColumn>
    <tableColumn id="8" name="Epicéa sitka" dataDxfId="2" dataCellStyle="Monétaire">
      <calculatedColumnFormula>U113*0.8</calculatedColumnFormula>
    </tableColumn>
    <tableColumn id="9" name="Mélèze" dataDxfId="1" dataCellStyle="Monétaire">
      <calculatedColumnFormula>V113*0.8</calculatedColumnFormula>
    </tableColumn>
    <tableColumn id="10" name="Thuya" dataDxfId="0" dataCellStyle="Monétaire">
      <calculatedColumnFormula>W113*0.8</calculatedColumnFormula>
    </tableColumn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id="12" name="Age" displayName="Age" ref="D17:D27" totalsRowShown="0">
  <autoFilter ref="D17:D27"/>
  <tableColumns count="1">
    <tableColumn id="1" name="Age taillis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11" name="Tableau912" displayName="Tableau912" ref="A41:C47" totalsRowShown="0">
  <autoFilter ref="A41:C47"/>
  <tableColumns count="3">
    <tableColumn id="1" name="V"/>
    <tableColumn id="2" name="Variables"/>
    <tableColumn id="3" name="ha" dataDxfId="25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16" name="Tableau917" displayName="Tableau917" ref="F20:H27" totalsRowShown="0">
  <autoFilter ref="F20:H27"/>
  <tableColumns count="3">
    <tableColumn id="1" name="V"/>
    <tableColumn id="2" name="Variables"/>
    <tableColumn id="3" name="ha" dataDxfId="24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15" name="Tableau91716" displayName="Tableau91716" ref="K20:M27" totalsRowShown="0">
  <autoFilter ref="K20:M27"/>
  <tableColumns count="3">
    <tableColumn id="1" name="V"/>
    <tableColumn id="2" name="Variables"/>
    <tableColumn id="3" name="ha" dataDxfId="23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17" name="Tableau9171618" displayName="Tableau9171618" ref="P20:R27" totalsRowShown="0">
  <autoFilter ref="P20:R27"/>
  <tableColumns count="3">
    <tableColumn id="1" name="V"/>
    <tableColumn id="2" name="Variables"/>
    <tableColumn id="3" name="ha" dataDxfId="22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id="2" name="infradensite" displayName="infradensite" ref="A17:B29" totalsRowShown="0">
  <autoFilter ref="A17:B29"/>
  <tableColumns count="2">
    <tableColumn id="1" name="Infradensité de l'Essence (tMS/m3)"/>
    <tableColumn id="2" name="Colonne1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4" name="Coeff_substitution" displayName="Coeff_substitution" ref="A31:B34" totalsRowShown="0">
  <autoFilter ref="A31:B34"/>
  <tableColumns count="2">
    <tableColumn id="1" name="Catégorie de produit "/>
    <tableColumn id="2" name="Coeff de substitution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8" name="Fertilite" displayName="Fertilite" ref="A36:B47" totalsRowShown="0">
  <autoFilter ref="A36:B47"/>
  <tableColumns count="2">
    <tableColumn id="1" name="Classes de Fertifilité Existantes (Voir table)"/>
    <tableColumn id="2" name="Classe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5" name="Rabais" displayName="Rabais" ref="A64:A68" totalsRowShown="0" dataDxfId="21" dataCellStyle="Pourcentage">
  <autoFilter ref="A64:A68"/>
  <tableColumns count="1">
    <tableColumn id="1" name="Rabais" dataDxfId="20" dataCellStyle="Pourcentage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table" Target="../tables/table4.xml"/><Relationship Id="rId5" Type="http://schemas.openxmlformats.org/officeDocument/2006/relationships/ctrlProp" Target="../ctrlProps/ctrlProp2.xml"/><Relationship Id="rId10" Type="http://schemas.openxmlformats.org/officeDocument/2006/relationships/table" Target="../tables/table3.xml"/><Relationship Id="rId4" Type="http://schemas.openxmlformats.org/officeDocument/2006/relationships/ctrlProp" Target="../ctrlProps/ctrlProp1.xml"/><Relationship Id="rId9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13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12" Type="http://schemas.openxmlformats.org/officeDocument/2006/relationships/ctrlProp" Target="../ctrlProps/ctrlProp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11" Type="http://schemas.openxmlformats.org/officeDocument/2006/relationships/ctrlProp" Target="../ctrlProps/ctrlProp12.xml"/><Relationship Id="rId5" Type="http://schemas.openxmlformats.org/officeDocument/2006/relationships/ctrlProp" Target="../ctrlProps/ctrlProp6.xml"/><Relationship Id="rId15" Type="http://schemas.openxmlformats.org/officeDocument/2006/relationships/ctrlProp" Target="../ctrlProps/ctrlProp16.xml"/><Relationship Id="rId10" Type="http://schemas.openxmlformats.org/officeDocument/2006/relationships/ctrlProp" Target="../ctrlProps/ctrlProp11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Relationship Id="rId14" Type="http://schemas.openxmlformats.org/officeDocument/2006/relationships/ctrlProp" Target="../ctrlProps/ctrlProp1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.xml"/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10" Type="http://schemas.openxmlformats.org/officeDocument/2006/relationships/table" Target="../tables/table14.xml"/><Relationship Id="rId4" Type="http://schemas.openxmlformats.org/officeDocument/2006/relationships/table" Target="../tables/table8.xml"/><Relationship Id="rId9" Type="http://schemas.openxmlformats.org/officeDocument/2006/relationships/table" Target="../tables/table1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theme="8" tint="0.59999389629810485"/>
  </sheetPr>
  <dimension ref="A1:T114"/>
  <sheetViews>
    <sheetView showGridLines="0" tabSelected="1" view="pageBreakPreview" topLeftCell="A48" zoomScale="70" zoomScaleNormal="55" zoomScaleSheetLayoutView="70" workbookViewId="0">
      <selection activeCell="C82" sqref="B82:C82"/>
    </sheetView>
  </sheetViews>
  <sheetFormatPr baseColWidth="10" defaultRowHeight="14.4" x14ac:dyDescent="0.3"/>
  <cols>
    <col min="1" max="1" width="14.6640625" bestFit="1" customWidth="1"/>
    <col min="2" max="2" width="43.88671875" bestFit="1" customWidth="1"/>
    <col min="3" max="3" width="18.88671875" customWidth="1"/>
    <col min="4" max="4" width="16.5546875" customWidth="1"/>
    <col min="5" max="5" width="21" bestFit="1" customWidth="1"/>
    <col min="6" max="6" width="19.88671875" customWidth="1"/>
    <col min="7" max="7" width="43.88671875" bestFit="1" customWidth="1"/>
    <col min="9" max="9" width="11.5546875" bestFit="1" customWidth="1"/>
    <col min="11" max="11" width="20.5546875" customWidth="1"/>
    <col min="12" max="12" width="43.88671875" bestFit="1" customWidth="1"/>
    <col min="13" max="13" width="9.44140625" bestFit="1" customWidth="1"/>
    <col min="16" max="16" width="15.5546875" customWidth="1"/>
    <col min="17" max="17" width="43.88671875" bestFit="1" customWidth="1"/>
  </cols>
  <sheetData>
    <row r="1" spans="1:19" s="61" customFormat="1" x14ac:dyDescent="0.3">
      <c r="A1" s="171" t="s">
        <v>138</v>
      </c>
      <c r="B1" s="171"/>
      <c r="C1" s="171"/>
      <c r="D1" s="171"/>
      <c r="E1" s="26"/>
      <c r="F1" s="26"/>
      <c r="G1" s="26"/>
      <c r="H1" s="26"/>
      <c r="I1" s="26"/>
      <c r="J1" s="26"/>
    </row>
    <row r="2" spans="1:19" x14ac:dyDescent="0.3">
      <c r="D2" s="36"/>
      <c r="F2" s="58"/>
      <c r="G2" s="57"/>
      <c r="H2" s="27"/>
      <c r="I2" s="27"/>
      <c r="J2" s="27"/>
    </row>
    <row r="3" spans="1:19" ht="18" x14ac:dyDescent="0.35">
      <c r="A3" s="119" t="s">
        <v>93</v>
      </c>
      <c r="B3" s="120"/>
      <c r="G3" s="60" t="s">
        <v>172</v>
      </c>
      <c r="H3" s="68"/>
    </row>
    <row r="4" spans="1:19" ht="18" x14ac:dyDescent="0.35">
      <c r="A4" s="120"/>
      <c r="B4" s="119" t="s">
        <v>58</v>
      </c>
      <c r="G4" s="59" t="s">
        <v>35</v>
      </c>
      <c r="H4" s="59">
        <v>1</v>
      </c>
    </row>
    <row r="5" spans="1:19" ht="18" x14ac:dyDescent="0.35">
      <c r="A5" s="120"/>
      <c r="B5" s="119" t="s">
        <v>59</v>
      </c>
      <c r="G5" s="59" t="s">
        <v>171</v>
      </c>
      <c r="H5" s="59">
        <v>3</v>
      </c>
    </row>
    <row r="6" spans="1:19" ht="18" x14ac:dyDescent="0.35">
      <c r="A6" s="120"/>
      <c r="B6" s="119" t="s">
        <v>91</v>
      </c>
      <c r="G6" s="59" t="s">
        <v>38</v>
      </c>
      <c r="H6" s="59">
        <v>3</v>
      </c>
    </row>
    <row r="7" spans="1:19" ht="18" x14ac:dyDescent="0.35">
      <c r="A7" s="120"/>
      <c r="B7" s="119" t="s">
        <v>94</v>
      </c>
      <c r="G7" s="59" t="s">
        <v>37</v>
      </c>
      <c r="H7" s="59">
        <v>3</v>
      </c>
    </row>
    <row r="8" spans="1:19" x14ac:dyDescent="0.3">
      <c r="B8" s="50"/>
      <c r="C8" s="36"/>
      <c r="D8" s="36"/>
      <c r="G8" s="59" t="s">
        <v>23</v>
      </c>
      <c r="H8" s="59">
        <v>5</v>
      </c>
    </row>
    <row r="9" spans="1:19" x14ac:dyDescent="0.3">
      <c r="B9" s="50"/>
      <c r="C9" s="36"/>
      <c r="D9" s="36"/>
      <c r="G9" s="59" t="s">
        <v>73</v>
      </c>
      <c r="H9" s="59">
        <v>6</v>
      </c>
    </row>
    <row r="10" spans="1:19" x14ac:dyDescent="0.3">
      <c r="B10" s="117" t="s">
        <v>101</v>
      </c>
      <c r="C10" s="118">
        <f>B16+G16+L16+Q16</f>
        <v>4.2</v>
      </c>
      <c r="D10" s="36"/>
      <c r="G10" s="59" t="s">
        <v>71</v>
      </c>
      <c r="H10" s="59">
        <v>3</v>
      </c>
    </row>
    <row r="11" spans="1:19" x14ac:dyDescent="0.3">
      <c r="B11" s="50"/>
      <c r="C11" s="36"/>
      <c r="D11" s="36"/>
      <c r="F11" s="58"/>
      <c r="G11" s="57"/>
      <c r="H11" s="27"/>
      <c r="I11" s="27"/>
      <c r="J11" s="27"/>
    </row>
    <row r="12" spans="1:19" s="61" customFormat="1" x14ac:dyDescent="0.3">
      <c r="A12" s="171" t="s">
        <v>205</v>
      </c>
      <c r="B12" s="171"/>
      <c r="C12" s="171"/>
      <c r="D12" s="171"/>
      <c r="E12" s="26"/>
      <c r="F12" s="26"/>
      <c r="G12" s="26"/>
      <c r="H12" s="26"/>
      <c r="I12" s="26"/>
      <c r="J12" s="26"/>
    </row>
    <row r="13" spans="1:19" x14ac:dyDescent="0.3">
      <c r="B13" s="50"/>
      <c r="C13" s="36"/>
      <c r="D13" s="36"/>
      <c r="F13" s="58"/>
      <c r="G13" s="57"/>
      <c r="H13" s="27"/>
      <c r="I13" s="27"/>
      <c r="J13" s="27"/>
    </row>
    <row r="14" spans="1:19" x14ac:dyDescent="0.3">
      <c r="C14" s="11" t="s">
        <v>84</v>
      </c>
      <c r="H14" s="11" t="s">
        <v>84</v>
      </c>
      <c r="J14" s="37"/>
      <c r="M14" s="11" t="s">
        <v>84</v>
      </c>
      <c r="R14" s="11" t="s">
        <v>84</v>
      </c>
      <c r="S14" s="11"/>
    </row>
    <row r="15" spans="1:19" x14ac:dyDescent="0.3">
      <c r="A15" s="11" t="s">
        <v>87</v>
      </c>
      <c r="B15" s="73" t="s">
        <v>36</v>
      </c>
      <c r="C15" s="74">
        <v>2</v>
      </c>
      <c r="F15" s="11" t="s">
        <v>139</v>
      </c>
      <c r="G15" s="73"/>
      <c r="H15" s="74"/>
      <c r="J15" s="37"/>
      <c r="K15" s="11" t="s">
        <v>140</v>
      </c>
      <c r="L15" s="73"/>
      <c r="M15" s="74"/>
      <c r="P15" s="11" t="s">
        <v>141</v>
      </c>
      <c r="Q15" s="73"/>
      <c r="R15" s="74"/>
    </row>
    <row r="16" spans="1:19" x14ac:dyDescent="0.3">
      <c r="A16" s="10" t="s">
        <v>53</v>
      </c>
      <c r="B16" s="73">
        <v>4.2</v>
      </c>
      <c r="F16" s="10" t="s">
        <v>53</v>
      </c>
      <c r="G16" s="73"/>
      <c r="J16" s="37"/>
      <c r="K16" s="10" t="s">
        <v>53</v>
      </c>
      <c r="L16" s="73"/>
      <c r="P16" s="10" t="s">
        <v>53</v>
      </c>
      <c r="Q16" s="73"/>
    </row>
    <row r="17" spans="1:20" x14ac:dyDescent="0.3">
      <c r="J17" s="37"/>
    </row>
    <row r="18" spans="1:20" x14ac:dyDescent="0.3">
      <c r="A18" s="178" t="s">
        <v>57</v>
      </c>
      <c r="B18" s="178"/>
      <c r="C18" s="178"/>
      <c r="D18" s="178"/>
      <c r="F18" s="178" t="s">
        <v>57</v>
      </c>
      <c r="G18" s="178"/>
      <c r="H18" s="178"/>
      <c r="I18" s="178"/>
      <c r="J18" s="37"/>
      <c r="K18" s="178" t="s">
        <v>57</v>
      </c>
      <c r="L18" s="178"/>
      <c r="M18" s="178"/>
      <c r="N18" s="178"/>
      <c r="P18" s="178" t="s">
        <v>57</v>
      </c>
      <c r="Q18" s="178"/>
      <c r="R18" s="178"/>
      <c r="S18" s="178"/>
      <c r="T18" s="178"/>
    </row>
    <row r="19" spans="1:20" x14ac:dyDescent="0.3">
      <c r="J19" s="37"/>
    </row>
    <row r="20" spans="1:20" x14ac:dyDescent="0.3">
      <c r="A20" t="s">
        <v>56</v>
      </c>
      <c r="B20" t="s">
        <v>55</v>
      </c>
      <c r="C20" t="s">
        <v>54</v>
      </c>
      <c r="F20" t="s">
        <v>56</v>
      </c>
      <c r="G20" t="s">
        <v>55</v>
      </c>
      <c r="H20" t="s">
        <v>54</v>
      </c>
      <c r="J20" s="37"/>
      <c r="K20" t="s">
        <v>56</v>
      </c>
      <c r="L20" t="s">
        <v>55</v>
      </c>
      <c r="M20" t="s">
        <v>54</v>
      </c>
      <c r="P20" t="s">
        <v>56</v>
      </c>
      <c r="Q20" t="s">
        <v>55</v>
      </c>
      <c r="R20" t="s">
        <v>54</v>
      </c>
    </row>
    <row r="21" spans="1:20" x14ac:dyDescent="0.3">
      <c r="A21" t="s">
        <v>25</v>
      </c>
      <c r="B21" t="s">
        <v>200</v>
      </c>
      <c r="C21" s="12">
        <f>INDEX(Vt,MATCH(B15,ESS,0),MATCH(C15,CF,0))</f>
        <v>160</v>
      </c>
      <c r="F21" t="s">
        <v>25</v>
      </c>
      <c r="G21" t="s">
        <v>50</v>
      </c>
      <c r="H21" s="12" t="e">
        <f>INDEX(Vt,MATCH(G15,ESS,0),MATCH(H15,CF,0))</f>
        <v>#N/A</v>
      </c>
      <c r="J21" s="37"/>
      <c r="K21" t="s">
        <v>25</v>
      </c>
      <c r="L21" t="s">
        <v>50</v>
      </c>
      <c r="M21" s="12" t="e">
        <f>INDEX(Vt,MATCH(L15,ESS,0),MATCH(M15,CF,0))</f>
        <v>#N/A</v>
      </c>
      <c r="P21" t="s">
        <v>25</v>
      </c>
      <c r="Q21" t="s">
        <v>50</v>
      </c>
      <c r="R21" s="12" t="e">
        <f>INDEX(Vt,MATCH(Q15,ESS,0),MATCH(#REF!,CF,0))</f>
        <v>#N/A</v>
      </c>
      <c r="S21" s="12"/>
    </row>
    <row r="22" spans="1:20" x14ac:dyDescent="0.3">
      <c r="A22" t="s">
        <v>199</v>
      </c>
      <c r="B22" t="s">
        <v>201</v>
      </c>
      <c r="C22" s="12">
        <f>INDEX(Vbi,MATCH(B15,ESS,0),MATCH(C15,CF,0))</f>
        <v>67</v>
      </c>
      <c r="F22" t="s">
        <v>199</v>
      </c>
      <c r="G22" t="s">
        <v>201</v>
      </c>
      <c r="H22" s="12" t="e">
        <f>INDEX(Vbi,MATCH(G15,ESS,0),MATCH(H15,CF,0))</f>
        <v>#N/A</v>
      </c>
      <c r="J22" s="37"/>
      <c r="K22" t="s">
        <v>199</v>
      </c>
      <c r="L22" t="s">
        <v>201</v>
      </c>
      <c r="M22" s="12" t="e">
        <f>INDEX(Vbi,MATCH(L15,ESS,0),MATCH(M15,CF,0))</f>
        <v>#N/A</v>
      </c>
      <c r="P22" t="s">
        <v>199</v>
      </c>
      <c r="Q22" t="s">
        <v>201</v>
      </c>
      <c r="R22" s="12" t="e">
        <f>INDEX(Vbi,MATCH(Q15,ESS,0),MATCH(#REF!,CF,0))</f>
        <v>#N/A</v>
      </c>
      <c r="S22" s="12"/>
    </row>
    <row r="23" spans="1:20" x14ac:dyDescent="0.3">
      <c r="A23" t="s">
        <v>39</v>
      </c>
      <c r="B23" t="s">
        <v>40</v>
      </c>
      <c r="C23" s="12">
        <f>C21*VLOOKUP(B15,FEB[],3,0)*C30</f>
        <v>95.68</v>
      </c>
      <c r="F23" t="s">
        <v>39</v>
      </c>
      <c r="G23" t="s">
        <v>40</v>
      </c>
      <c r="H23" s="12" t="e">
        <f>H21*VLOOKUP(G15,FEB[],3,0)*H30</f>
        <v>#N/A</v>
      </c>
      <c r="J23" s="37"/>
      <c r="K23" t="s">
        <v>39</v>
      </c>
      <c r="L23" t="s">
        <v>40</v>
      </c>
      <c r="M23" s="12" t="e">
        <f>EXP(-1.0587+(0.8836*LN(M21))+0.284)</f>
        <v>#N/A</v>
      </c>
      <c r="P23" t="s">
        <v>39</v>
      </c>
      <c r="Q23" t="s">
        <v>40</v>
      </c>
      <c r="R23" s="12" t="e">
        <f>EXP(-1.0587+(0.8836*LN(R21))+0.284)</f>
        <v>#N/A</v>
      </c>
      <c r="S23" s="12"/>
    </row>
    <row r="24" spans="1:20" x14ac:dyDescent="0.3">
      <c r="A24" t="s">
        <v>41</v>
      </c>
      <c r="B24" t="s">
        <v>43</v>
      </c>
      <c r="C24" s="12">
        <f>EXP(-1.0587+(0.8836*LN(C23))+0.284)</f>
        <v>25.930186937101965</v>
      </c>
      <c r="F24" t="s">
        <v>41</v>
      </c>
      <c r="G24" t="s">
        <v>43</v>
      </c>
      <c r="H24" s="12" t="e">
        <f>EXP(-1.0587+(0.8836*LN(H23))+0.284)</f>
        <v>#N/A</v>
      </c>
      <c r="J24" s="37"/>
      <c r="K24" t="s">
        <v>41</v>
      </c>
      <c r="L24" t="s">
        <v>43</v>
      </c>
      <c r="M24" s="12" t="e">
        <f>EXP(-1.0587+(0.8836*LN(M23))+0.284)</f>
        <v>#N/A</v>
      </c>
      <c r="P24" t="s">
        <v>41</v>
      </c>
      <c r="Q24" t="s">
        <v>43</v>
      </c>
      <c r="R24" s="12" t="e">
        <f>EXP(-1.0587+(0.8836*LN(R23))+0.284)</f>
        <v>#N/A</v>
      </c>
      <c r="S24" s="12"/>
    </row>
    <row r="25" spans="1:20" x14ac:dyDescent="0.3">
      <c r="A25" t="s">
        <v>42</v>
      </c>
      <c r="B25" t="s">
        <v>215</v>
      </c>
      <c r="C25" s="12">
        <f>VLOOKUP(TRUE,A59:D62,3,FALSE)+(70-VLOOKUP(TRUE,A59:D62,3,FALSE))*(1-EXP(-0.0175*30))</f>
        <v>70</v>
      </c>
      <c r="F25" t="s">
        <v>42</v>
      </c>
      <c r="G25" t="s">
        <v>215</v>
      </c>
      <c r="H25" s="12">
        <f>VLOOKUP(TRUE,$A$59:$D$62,3,FALSE)+(70-VLOOKUP(TRUE,$A$59:$D$62,3,FALSE))*(1-EXP(-0.0175*30))</f>
        <v>70</v>
      </c>
      <c r="J25" s="37"/>
      <c r="K25" t="s">
        <v>42</v>
      </c>
      <c r="L25" t="s">
        <v>215</v>
      </c>
      <c r="M25" s="12">
        <f>VLOOKUP(TRUE,$A$59:$D$62,3,FALSE)+(70-VLOOKUP(TRUE,$A$59:$D$62,3,FALSE))*(1-EXP(-0.0175*30))</f>
        <v>70</v>
      </c>
      <c r="P25" t="s">
        <v>42</v>
      </c>
      <c r="Q25" t="s">
        <v>215</v>
      </c>
      <c r="R25" s="12">
        <f>VLOOKUP(TRUE,$A$59:$D$62,3,FALSE)+(70-VLOOKUP(TRUE,$A$59:$D$62,3,FALSE))*(1-EXP(-0.0175*30))</f>
        <v>70</v>
      </c>
      <c r="S25" s="12"/>
    </row>
    <row r="26" spans="1:20" x14ac:dyDescent="0.3">
      <c r="A26" t="s">
        <v>44</v>
      </c>
      <c r="B26" t="s">
        <v>48</v>
      </c>
      <c r="C26" s="12">
        <v>10</v>
      </c>
      <c r="F26" t="s">
        <v>44</v>
      </c>
      <c r="G26" t="s">
        <v>48</v>
      </c>
      <c r="H26" s="12">
        <v>10</v>
      </c>
      <c r="J26" s="37"/>
      <c r="K26" t="s">
        <v>44</v>
      </c>
      <c r="L26" t="s">
        <v>48</v>
      </c>
      <c r="M26" s="12">
        <v>10</v>
      </c>
      <c r="P26" t="s">
        <v>44</v>
      </c>
      <c r="Q26" t="s">
        <v>48</v>
      </c>
      <c r="R26" s="12">
        <v>10</v>
      </c>
      <c r="S26" s="12"/>
    </row>
    <row r="27" spans="1:20" x14ac:dyDescent="0.3">
      <c r="A27" t="s">
        <v>45</v>
      </c>
      <c r="B27" t="s">
        <v>47</v>
      </c>
      <c r="C27" s="12">
        <v>0</v>
      </c>
      <c r="D27" s="12"/>
      <c r="F27" t="s">
        <v>45</v>
      </c>
      <c r="G27" t="s">
        <v>47</v>
      </c>
      <c r="H27" s="12">
        <v>0</v>
      </c>
      <c r="I27" s="12"/>
      <c r="J27" s="37"/>
      <c r="K27" t="s">
        <v>45</v>
      </c>
      <c r="L27" t="s">
        <v>47</v>
      </c>
      <c r="M27" s="12">
        <v>0</v>
      </c>
      <c r="N27" s="12"/>
      <c r="P27" t="s">
        <v>45</v>
      </c>
      <c r="Q27" t="s">
        <v>47</v>
      </c>
      <c r="R27" s="12">
        <v>0</v>
      </c>
      <c r="S27" s="12"/>
      <c r="T27" s="12"/>
    </row>
    <row r="28" spans="1:20" x14ac:dyDescent="0.3">
      <c r="C28" s="12"/>
      <c r="H28" s="12"/>
      <c r="J28" s="37"/>
      <c r="M28" s="12"/>
      <c r="R28" s="12"/>
      <c r="S28" s="12"/>
    </row>
    <row r="29" spans="1:20" x14ac:dyDescent="0.3">
      <c r="A29" s="7" t="s">
        <v>46</v>
      </c>
      <c r="B29" s="7" t="s">
        <v>49</v>
      </c>
      <c r="C29" s="44">
        <v>0.47499999999999998</v>
      </c>
      <c r="F29" s="7" t="s">
        <v>46</v>
      </c>
      <c r="G29" s="7" t="s">
        <v>49</v>
      </c>
      <c r="H29" s="44">
        <v>0.47499999999999998</v>
      </c>
      <c r="J29" s="37"/>
      <c r="K29" s="7" t="s">
        <v>46</v>
      </c>
      <c r="L29" s="7" t="s">
        <v>49</v>
      </c>
      <c r="M29" s="44">
        <v>0.47499999999999998</v>
      </c>
      <c r="P29" s="7" t="s">
        <v>46</v>
      </c>
      <c r="Q29" s="7" t="s">
        <v>49</v>
      </c>
      <c r="R29" s="44">
        <v>0.47499999999999998</v>
      </c>
      <c r="S29" s="109"/>
    </row>
    <row r="30" spans="1:20" x14ac:dyDescent="0.3">
      <c r="A30" s="8" t="s">
        <v>51</v>
      </c>
      <c r="B30" s="8" t="s">
        <v>90</v>
      </c>
      <c r="C30" s="16">
        <f>VLOOKUP(B15,infradensite[],2,FALSE)</f>
        <v>0.46</v>
      </c>
      <c r="F30" s="8" t="s">
        <v>51</v>
      </c>
      <c r="G30" s="8" t="s">
        <v>90</v>
      </c>
      <c r="H30" s="16" t="e">
        <f>VLOOKUP(G15,infradensite[],2,FALSE)</f>
        <v>#N/A</v>
      </c>
      <c r="J30" s="37"/>
      <c r="K30" s="8" t="s">
        <v>51</v>
      </c>
      <c r="L30" s="8" t="s">
        <v>90</v>
      </c>
      <c r="M30" s="16" t="e">
        <f>VLOOKUP(L14,infradensite[],2,FALSE)</f>
        <v>#N/A</v>
      </c>
      <c r="P30" s="8" t="s">
        <v>51</v>
      </c>
      <c r="Q30" s="8" t="s">
        <v>90</v>
      </c>
      <c r="R30" s="16" t="e">
        <f>VLOOKUP(Q14,infradensite[],2,FALSE)</f>
        <v>#N/A</v>
      </c>
      <c r="S30" s="49"/>
    </row>
    <row r="31" spans="1:20" x14ac:dyDescent="0.3">
      <c r="A31" s="48"/>
      <c r="B31" s="48"/>
      <c r="C31" s="49"/>
      <c r="F31" s="48"/>
      <c r="G31" s="48"/>
      <c r="H31" s="49"/>
      <c r="J31" s="37"/>
      <c r="K31" s="48"/>
      <c r="L31" s="48"/>
      <c r="M31" s="49"/>
      <c r="P31" s="48"/>
      <c r="Q31" s="48"/>
      <c r="R31" s="49"/>
      <c r="S31" s="49"/>
    </row>
    <row r="32" spans="1:20" x14ac:dyDescent="0.3">
      <c r="A32" s="48"/>
      <c r="B32" s="48"/>
      <c r="C32" s="49"/>
      <c r="F32" s="48"/>
      <c r="G32" s="48"/>
      <c r="H32" s="49"/>
      <c r="J32" s="37"/>
      <c r="K32" s="48"/>
      <c r="L32" s="48"/>
      <c r="M32" s="49"/>
      <c r="P32" s="48"/>
      <c r="Q32" s="48"/>
      <c r="R32" s="49"/>
      <c r="S32" s="49"/>
    </row>
    <row r="33" spans="1:20" x14ac:dyDescent="0.3">
      <c r="B33" s="18" t="s">
        <v>95</v>
      </c>
      <c r="C33" s="47">
        <f>((C23+C24)*Tc+C25+C26+C27)</f>
        <v>137.76483879512344</v>
      </c>
      <c r="D33" t="s">
        <v>98</v>
      </c>
      <c r="G33" s="18" t="s">
        <v>142</v>
      </c>
      <c r="H33" s="47" t="e">
        <f>((H23+H24)*Tc+H25+H26+H27)</f>
        <v>#N/A</v>
      </c>
      <c r="I33" t="s">
        <v>98</v>
      </c>
      <c r="J33" s="37"/>
      <c r="L33" s="18" t="s">
        <v>145</v>
      </c>
      <c r="M33" s="47" t="e">
        <f>((M23+M24)*Tc+M25+M26+M27)</f>
        <v>#N/A</v>
      </c>
      <c r="N33" t="s">
        <v>98</v>
      </c>
      <c r="Q33" s="18" t="s">
        <v>148</v>
      </c>
      <c r="R33" s="47" t="e">
        <f>((R23+R24)*Tc+R25+R26+R27)</f>
        <v>#N/A</v>
      </c>
      <c r="S33" t="s">
        <v>98</v>
      </c>
    </row>
    <row r="34" spans="1:20" x14ac:dyDescent="0.3">
      <c r="B34" s="45" t="s">
        <v>97</v>
      </c>
      <c r="C34" s="47">
        <f>((C23+C24)*Tc+C25+C26+C27)*(44/12)</f>
        <v>505.13774224878591</v>
      </c>
      <c r="D34" t="s">
        <v>99</v>
      </c>
      <c r="G34" s="45" t="s">
        <v>143</v>
      </c>
      <c r="H34" s="47" t="e">
        <f>((H23+H24)*Tc+H25+H26+H27)*(44/12)</f>
        <v>#N/A</v>
      </c>
      <c r="I34" t="s">
        <v>99</v>
      </c>
      <c r="J34" s="37"/>
      <c r="L34" s="45" t="s">
        <v>146</v>
      </c>
      <c r="M34" s="47" t="e">
        <f>((M23+M24)*Tc+M25+M26+M27)*(44/12)</f>
        <v>#N/A</v>
      </c>
      <c r="N34" t="s">
        <v>99</v>
      </c>
      <c r="Q34" s="45" t="s">
        <v>149</v>
      </c>
      <c r="R34" s="47" t="e">
        <f>((R23+R24)*Tc+R25+R26+R27)*(44/12)</f>
        <v>#N/A</v>
      </c>
      <c r="S34" t="s">
        <v>99</v>
      </c>
    </row>
    <row r="35" spans="1:20" x14ac:dyDescent="0.3">
      <c r="B35" s="104" t="s">
        <v>204</v>
      </c>
      <c r="C35" s="47">
        <f>C22*C30*Tc*(44/12)</f>
        <v>53.678166666666662</v>
      </c>
      <c r="D35" t="s">
        <v>99</v>
      </c>
      <c r="G35" s="104" t="s">
        <v>207</v>
      </c>
      <c r="H35" s="47" t="e">
        <f>H22*H30*Tc*(44/12)</f>
        <v>#N/A</v>
      </c>
      <c r="I35" t="s">
        <v>99</v>
      </c>
      <c r="J35" s="37"/>
      <c r="L35" s="104" t="s">
        <v>209</v>
      </c>
      <c r="M35" s="47" t="e">
        <f>M22*M30*Tc*(44/12)</f>
        <v>#N/A</v>
      </c>
      <c r="N35" t="s">
        <v>99</v>
      </c>
      <c r="Q35" s="104" t="s">
        <v>210</v>
      </c>
      <c r="R35" s="47" t="e">
        <f>R22*R30*Tc*(44/12)</f>
        <v>#N/A</v>
      </c>
      <c r="S35" t="s">
        <v>99</v>
      </c>
    </row>
    <row r="36" spans="1:20" ht="15.6" x14ac:dyDescent="0.3">
      <c r="B36" s="10" t="s">
        <v>96</v>
      </c>
      <c r="C36" s="46">
        <f>C34*B16</f>
        <v>2121.5785174449011</v>
      </c>
      <c r="D36" s="46" t="s">
        <v>100</v>
      </c>
      <c r="E36" s="110">
        <f>IF(ISNA(C36),"0",C36)</f>
        <v>2121.5785174449011</v>
      </c>
      <c r="G36" s="10" t="s">
        <v>144</v>
      </c>
      <c r="H36" s="46" t="e">
        <f>H34*G16</f>
        <v>#N/A</v>
      </c>
      <c r="I36" s="46" t="s">
        <v>100</v>
      </c>
      <c r="J36" s="110" t="str">
        <f>IF(ISNA(H36),"0",H36)</f>
        <v>0</v>
      </c>
      <c r="L36" s="10" t="s">
        <v>147</v>
      </c>
      <c r="M36" s="46" t="e">
        <f>M34*L16</f>
        <v>#N/A</v>
      </c>
      <c r="N36" s="46" t="s">
        <v>100</v>
      </c>
      <c r="O36" s="110" t="str">
        <f>IF(ISNA(M36),"0",M36)</f>
        <v>0</v>
      </c>
      <c r="Q36" s="10" t="s">
        <v>150</v>
      </c>
      <c r="R36" s="46" t="e">
        <f>R34*Q16</f>
        <v>#N/A</v>
      </c>
      <c r="S36" s="46" t="s">
        <v>100</v>
      </c>
      <c r="T36" s="110" t="str">
        <f>IF(ISNA(R36),"0",R36)</f>
        <v>0</v>
      </c>
    </row>
    <row r="37" spans="1:20" ht="15.6" x14ac:dyDescent="0.3">
      <c r="B37" s="10" t="s">
        <v>202</v>
      </c>
      <c r="C37" s="46">
        <f>C35*B16</f>
        <v>225.44829999999999</v>
      </c>
      <c r="D37" s="46" t="s">
        <v>203</v>
      </c>
      <c r="E37" s="110">
        <f>IF(ISNA(C37),"0",C37)</f>
        <v>225.44829999999999</v>
      </c>
      <c r="F37" s="30"/>
      <c r="G37" s="10" t="s">
        <v>206</v>
      </c>
      <c r="H37" s="46" t="e">
        <f>H35*G16</f>
        <v>#N/A</v>
      </c>
      <c r="I37" s="46" t="s">
        <v>203</v>
      </c>
      <c r="J37" s="110" t="str">
        <f>IF(ISNA(H37),"0",H37)</f>
        <v>0</v>
      </c>
      <c r="K37" s="22"/>
      <c r="L37" s="10" t="s">
        <v>208</v>
      </c>
      <c r="M37" s="46" t="e">
        <f>M35*L16</f>
        <v>#N/A</v>
      </c>
      <c r="N37" s="46" t="s">
        <v>203</v>
      </c>
      <c r="O37" s="110" t="str">
        <f>IF(ISNA(M37),"0",M37)</f>
        <v>0</v>
      </c>
      <c r="Q37" s="10" t="s">
        <v>211</v>
      </c>
      <c r="R37" s="46" t="e">
        <f>R35*Q16</f>
        <v>#N/A</v>
      </c>
      <c r="S37" s="46" t="s">
        <v>203</v>
      </c>
      <c r="T37" s="110" t="str">
        <f>IF(ISNA(R37),"0",R37)</f>
        <v>0</v>
      </c>
    </row>
    <row r="38" spans="1:20" x14ac:dyDescent="0.3">
      <c r="E38" s="22"/>
      <c r="F38" s="22"/>
      <c r="G38" s="22"/>
      <c r="H38" s="22"/>
      <c r="I38" s="28"/>
      <c r="J38" s="28"/>
      <c r="K38" s="22"/>
    </row>
    <row r="39" spans="1:20" x14ac:dyDescent="0.3">
      <c r="A39" s="24" t="s">
        <v>180</v>
      </c>
      <c r="B39" s="24"/>
      <c r="C39" s="24"/>
      <c r="D39" s="24"/>
      <c r="E39" s="22"/>
      <c r="F39" s="28"/>
      <c r="G39" s="28"/>
      <c r="H39" s="28"/>
      <c r="I39" s="22"/>
      <c r="J39" s="22"/>
      <c r="K39" s="22"/>
    </row>
    <row r="40" spans="1:20" x14ac:dyDescent="0.3">
      <c r="E40" s="22"/>
      <c r="F40" s="22"/>
      <c r="G40" s="22"/>
      <c r="H40" s="22"/>
      <c r="I40" s="22"/>
      <c r="J40" s="22"/>
      <c r="K40" s="22"/>
      <c r="L40" s="22"/>
    </row>
    <row r="41" spans="1:20" x14ac:dyDescent="0.3">
      <c r="A41" t="s">
        <v>56</v>
      </c>
      <c r="B41" t="s">
        <v>55</v>
      </c>
      <c r="C41" t="s">
        <v>54</v>
      </c>
      <c r="D41" s="22"/>
      <c r="E41" s="22"/>
      <c r="F41" s="31"/>
      <c r="G41" s="22"/>
      <c r="H41" s="22"/>
      <c r="I41" s="22"/>
      <c r="J41" s="22"/>
      <c r="K41" s="22"/>
    </row>
    <row r="42" spans="1:20" x14ac:dyDescent="0.3">
      <c r="A42" t="s">
        <v>25</v>
      </c>
      <c r="B42" t="s">
        <v>50</v>
      </c>
      <c r="C42" s="12">
        <v>30</v>
      </c>
      <c r="D42" s="22"/>
      <c r="E42" s="22"/>
      <c r="F42" s="32"/>
      <c r="G42" s="22"/>
      <c r="H42" s="22"/>
      <c r="I42" s="22"/>
      <c r="J42" s="22"/>
      <c r="K42" s="22"/>
    </row>
    <row r="43" spans="1:20" x14ac:dyDescent="0.3">
      <c r="A43" t="s">
        <v>39</v>
      </c>
      <c r="B43" t="s">
        <v>40</v>
      </c>
      <c r="C43" s="12">
        <f>C42*C50</f>
        <v>15</v>
      </c>
      <c r="D43" s="22"/>
      <c r="E43" s="100"/>
      <c r="F43" s="32"/>
      <c r="G43" s="22"/>
      <c r="H43" s="22"/>
      <c r="I43" s="22"/>
      <c r="J43" s="22"/>
      <c r="K43" s="22"/>
    </row>
    <row r="44" spans="1:20" x14ac:dyDescent="0.3">
      <c r="A44" t="s">
        <v>41</v>
      </c>
      <c r="B44" t="s">
        <v>43</v>
      </c>
      <c r="C44" s="12">
        <f>EXP(-1.0587+0.8836*LN(C43)+0.284)</f>
        <v>5.0436657935706641</v>
      </c>
      <c r="D44" s="22"/>
      <c r="E44" s="22"/>
      <c r="F44" s="100"/>
      <c r="G44" s="100"/>
      <c r="H44" s="33"/>
      <c r="I44" s="22"/>
      <c r="J44" s="22"/>
      <c r="K44" s="22"/>
    </row>
    <row r="45" spans="1:20" x14ac:dyDescent="0.3">
      <c r="A45" t="s">
        <v>42</v>
      </c>
      <c r="B45" t="s">
        <v>215</v>
      </c>
      <c r="C45" s="12">
        <v>70</v>
      </c>
      <c r="D45" s="22"/>
      <c r="E45" s="22"/>
      <c r="F45" s="22"/>
      <c r="G45" s="22"/>
      <c r="H45" s="22"/>
      <c r="I45" s="22"/>
      <c r="J45" s="22"/>
      <c r="K45" s="22"/>
    </row>
    <row r="46" spans="1:20" x14ac:dyDescent="0.3">
      <c r="A46" t="s">
        <v>44</v>
      </c>
      <c r="B46" t="s">
        <v>48</v>
      </c>
      <c r="C46" s="12">
        <v>10</v>
      </c>
      <c r="D46" s="22"/>
      <c r="E46" s="22"/>
      <c r="F46" s="22"/>
      <c r="G46" s="22"/>
      <c r="H46" s="22"/>
      <c r="I46" s="22"/>
      <c r="J46" s="22"/>
      <c r="K46" s="22"/>
    </row>
    <row r="47" spans="1:20" x14ac:dyDescent="0.3">
      <c r="A47" t="s">
        <v>45</v>
      </c>
      <c r="B47" t="s">
        <v>47</v>
      </c>
      <c r="C47" s="12">
        <v>0</v>
      </c>
      <c r="D47" s="22"/>
      <c r="E47" s="22"/>
      <c r="F47" s="22"/>
      <c r="G47" s="22"/>
      <c r="H47" s="22"/>
      <c r="I47" s="22"/>
      <c r="J47" s="22"/>
      <c r="K47" s="22"/>
    </row>
    <row r="48" spans="1:20" x14ac:dyDescent="0.3">
      <c r="C48" s="12"/>
      <c r="D48" s="12"/>
      <c r="E48" s="22"/>
      <c r="F48" s="22"/>
      <c r="G48" s="22"/>
      <c r="H48" s="22"/>
      <c r="I48" s="22"/>
      <c r="J48" s="22"/>
      <c r="K48" s="22"/>
      <c r="L48" s="22"/>
    </row>
    <row r="49" spans="1:19" x14ac:dyDescent="0.3">
      <c r="A49" s="7" t="s">
        <v>46</v>
      </c>
      <c r="B49" s="7" t="s">
        <v>49</v>
      </c>
      <c r="C49" s="44">
        <v>0.47499999999999998</v>
      </c>
      <c r="D49" s="22"/>
      <c r="E49" s="22"/>
      <c r="F49" s="22"/>
      <c r="G49" s="22"/>
      <c r="H49" s="22"/>
      <c r="I49" s="22"/>
      <c r="J49" s="22"/>
      <c r="K49" s="22"/>
    </row>
    <row r="50" spans="1:19" x14ac:dyDescent="0.3">
      <c r="A50" s="8" t="s">
        <v>51</v>
      </c>
      <c r="B50" s="8" t="s">
        <v>52</v>
      </c>
      <c r="C50" s="16">
        <f>0.5</f>
        <v>0.5</v>
      </c>
      <c r="D50" s="22"/>
      <c r="E50" s="22"/>
      <c r="F50" s="22"/>
      <c r="G50" s="22"/>
      <c r="H50" s="22"/>
      <c r="K50" s="22"/>
    </row>
    <row r="51" spans="1:19" x14ac:dyDescent="0.3">
      <c r="E51" s="22"/>
      <c r="F51" s="56"/>
      <c r="G51" s="33"/>
      <c r="L51" s="22"/>
    </row>
    <row r="52" spans="1:19" x14ac:dyDescent="0.3">
      <c r="B52" s="18" t="s">
        <v>223</v>
      </c>
      <c r="C52" s="47">
        <f>(C43+C44)*Tc+C45+C46+C47</f>
        <v>89.520741251946063</v>
      </c>
      <c r="E52" s="22"/>
      <c r="F52" s="56"/>
      <c r="G52" s="33"/>
      <c r="L52" s="22"/>
    </row>
    <row r="53" spans="1:19" x14ac:dyDescent="0.3">
      <c r="B53" s="18" t="s">
        <v>102</v>
      </c>
      <c r="C53" s="116">
        <f>C52*44/12</f>
        <v>328.24271792380222</v>
      </c>
      <c r="D53" s="15"/>
      <c r="E53" s="22"/>
      <c r="F53" s="34"/>
      <c r="G53" s="35"/>
      <c r="L53" s="22"/>
    </row>
    <row r="54" spans="1:19" x14ac:dyDescent="0.3">
      <c r="B54" s="25" t="s">
        <v>103</v>
      </c>
      <c r="C54" s="15">
        <f>C53*C10</f>
        <v>1378.6194152799694</v>
      </c>
      <c r="E54" s="22"/>
      <c r="F54" s="22"/>
      <c r="G54" s="22"/>
      <c r="I54" s="22"/>
      <c r="J54" s="22"/>
      <c r="L54" s="22"/>
    </row>
    <row r="55" spans="1:19" x14ac:dyDescent="0.3">
      <c r="E55" s="22"/>
      <c r="F55" s="22"/>
      <c r="G55" s="22"/>
      <c r="H55" s="22"/>
      <c r="I55" s="22"/>
      <c r="J55" s="22"/>
      <c r="K55" s="22"/>
      <c r="L55" s="22"/>
    </row>
    <row r="56" spans="1:19" s="22" customFormat="1" x14ac:dyDescent="0.3">
      <c r="A56" s="24" t="s">
        <v>104</v>
      </c>
      <c r="B56" s="24"/>
      <c r="C56" s="24"/>
      <c r="D56" s="24"/>
      <c r="M56"/>
      <c r="R56"/>
      <c r="S56"/>
    </row>
    <row r="57" spans="1:19" x14ac:dyDescent="0.3">
      <c r="A57" s="28"/>
      <c r="B57" s="28"/>
      <c r="C57" s="28"/>
      <c r="D57" s="28"/>
      <c r="F57" s="22"/>
      <c r="G57" s="22"/>
      <c r="H57" s="22"/>
      <c r="I57" s="22"/>
      <c r="J57" s="22"/>
      <c r="K57" s="22"/>
      <c r="L57" s="22"/>
      <c r="M57" s="22"/>
      <c r="R57" s="22"/>
      <c r="S57" s="22"/>
    </row>
    <row r="58" spans="1:19" x14ac:dyDescent="0.3">
      <c r="C58" s="10" t="s">
        <v>92</v>
      </c>
      <c r="D58" s="10" t="s">
        <v>221</v>
      </c>
      <c r="E58" s="10" t="s">
        <v>64</v>
      </c>
      <c r="F58" s="11" t="s">
        <v>222</v>
      </c>
      <c r="G58" s="22"/>
      <c r="H58" s="22"/>
      <c r="K58" s="22"/>
      <c r="L58" s="22"/>
    </row>
    <row r="59" spans="1:19" x14ac:dyDescent="0.3">
      <c r="A59" s="7" t="b">
        <v>0</v>
      </c>
      <c r="B59" s="7" t="s">
        <v>58</v>
      </c>
      <c r="C59" s="13">
        <v>45</v>
      </c>
      <c r="D59" s="13">
        <f>5</f>
        <v>5</v>
      </c>
      <c r="E59" s="13">
        <f>D59*44/12</f>
        <v>18.333333333333332</v>
      </c>
      <c r="F59" s="13">
        <f>E59*$C$10</f>
        <v>77</v>
      </c>
    </row>
    <row r="60" spans="1:19" x14ac:dyDescent="0.3">
      <c r="A60" s="8" t="b">
        <v>0</v>
      </c>
      <c r="B60" s="8" t="s">
        <v>59</v>
      </c>
      <c r="C60" s="14">
        <v>70</v>
      </c>
      <c r="D60" s="14">
        <v>0</v>
      </c>
      <c r="E60" s="14">
        <f>D60*$C$10</f>
        <v>0</v>
      </c>
      <c r="F60" s="14">
        <f>E60*$C$10</f>
        <v>0</v>
      </c>
    </row>
    <row r="61" spans="1:19" x14ac:dyDescent="0.3">
      <c r="A61" s="7" t="b">
        <v>0</v>
      </c>
      <c r="B61" s="7" t="s">
        <v>91</v>
      </c>
      <c r="C61" s="13">
        <v>32</v>
      </c>
      <c r="D61" s="13">
        <f>5</f>
        <v>5</v>
      </c>
      <c r="E61" s="13">
        <f>D61*44/12</f>
        <v>18.333333333333332</v>
      </c>
      <c r="F61" s="13">
        <f>E61*$C$10</f>
        <v>77</v>
      </c>
    </row>
    <row r="62" spans="1:19" x14ac:dyDescent="0.3">
      <c r="A62" s="8" t="b">
        <v>1</v>
      </c>
      <c r="B62" s="8" t="s">
        <v>94</v>
      </c>
      <c r="C62" s="14">
        <v>70</v>
      </c>
      <c r="D62" s="14">
        <f>C52</f>
        <v>89.520741251946063</v>
      </c>
      <c r="E62" s="14">
        <f>D62*44/12</f>
        <v>328.24271792380222</v>
      </c>
      <c r="F62" s="14">
        <f>E62*$C$10</f>
        <v>1378.6194152799694</v>
      </c>
      <c r="G62" s="22"/>
      <c r="H62" s="22"/>
      <c r="I62" s="22"/>
      <c r="J62" s="22"/>
    </row>
    <row r="63" spans="1:19" x14ac:dyDescent="0.3">
      <c r="G63" s="22"/>
      <c r="H63" s="22"/>
      <c r="I63" s="22"/>
      <c r="J63" s="22"/>
    </row>
    <row r="65" spans="1:5" x14ac:dyDescent="0.3">
      <c r="A65" s="67" t="s">
        <v>74</v>
      </c>
      <c r="B65" s="67"/>
      <c r="C65" s="67"/>
      <c r="D65" s="67"/>
    </row>
    <row r="67" spans="1:5" x14ac:dyDescent="0.3">
      <c r="A67" s="172" t="s">
        <v>164</v>
      </c>
      <c r="B67" s="173"/>
      <c r="C67" s="174"/>
      <c r="D67" s="121">
        <v>0</v>
      </c>
    </row>
    <row r="68" spans="1:5" x14ac:dyDescent="0.3">
      <c r="A68" s="175" t="s">
        <v>75</v>
      </c>
      <c r="B68" s="176"/>
      <c r="C68" s="177"/>
      <c r="D68" s="122">
        <v>0.1</v>
      </c>
    </row>
    <row r="69" spans="1:5" x14ac:dyDescent="0.3">
      <c r="A69" s="172" t="s">
        <v>76</v>
      </c>
      <c r="B69" s="173"/>
      <c r="C69" s="174"/>
      <c r="D69" s="121">
        <v>0</v>
      </c>
    </row>
    <row r="70" spans="1:5" x14ac:dyDescent="0.3">
      <c r="A70" s="175" t="s">
        <v>77</v>
      </c>
      <c r="B70" s="176"/>
      <c r="C70" s="177"/>
      <c r="D70" s="122">
        <v>0</v>
      </c>
    </row>
    <row r="74" spans="1:5" x14ac:dyDescent="0.3">
      <c r="A74" s="171" t="s">
        <v>134</v>
      </c>
      <c r="B74" s="171"/>
      <c r="C74" s="171"/>
      <c r="D74" s="171"/>
      <c r="E74" s="22"/>
    </row>
    <row r="76" spans="1:5" x14ac:dyDescent="0.3">
      <c r="A76" s="7" t="s">
        <v>133</v>
      </c>
      <c r="B76" s="13">
        <f>E36+J36+O36+T36</f>
        <v>2121.5785174449011</v>
      </c>
      <c r="C76" s="13" t="s">
        <v>64</v>
      </c>
    </row>
    <row r="77" spans="1:5" x14ac:dyDescent="0.3">
      <c r="A77" s="8" t="s">
        <v>135</v>
      </c>
      <c r="B77" s="14">
        <f>VLOOKUP(TRUE,A59:F62,6,FALSE)</f>
        <v>1378.6194152799694</v>
      </c>
      <c r="C77" s="14" t="s">
        <v>64</v>
      </c>
      <c r="D77" s="28"/>
    </row>
    <row r="78" spans="1:5" x14ac:dyDescent="0.3">
      <c r="A78" s="54" t="s">
        <v>134</v>
      </c>
      <c r="B78" s="55">
        <f>B76-B77</f>
        <v>742.95910216493166</v>
      </c>
      <c r="C78" s="55" t="s">
        <v>64</v>
      </c>
    </row>
    <row r="80" spans="1:5" x14ac:dyDescent="0.3">
      <c r="B80" s="69" t="s">
        <v>173</v>
      </c>
      <c r="C80" s="70">
        <f>B78*(1-D67)*(1-D68)*(1-D69)*(1-D70)</f>
        <v>668.66319194843857</v>
      </c>
      <c r="D80" s="10" t="s">
        <v>174</v>
      </c>
    </row>
    <row r="82" spans="1:20" x14ac:dyDescent="0.3">
      <c r="B82" s="29"/>
      <c r="C82" s="29"/>
    </row>
    <row r="91" spans="1:20" x14ac:dyDescent="0.3">
      <c r="D91" s="22"/>
      <c r="E91" s="22"/>
      <c r="I91" s="22"/>
      <c r="J91" s="22"/>
      <c r="N91" s="22"/>
      <c r="O91" s="22"/>
      <c r="T91" s="22"/>
    </row>
    <row r="92" spans="1:20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19" x14ac:dyDescent="0.3">
      <c r="A97" s="22"/>
      <c r="B97" s="22"/>
      <c r="C97" s="22"/>
      <c r="F97" s="22"/>
      <c r="G97" s="22"/>
      <c r="H97" s="22"/>
      <c r="K97" s="22"/>
      <c r="L97" s="22"/>
      <c r="M97" s="22"/>
      <c r="P97" s="22"/>
      <c r="Q97" s="22"/>
      <c r="R97" s="22"/>
      <c r="S97" s="22"/>
    </row>
    <row r="114" spans="3:3" x14ac:dyDescent="0.3">
      <c r="C114" t="s">
        <v>183</v>
      </c>
    </row>
  </sheetData>
  <mergeCells count="11">
    <mergeCell ref="K18:N18"/>
    <mergeCell ref="P18:T18"/>
    <mergeCell ref="A1:D1"/>
    <mergeCell ref="A18:D18"/>
    <mergeCell ref="F18:I18"/>
    <mergeCell ref="A12:D12"/>
    <mergeCell ref="A74:D74"/>
    <mergeCell ref="A67:C67"/>
    <mergeCell ref="A68:C68"/>
    <mergeCell ref="A69:C69"/>
    <mergeCell ref="A70:C70"/>
  </mergeCells>
  <dataValidations count="3">
    <dataValidation type="list" allowBlank="1" showInputMessage="1" showErrorMessage="1" sqref="B15 G15 L15 Q15">
      <formula1>ESS</formula1>
    </dataValidation>
    <dataValidation type="list" allowBlank="1" showInputMessage="1" showErrorMessage="1" sqref="D67 D69:D70">
      <formula1>Rab</formula1>
    </dataValidation>
    <dataValidation type="list" allowBlank="1" showInputMessage="1" showErrorMessage="1" sqref="H15 M15 R15">
      <formula1>$A$80:$A$85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71" r:id="rId4" name="Check Box 7">
              <controlPr defaultSize="0" autoFill="0" autoLine="0" autoPict="0">
                <anchor moveWithCells="1">
                  <from>
                    <xdr:col>0</xdr:col>
                    <xdr:colOff>678180</xdr:colOff>
                    <xdr:row>3</xdr:row>
                    <xdr:rowOff>22860</xdr:rowOff>
                  </from>
                  <to>
                    <xdr:col>0</xdr:col>
                    <xdr:colOff>967740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5" name="Check Box 8">
              <controlPr defaultSize="0" autoFill="0" autoLine="0" autoPict="0">
                <anchor moveWithCells="1">
                  <from>
                    <xdr:col>0</xdr:col>
                    <xdr:colOff>678180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6" name="Check Box 9">
              <controlPr defaultSize="0" autoFill="0" autoLine="0" autoPict="0">
                <anchor moveWithCells="1">
                  <from>
                    <xdr:col>0</xdr:col>
                    <xdr:colOff>678180</xdr:colOff>
                    <xdr:row>5</xdr:row>
                    <xdr:rowOff>7620</xdr:rowOff>
                  </from>
                  <to>
                    <xdr:col>0</xdr:col>
                    <xdr:colOff>944880</xdr:colOff>
                    <xdr:row>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7" name="Check Box 10">
              <controlPr defaultSize="0" autoFill="0" autoLine="0" autoPict="0">
                <anchor moveWithCells="1">
                  <from>
                    <xdr:col>0</xdr:col>
                    <xdr:colOff>678180</xdr:colOff>
                    <xdr:row>5</xdr:row>
                    <xdr:rowOff>190500</xdr:rowOff>
                  </from>
                  <to>
                    <xdr:col>0</xdr:col>
                    <xdr:colOff>944880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5">
    <tablePart r:id="rId8"/>
    <tablePart r:id="rId9"/>
    <tablePart r:id="rId10"/>
    <tablePart r:id="rId11"/>
    <tablePart r:id="rId1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Inputs!$A$86:$A$91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workbookViewId="0">
      <selection activeCell="M5" sqref="M5"/>
    </sheetView>
  </sheetViews>
  <sheetFormatPr baseColWidth="10" defaultRowHeight="14.4" x14ac:dyDescent="0.3"/>
  <cols>
    <col min="6" max="6" width="16.109375" bestFit="1" customWidth="1"/>
    <col min="7" max="7" width="8" bestFit="1" customWidth="1"/>
    <col min="10" max="10" width="12.5546875" style="37" customWidth="1"/>
    <col min="11" max="11" width="22.88671875" style="37" bestFit="1" customWidth="1"/>
    <col min="12" max="12" width="14.21875" style="37" bestFit="1" customWidth="1"/>
  </cols>
  <sheetData>
    <row r="1" spans="1:12" x14ac:dyDescent="0.3">
      <c r="A1" s="10" t="s">
        <v>265</v>
      </c>
      <c r="B1" s="10"/>
    </row>
    <row r="2" spans="1:12" x14ac:dyDescent="0.3">
      <c r="A2" s="10"/>
      <c r="B2" s="10"/>
    </row>
    <row r="3" spans="1:12" x14ac:dyDescent="0.3">
      <c r="A3" s="182" t="s">
        <v>266</v>
      </c>
      <c r="B3" s="182"/>
      <c r="C3" s="182"/>
      <c r="D3" s="154">
        <f>C13*'1-REA'!C10</f>
        <v>2635.3126732296723</v>
      </c>
    </row>
    <row r="4" spans="1:12" x14ac:dyDescent="0.3">
      <c r="A4" s="182" t="s">
        <v>267</v>
      </c>
      <c r="B4" s="182"/>
      <c r="C4" s="182"/>
      <c r="D4" s="154">
        <f>K13*'1-REA'!C10</f>
        <v>1323.4985711446946</v>
      </c>
    </row>
    <row r="5" spans="1:12" x14ac:dyDescent="0.3">
      <c r="A5" s="183" t="s">
        <v>268</v>
      </c>
      <c r="B5" s="183"/>
      <c r="C5" s="183"/>
      <c r="D5" s="154">
        <f>D3-D4</f>
        <v>1311.8141020849778</v>
      </c>
      <c r="F5" s="18" t="s">
        <v>269</v>
      </c>
      <c r="G5" s="18"/>
      <c r="H5" s="18"/>
      <c r="I5" s="18"/>
      <c r="J5" s="170"/>
      <c r="K5" s="170"/>
      <c r="L5" s="170"/>
    </row>
    <row r="7" spans="1:12" x14ac:dyDescent="0.3">
      <c r="A7" s="179" t="s">
        <v>36</v>
      </c>
      <c r="B7" s="179"/>
      <c r="C7" s="179"/>
      <c r="D7" s="179"/>
      <c r="E7" s="179"/>
      <c r="F7" s="179"/>
      <c r="G7" s="179"/>
      <c r="H7" s="179"/>
      <c r="J7" s="163" t="s">
        <v>259</v>
      </c>
      <c r="K7" s="163"/>
      <c r="L7" s="163"/>
    </row>
    <row r="8" spans="1:12" x14ac:dyDescent="0.3">
      <c r="J8"/>
      <c r="K8"/>
      <c r="L8"/>
    </row>
    <row r="9" spans="1:12" x14ac:dyDescent="0.3">
      <c r="A9" s="151" t="s">
        <v>240</v>
      </c>
      <c r="B9" s="161">
        <v>0.46</v>
      </c>
      <c r="J9" s="164" t="s">
        <v>240</v>
      </c>
      <c r="K9" s="164">
        <v>0.54</v>
      </c>
    </row>
    <row r="10" spans="1:12" x14ac:dyDescent="0.3">
      <c r="A10" s="151" t="s">
        <v>169</v>
      </c>
      <c r="B10" s="161">
        <v>1.3</v>
      </c>
      <c r="J10" s="164" t="s">
        <v>169</v>
      </c>
      <c r="K10" s="164">
        <v>1.3</v>
      </c>
      <c r="L10" s="165"/>
    </row>
    <row r="11" spans="1:12" x14ac:dyDescent="0.3">
      <c r="J11" s="104"/>
      <c r="K11" s="166"/>
      <c r="L11" s="165"/>
    </row>
    <row r="12" spans="1:12" x14ac:dyDescent="0.3">
      <c r="B12" s="19" t="s">
        <v>241</v>
      </c>
      <c r="C12" s="19" t="s">
        <v>242</v>
      </c>
      <c r="D12" s="19" t="s">
        <v>243</v>
      </c>
      <c r="J12" s="104"/>
      <c r="K12" s="166"/>
      <c r="L12" s="165"/>
    </row>
    <row r="13" spans="1:12" x14ac:dyDescent="0.3">
      <c r="A13" s="19" t="s">
        <v>244</v>
      </c>
      <c r="B13" s="152">
        <f>AVERAGE(C55:C119)</f>
        <v>574.78612731402711</v>
      </c>
      <c r="C13" s="152">
        <f>AVERAGE(E55:E154)</f>
        <v>627.45539838801722</v>
      </c>
      <c r="D13" s="152">
        <f>AVERAGE(G55:G154)</f>
        <v>555.96585519147334</v>
      </c>
      <c r="J13" s="19" t="s">
        <v>260</v>
      </c>
      <c r="K13" s="167">
        <f>AVERAGE(L18:L47)</f>
        <v>315.11870741540343</v>
      </c>
      <c r="L13" s="146"/>
    </row>
    <row r="15" spans="1:12" x14ac:dyDescent="0.3">
      <c r="A15" s="10" t="s">
        <v>245</v>
      </c>
      <c r="J15" s="10" t="s">
        <v>261</v>
      </c>
      <c r="K15"/>
      <c r="L15"/>
    </row>
    <row r="16" spans="1:12" x14ac:dyDescent="0.3">
      <c r="J16"/>
      <c r="K16"/>
      <c r="L16"/>
    </row>
    <row r="17" spans="1:12" x14ac:dyDescent="0.3">
      <c r="A17" s="153" t="s">
        <v>246</v>
      </c>
      <c r="B17" s="19" t="s">
        <v>247</v>
      </c>
      <c r="D17" s="153" t="s">
        <v>246</v>
      </c>
      <c r="E17" s="19" t="s">
        <v>248</v>
      </c>
      <c r="G17" s="153" t="s">
        <v>246</v>
      </c>
      <c r="H17" s="19" t="s">
        <v>249</v>
      </c>
      <c r="J17" s="19" t="s">
        <v>262</v>
      </c>
      <c r="K17" s="19" t="s">
        <v>263</v>
      </c>
      <c r="L17" s="19" t="s">
        <v>264</v>
      </c>
    </row>
    <row r="18" spans="1:12" x14ac:dyDescent="0.3">
      <c r="A18" s="19">
        <v>17</v>
      </c>
      <c r="B18" s="154">
        <f>'Inputs - Tables de production'!C13</f>
        <v>103</v>
      </c>
      <c r="D18" s="154">
        <f>'Inputs - Tables de production'!B25</f>
        <v>22</v>
      </c>
      <c r="E18" s="154">
        <f>'Inputs - Tables de production'!C25</f>
        <v>107</v>
      </c>
      <c r="G18" s="154">
        <f>'Inputs - Tables de production'!B37</f>
        <v>27</v>
      </c>
      <c r="H18" s="154">
        <f>'Inputs - Tables de production'!C37</f>
        <v>103</v>
      </c>
      <c r="J18" s="19">
        <v>1</v>
      </c>
      <c r="K18" s="19">
        <f>1*J18</f>
        <v>1</v>
      </c>
      <c r="L18" s="168">
        <f>IF(K18&gt;0,(((K18*$K$9*$K$10) +EXP(-1.0587+(0.8836*LN(K18*$K$9*$K$10))+0.284))*0.475+70+10)*(44/12),0)</f>
        <v>295.14312185797593</v>
      </c>
    </row>
    <row r="19" spans="1:12" x14ac:dyDescent="0.3">
      <c r="A19" s="19">
        <v>20</v>
      </c>
      <c r="B19" s="154">
        <f>'Inputs - Tables de production'!C14</f>
        <v>122</v>
      </c>
      <c r="D19" s="154">
        <f>'Inputs - Tables de production'!B26</f>
        <v>25</v>
      </c>
      <c r="E19" s="154">
        <f>'Inputs - Tables de production'!C26</f>
        <v>127</v>
      </c>
      <c r="G19" s="154">
        <f>'Inputs - Tables de production'!B38</f>
        <v>30</v>
      </c>
      <c r="H19" s="154">
        <f>'Inputs - Tables de production'!C38</f>
        <v>119</v>
      </c>
      <c r="J19" s="19">
        <v>2</v>
      </c>
      <c r="K19" s="19">
        <f t="shared" ref="K19:K47" si="0">1*J19</f>
        <v>2</v>
      </c>
      <c r="L19" s="168">
        <f t="shared" ref="L19:L47" si="1">IF(K19&gt;0,(((K19*$B$9*$B$10) +EXP(-1.0587+(0.8836*LN(K19*$B$9*$B$10))+0.284))*0.475+70+10)*(44/12),0)</f>
        <v>296.35652364785943</v>
      </c>
    </row>
    <row r="20" spans="1:12" x14ac:dyDescent="0.3">
      <c r="A20" s="19">
        <v>25</v>
      </c>
      <c r="B20" s="154">
        <f>'Inputs - Tables de production'!C15</f>
        <v>168</v>
      </c>
      <c r="D20" s="154">
        <f>'Inputs - Tables de production'!B27</f>
        <v>30</v>
      </c>
      <c r="E20" s="154">
        <f>'Inputs - Tables de production'!C27</f>
        <v>160</v>
      </c>
      <c r="G20" s="154">
        <f>'Inputs - Tables de production'!B39</f>
        <v>35</v>
      </c>
      <c r="H20" s="154">
        <f>'Inputs - Tables de production'!C39</f>
        <v>146</v>
      </c>
      <c r="J20" s="19">
        <v>3</v>
      </c>
      <c r="K20" s="19">
        <f t="shared" si="0"/>
        <v>3</v>
      </c>
      <c r="L20" s="168">
        <f t="shared" si="1"/>
        <v>297.80310734839179</v>
      </c>
    </row>
    <row r="21" spans="1:12" x14ac:dyDescent="0.3">
      <c r="A21" s="19">
        <v>30</v>
      </c>
      <c r="B21" s="154">
        <f>'Inputs - Tables de production'!C16</f>
        <v>202</v>
      </c>
      <c r="D21" s="154">
        <f>'Inputs - Tables de production'!B28</f>
        <v>35</v>
      </c>
      <c r="E21" s="154">
        <f>'Inputs - Tables de production'!C28</f>
        <v>192</v>
      </c>
      <c r="G21" s="154">
        <f>'Inputs - Tables de production'!B40</f>
        <v>40</v>
      </c>
      <c r="H21" s="154">
        <f>'Inputs - Tables de production'!C40</f>
        <v>174</v>
      </c>
      <c r="J21" s="19">
        <v>4</v>
      </c>
      <c r="K21" s="19">
        <f t="shared" si="0"/>
        <v>4</v>
      </c>
      <c r="L21" s="168">
        <f t="shared" si="1"/>
        <v>299.23396460252161</v>
      </c>
    </row>
    <row r="22" spans="1:12" x14ac:dyDescent="0.3">
      <c r="A22" s="19">
        <v>35</v>
      </c>
      <c r="B22" s="154">
        <f>'Inputs - Tables de production'!C17</f>
        <v>244</v>
      </c>
      <c r="D22" s="154">
        <f>'Inputs - Tables de production'!B29</f>
        <v>40</v>
      </c>
      <c r="E22" s="154">
        <f>'Inputs - Tables de production'!C29</f>
        <v>223</v>
      </c>
      <c r="G22" s="154">
        <f>'Inputs - Tables de production'!B41</f>
        <v>50</v>
      </c>
      <c r="H22" s="154">
        <f>'Inputs - Tables de production'!C41</f>
        <v>236</v>
      </c>
      <c r="J22" s="19">
        <v>5</v>
      </c>
      <c r="K22" s="19">
        <f t="shared" si="0"/>
        <v>5</v>
      </c>
      <c r="L22" s="168">
        <f t="shared" si="1"/>
        <v>300.6535307321609</v>
      </c>
    </row>
    <row r="23" spans="1:12" x14ac:dyDescent="0.3">
      <c r="A23" s="19">
        <v>40</v>
      </c>
      <c r="B23" s="154">
        <f>'Inputs - Tables de production'!C18</f>
        <v>284</v>
      </c>
      <c r="D23" s="154">
        <f>'Inputs - Tables de production'!B30</f>
        <v>45</v>
      </c>
      <c r="E23" s="154">
        <f>'Inputs - Tables de production'!C30</f>
        <v>265</v>
      </c>
      <c r="G23" s="154">
        <f>'Inputs - Tables de production'!B42</f>
        <v>60</v>
      </c>
      <c r="H23" s="154">
        <f>'Inputs - Tables de production'!C42</f>
        <v>305</v>
      </c>
      <c r="J23" s="19">
        <v>6</v>
      </c>
      <c r="K23" s="19">
        <f t="shared" si="0"/>
        <v>6</v>
      </c>
      <c r="L23" s="168">
        <f t="shared" si="1"/>
        <v>302.06433583010789</v>
      </c>
    </row>
    <row r="24" spans="1:12" x14ac:dyDescent="0.3">
      <c r="A24" s="19">
        <v>45</v>
      </c>
      <c r="B24" s="154">
        <f>'Inputs - Tables de production'!C19</f>
        <v>327</v>
      </c>
      <c r="D24" s="154">
        <f>'Inputs - Tables de production'!B31</f>
        <v>50</v>
      </c>
      <c r="E24" s="154">
        <f>'Inputs - Tables de production'!C31</f>
        <v>299</v>
      </c>
      <c r="G24" s="154">
        <f>'Inputs - Tables de production'!B43</f>
        <v>70</v>
      </c>
      <c r="H24" s="154">
        <f>'Inputs - Tables de production'!C43</f>
        <v>370</v>
      </c>
      <c r="J24" s="19">
        <v>7</v>
      </c>
      <c r="K24" s="19">
        <f t="shared" si="0"/>
        <v>7</v>
      </c>
      <c r="L24" s="168">
        <f t="shared" si="1"/>
        <v>303.46801094936257</v>
      </c>
    </row>
    <row r="25" spans="1:12" x14ac:dyDescent="0.3">
      <c r="A25" s="19">
        <v>50</v>
      </c>
      <c r="B25" s="154">
        <f>'Inputs - Tables de production'!C20</f>
        <v>367</v>
      </c>
      <c r="D25" s="154">
        <f>'Inputs - Tables de production'!B32</f>
        <v>58</v>
      </c>
      <c r="E25" s="154">
        <f>'Inputs - Tables de production'!C32</f>
        <v>362</v>
      </c>
      <c r="G25" s="154">
        <f>'Inputs - Tables de production'!B44</f>
        <v>80</v>
      </c>
      <c r="H25" s="154">
        <f>'Inputs - Tables de production'!C44</f>
        <v>415</v>
      </c>
      <c r="J25" s="19">
        <v>8</v>
      </c>
      <c r="K25" s="19">
        <f t="shared" si="0"/>
        <v>8</v>
      </c>
      <c r="L25" s="168">
        <f t="shared" si="1"/>
        <v>304.86569218273291</v>
      </c>
    </row>
    <row r="26" spans="1:12" x14ac:dyDescent="0.3">
      <c r="A26" s="19">
        <v>55</v>
      </c>
      <c r="B26" s="154">
        <f>'Inputs - Tables de production'!C21</f>
        <v>415</v>
      </c>
      <c r="D26" s="154">
        <f>'Inputs - Tables de production'!B33</f>
        <v>66</v>
      </c>
      <c r="E26" s="154">
        <f>'Inputs - Tables de production'!C33</f>
        <v>430</v>
      </c>
      <c r="G26" s="154"/>
      <c r="H26" s="154"/>
      <c r="J26" s="19">
        <v>9</v>
      </c>
      <c r="K26" s="19">
        <f t="shared" si="0"/>
        <v>9</v>
      </c>
      <c r="L26" s="168">
        <f t="shared" si="1"/>
        <v>306.25821457288532</v>
      </c>
    </row>
    <row r="27" spans="1:12" x14ac:dyDescent="0.3">
      <c r="A27" s="19">
        <v>60</v>
      </c>
      <c r="B27" s="154">
        <f>'Inputs - Tables de production'!C22</f>
        <v>468</v>
      </c>
      <c r="D27" s="154">
        <f>'Inputs - Tables de production'!B34</f>
        <v>74</v>
      </c>
      <c r="E27" s="154">
        <f>'Inputs - Tables de production'!C34</f>
        <v>496</v>
      </c>
      <c r="G27" s="154"/>
      <c r="H27" s="154"/>
      <c r="J27" s="19">
        <v>10</v>
      </c>
      <c r="K27" s="19">
        <f t="shared" si="0"/>
        <v>10</v>
      </c>
      <c r="L27" s="168">
        <f t="shared" si="1"/>
        <v>307.64621671125212</v>
      </c>
    </row>
    <row r="28" spans="1:12" x14ac:dyDescent="0.3">
      <c r="A28" s="19">
        <v>65</v>
      </c>
      <c r="B28" s="154">
        <f>'Inputs - Tables de production'!C23</f>
        <v>527</v>
      </c>
      <c r="D28" s="154">
        <f>'Inputs - Tables de production'!B35</f>
        <v>82</v>
      </c>
      <c r="E28" s="154">
        <f>'Inputs - Tables de production'!C35</f>
        <v>541</v>
      </c>
      <c r="G28" s="12"/>
      <c r="J28" s="19">
        <v>11</v>
      </c>
      <c r="K28" s="19">
        <f t="shared" si="0"/>
        <v>11</v>
      </c>
      <c r="L28" s="168">
        <f t="shared" si="1"/>
        <v>309.03020208026317</v>
      </c>
    </row>
    <row r="29" spans="1:12" x14ac:dyDescent="0.3">
      <c r="A29" s="21"/>
      <c r="B29" s="21"/>
      <c r="D29" s="162"/>
      <c r="E29" s="162"/>
      <c r="G29" s="12"/>
      <c r="J29" s="19">
        <v>12</v>
      </c>
      <c r="K29" s="19">
        <f t="shared" si="0"/>
        <v>12</v>
      </c>
      <c r="L29" s="168">
        <f t="shared" si="1"/>
        <v>310.41057736952547</v>
      </c>
    </row>
    <row r="30" spans="1:12" x14ac:dyDescent="0.3">
      <c r="A30" s="21"/>
      <c r="B30" s="21"/>
      <c r="J30" s="19">
        <v>13</v>
      </c>
      <c r="K30" s="19">
        <f t="shared" si="0"/>
        <v>13</v>
      </c>
      <c r="L30" s="168">
        <f t="shared" si="1"/>
        <v>311.78767762185197</v>
      </c>
    </row>
    <row r="31" spans="1:12" x14ac:dyDescent="0.3">
      <c r="A31" s="21"/>
      <c r="B31" s="21"/>
      <c r="J31" s="19">
        <v>14</v>
      </c>
      <c r="K31" s="19">
        <f t="shared" si="0"/>
        <v>14</v>
      </c>
      <c r="L31" s="168">
        <f t="shared" si="1"/>
        <v>313.16178340691727</v>
      </c>
    </row>
    <row r="32" spans="1:12" x14ac:dyDescent="0.3">
      <c r="A32" s="21"/>
      <c r="B32" s="21"/>
      <c r="J32" s="19">
        <v>15</v>
      </c>
      <c r="K32" s="19">
        <f t="shared" si="0"/>
        <v>15</v>
      </c>
      <c r="L32" s="168">
        <f t="shared" si="1"/>
        <v>314.53313294181345</v>
      </c>
    </row>
    <row r="33" spans="10:12" x14ac:dyDescent="0.3">
      <c r="J33" s="19">
        <v>16</v>
      </c>
      <c r="K33" s="19">
        <f t="shared" si="0"/>
        <v>16</v>
      </c>
      <c r="L33" s="168">
        <f t="shared" si="1"/>
        <v>315.90193088441504</v>
      </c>
    </row>
    <row r="34" spans="10:12" x14ac:dyDescent="0.3">
      <c r="J34" s="19">
        <v>17</v>
      </c>
      <c r="K34" s="19">
        <f t="shared" si="0"/>
        <v>17</v>
      </c>
      <c r="L34" s="168">
        <f t="shared" si="1"/>
        <v>317.26835486444969</v>
      </c>
    </row>
    <row r="35" spans="10:12" x14ac:dyDescent="0.3">
      <c r="J35" s="19">
        <v>18</v>
      </c>
      <c r="K35" s="19">
        <f t="shared" si="0"/>
        <v>18</v>
      </c>
      <c r="L35" s="168">
        <f t="shared" si="1"/>
        <v>318.6325604335085</v>
      </c>
    </row>
    <row r="36" spans="10:12" x14ac:dyDescent="0.3">
      <c r="J36" s="19">
        <v>19</v>
      </c>
      <c r="K36" s="19">
        <f t="shared" si="0"/>
        <v>19</v>
      </c>
      <c r="L36" s="168">
        <f t="shared" si="1"/>
        <v>319.994684883518</v>
      </c>
    </row>
    <row r="37" spans="10:12" x14ac:dyDescent="0.3">
      <c r="J37" s="19">
        <v>20</v>
      </c>
      <c r="K37" s="19">
        <f t="shared" si="0"/>
        <v>20</v>
      </c>
      <c r="L37" s="168">
        <f t="shared" si="1"/>
        <v>321.35485023839033</v>
      </c>
    </row>
    <row r="38" spans="10:12" x14ac:dyDescent="0.3">
      <c r="J38" s="19">
        <v>21</v>
      </c>
      <c r="K38" s="19">
        <f t="shared" si="0"/>
        <v>21</v>
      </c>
      <c r="L38" s="168">
        <f t="shared" si="1"/>
        <v>322.71316563033923</v>
      </c>
    </row>
    <row r="39" spans="10:12" x14ac:dyDescent="0.3">
      <c r="J39" s="19">
        <v>22</v>
      </c>
      <c r="K39" s="19">
        <f t="shared" si="0"/>
        <v>22</v>
      </c>
      <c r="L39" s="168">
        <f t="shared" si="1"/>
        <v>324.06972921074066</v>
      </c>
    </row>
    <row r="40" spans="10:12" x14ac:dyDescent="0.3">
      <c r="J40" s="19">
        <v>23</v>
      </c>
      <c r="K40" s="19">
        <f t="shared" si="0"/>
        <v>23</v>
      </c>
      <c r="L40" s="168">
        <f t="shared" si="1"/>
        <v>325.42462970374254</v>
      </c>
    </row>
    <row r="41" spans="10:12" x14ac:dyDescent="0.3">
      <c r="J41" s="19">
        <v>24</v>
      </c>
      <c r="K41" s="19">
        <f t="shared" si="0"/>
        <v>24</v>
      </c>
      <c r="L41" s="168">
        <f t="shared" si="1"/>
        <v>326.77794768205791</v>
      </c>
    </row>
    <row r="42" spans="10:12" x14ac:dyDescent="0.3">
      <c r="J42" s="19">
        <v>25</v>
      </c>
      <c r="K42" s="19">
        <f t="shared" si="0"/>
        <v>25</v>
      </c>
      <c r="L42" s="168">
        <f t="shared" si="1"/>
        <v>328.12975662413407</v>
      </c>
    </row>
    <row r="43" spans="10:12" x14ac:dyDescent="0.3">
      <c r="J43" s="19">
        <v>26</v>
      </c>
      <c r="K43" s="19">
        <f t="shared" si="0"/>
        <v>26</v>
      </c>
      <c r="L43" s="168">
        <f t="shared" si="1"/>
        <v>329.48012379741306</v>
      </c>
    </row>
    <row r="44" spans="10:12" x14ac:dyDescent="0.3">
      <c r="J44" s="19">
        <v>27</v>
      </c>
      <c r="K44" s="19">
        <f t="shared" si="0"/>
        <v>27</v>
      </c>
      <c r="L44" s="168">
        <f t="shared" si="1"/>
        <v>330.82911100188483</v>
      </c>
    </row>
    <row r="45" spans="10:12" x14ac:dyDescent="0.3">
      <c r="J45" s="19">
        <v>28</v>
      </c>
      <c r="K45" s="19">
        <f t="shared" si="0"/>
        <v>28</v>
      </c>
      <c r="L45" s="168">
        <f t="shared" si="1"/>
        <v>332.17677520038643</v>
      </c>
    </row>
    <row r="46" spans="10:12" x14ac:dyDescent="0.3">
      <c r="J46" s="19">
        <v>29</v>
      </c>
      <c r="K46" s="19">
        <f t="shared" si="0"/>
        <v>29</v>
      </c>
      <c r="L46" s="168">
        <f t="shared" si="1"/>
        <v>333.52316905632892</v>
      </c>
    </row>
    <row r="47" spans="10:12" x14ac:dyDescent="0.3">
      <c r="J47" s="19">
        <v>30</v>
      </c>
      <c r="K47" s="19">
        <f t="shared" si="0"/>
        <v>30</v>
      </c>
      <c r="L47" s="168">
        <f t="shared" si="1"/>
        <v>334.86834139517146</v>
      </c>
    </row>
    <row r="48" spans="10:12" x14ac:dyDescent="0.3">
      <c r="L48" s="169"/>
    </row>
    <row r="49" spans="1:12" x14ac:dyDescent="0.3">
      <c r="L49" s="169"/>
    </row>
    <row r="50" spans="1:12" x14ac:dyDescent="0.3">
      <c r="L50" s="169"/>
    </row>
    <row r="51" spans="1:12" x14ac:dyDescent="0.3">
      <c r="L51" s="169"/>
    </row>
    <row r="52" spans="1:12" ht="15" thickBot="1" x14ac:dyDescent="0.35">
      <c r="L52" s="169"/>
    </row>
    <row r="53" spans="1:12" ht="15" thickBot="1" x14ac:dyDescent="0.35">
      <c r="B53" s="180" t="s">
        <v>250</v>
      </c>
      <c r="C53" s="181"/>
      <c r="D53" s="180" t="s">
        <v>251</v>
      </c>
      <c r="E53" s="181"/>
      <c r="F53" s="180" t="s">
        <v>252</v>
      </c>
      <c r="G53" s="181"/>
      <c r="L53" s="169"/>
    </row>
    <row r="54" spans="1:12" ht="15" thickBot="1" x14ac:dyDescent="0.35">
      <c r="A54" s="155" t="s">
        <v>24</v>
      </c>
      <c r="B54" s="156" t="s">
        <v>253</v>
      </c>
      <c r="C54" s="157" t="s">
        <v>254</v>
      </c>
      <c r="D54" s="156" t="s">
        <v>255</v>
      </c>
      <c r="E54" s="157" t="s">
        <v>256</v>
      </c>
      <c r="F54" s="156" t="s">
        <v>257</v>
      </c>
      <c r="G54" s="157" t="s">
        <v>258</v>
      </c>
      <c r="L54" s="169"/>
    </row>
    <row r="55" spans="1:12" x14ac:dyDescent="0.3">
      <c r="A55" s="155">
        <v>1</v>
      </c>
      <c r="B55" s="158">
        <f xml:space="preserve"> 0.0013*(A55^3) - 0.1153*(A55^2) + (11.287*A55) - 63.98</f>
        <v>-52.806999999999995</v>
      </c>
      <c r="C55" s="159">
        <f>IF(B55&gt;0,(((B55*B$9*B$10) +EXP(-1.0587+(0.8836*LN(B55*B$9*B$10))+0.284))*0.475+70+10)*(44/12),0)</f>
        <v>0</v>
      </c>
      <c r="D55" s="158">
        <f>-0.0008*(A55^3)+0.1351*(A55^2)+(0.4022*A55)+44.356</f>
        <v>44.892499999999998</v>
      </c>
      <c r="E55" s="159">
        <f>IF(D55&gt;0,(((D55*B$9*B$10) +EXP(-1.0587+(0.8836*LN(D55*B$9*B$10))+0.284))*0.475+70+10)*(44/12),0)</f>
        <v>354.78128583744012</v>
      </c>
      <c r="F55" s="158">
        <f xml:space="preserve"> -0.0013*(A55^3) +0.2041*(A55^2) + (-4.0023*A55) +89.291</f>
        <v>85.491500000000002</v>
      </c>
      <c r="G55" s="159">
        <f>IF(F55&gt;0,(((F55*B$9*B$10) +EXP(-1.0587+(0.8836*LN(F55*B$9*B$10))+0.284))*0.475+70+10)*(44/12),0)</f>
        <v>408.33132764751565</v>
      </c>
      <c r="L55" s="169"/>
    </row>
    <row r="56" spans="1:12" x14ac:dyDescent="0.3">
      <c r="A56" s="155">
        <v>2</v>
      </c>
      <c r="B56" s="158">
        <f t="shared" ref="B56:B119" si="2" xml:space="preserve"> 0.0013*(A56^3) - 0.1153*(A56^2) + (11.287*A56) - 63.98</f>
        <v>-41.856799999999993</v>
      </c>
      <c r="C56" s="159">
        <f t="shared" ref="C56:C119" si="3">IF(B56&gt;0,(((B56*B$9*B$10) +EXP(-1.0587+(0.8836*LN(B56*B$9*B$10))+0.284))*0.475+70+10)*(44/12),0)</f>
        <v>0</v>
      </c>
      <c r="D56" s="158">
        <f t="shared" ref="D56:D119" si="4">-0.0008*(A56^3)+0.1351*(A56^2)+(0.4022*A56)+44.356</f>
        <v>45.694400000000002</v>
      </c>
      <c r="E56" s="159">
        <f t="shared" ref="E56:E119" si="5">IF(D56&gt;0,(((D56*B$9*B$10) +EXP(-1.0587+(0.8836*LN(D56*B$9*B$10))+0.284))*0.475+70+10)*(44/12),0)</f>
        <v>355.84812384055169</v>
      </c>
      <c r="F56" s="158">
        <f t="shared" ref="F56:F119" si="6" xml:space="preserve"> -0.0013*(A56^3) +0.2041*(A56^2) + (-4.0023*A56) +89.291</f>
        <v>82.092399999999998</v>
      </c>
      <c r="G56" s="159">
        <f t="shared" ref="G56:G119" si="7">IF(F56&gt;0,(((F56*B$9*B$10) +EXP(-1.0587+(0.8836*LN(F56*B$9*B$10))+0.284))*0.475+70+10)*(44/12),0)</f>
        <v>403.87705184330957</v>
      </c>
      <c r="L56" s="169"/>
    </row>
    <row r="57" spans="1:12" x14ac:dyDescent="0.3">
      <c r="A57" s="155">
        <v>3</v>
      </c>
      <c r="B57" s="158">
        <f t="shared" si="2"/>
        <v>-31.121599999999994</v>
      </c>
      <c r="C57" s="159">
        <f t="shared" si="3"/>
        <v>0</v>
      </c>
      <c r="D57" s="158">
        <f t="shared" si="4"/>
        <v>46.756900000000002</v>
      </c>
      <c r="E57" s="159">
        <f t="shared" si="5"/>
        <v>357.26093430387743</v>
      </c>
      <c r="F57" s="158">
        <f t="shared" si="6"/>
        <v>79.085899999999995</v>
      </c>
      <c r="G57" s="159">
        <f t="shared" si="7"/>
        <v>399.93357521983017</v>
      </c>
      <c r="L57" s="169"/>
    </row>
    <row r="58" spans="1:12" x14ac:dyDescent="0.3">
      <c r="A58" s="155">
        <v>4</v>
      </c>
      <c r="B58" s="158">
        <f t="shared" si="2"/>
        <v>-20.593599999999995</v>
      </c>
      <c r="C58" s="159">
        <f t="shared" si="3"/>
        <v>0</v>
      </c>
      <c r="D58" s="158">
        <f t="shared" si="4"/>
        <v>48.075200000000002</v>
      </c>
      <c r="E58" s="159">
        <f t="shared" si="5"/>
        <v>359.01276081022479</v>
      </c>
      <c r="F58" s="158">
        <f t="shared" si="6"/>
        <v>76.464199999999991</v>
      </c>
      <c r="G58" s="159">
        <f t="shared" si="7"/>
        <v>396.49188651047535</v>
      </c>
      <c r="L58" s="169"/>
    </row>
    <row r="59" spans="1:12" x14ac:dyDescent="0.3">
      <c r="A59" s="155">
        <v>5</v>
      </c>
      <c r="B59" s="158">
        <f t="shared" si="2"/>
        <v>-10.264999999999993</v>
      </c>
      <c r="C59" s="159">
        <f t="shared" si="3"/>
        <v>0</v>
      </c>
      <c r="D59" s="158">
        <f t="shared" si="4"/>
        <v>49.644500000000001</v>
      </c>
      <c r="E59" s="159">
        <f t="shared" si="5"/>
        <v>361.09655836805348</v>
      </c>
      <c r="F59" s="158">
        <f t="shared" si="6"/>
        <v>74.219499999999996</v>
      </c>
      <c r="G59" s="159">
        <f t="shared" si="7"/>
        <v>393.54285596330999</v>
      </c>
      <c r="L59" s="169"/>
    </row>
    <row r="60" spans="1:12" x14ac:dyDescent="0.3">
      <c r="A60" s="155">
        <v>6</v>
      </c>
      <c r="B60" s="158">
        <f t="shared" si="2"/>
        <v>-0.1279999999999859</v>
      </c>
      <c r="C60" s="159">
        <f t="shared" si="3"/>
        <v>0</v>
      </c>
      <c r="D60" s="158">
        <f t="shared" si="4"/>
        <v>51.46</v>
      </c>
      <c r="E60" s="159">
        <f t="shared" si="5"/>
        <v>363.50521736132936</v>
      </c>
      <c r="F60" s="158">
        <f t="shared" si="6"/>
        <v>72.343999999999994</v>
      </c>
      <c r="G60" s="159">
        <f t="shared" si="7"/>
        <v>391.07722127900661</v>
      </c>
      <c r="L60" s="169"/>
    </row>
    <row r="61" spans="1:12" x14ac:dyDescent="0.3">
      <c r="A61" s="155">
        <v>7</v>
      </c>
      <c r="B61" s="158">
        <f t="shared" si="2"/>
        <v>9.8252000000000024</v>
      </c>
      <c r="C61" s="159">
        <f t="shared" si="3"/>
        <v>307.4038964375776</v>
      </c>
      <c r="D61" s="158">
        <f t="shared" si="4"/>
        <v>53.5169</v>
      </c>
      <c r="E61" s="159">
        <f t="shared" si="5"/>
        <v>366.23158628518212</v>
      </c>
      <c r="F61" s="158">
        <f t="shared" si="6"/>
        <v>70.829899999999995</v>
      </c>
      <c r="G61" s="159">
        <f t="shared" si="7"/>
        <v>389.08557531904341</v>
      </c>
      <c r="L61" s="169"/>
    </row>
    <row r="62" spans="1:12" x14ac:dyDescent="0.3">
      <c r="A62" s="155">
        <v>8</v>
      </c>
      <c r="B62" s="158">
        <f t="shared" si="2"/>
        <v>19.60240000000001</v>
      </c>
      <c r="C62" s="159">
        <f t="shared" si="3"/>
        <v>320.81427586407557</v>
      </c>
      <c r="D62" s="158">
        <f t="shared" si="4"/>
        <v>55.810400000000001</v>
      </c>
      <c r="E62" s="159">
        <f t="shared" si="5"/>
        <v>369.26849239606713</v>
      </c>
      <c r="F62" s="158">
        <f t="shared" si="6"/>
        <v>69.669399999999996</v>
      </c>
      <c r="G62" s="159">
        <f t="shared" si="7"/>
        <v>387.55835639481461</v>
      </c>
      <c r="L62" s="169"/>
    </row>
    <row r="63" spans="1:12" x14ac:dyDescent="0.3">
      <c r="A63" s="155">
        <v>9</v>
      </c>
      <c r="B63" s="158">
        <f t="shared" si="2"/>
        <v>29.211400000000019</v>
      </c>
      <c r="C63" s="159">
        <f t="shared" si="3"/>
        <v>333.80763873139512</v>
      </c>
      <c r="D63" s="158">
        <f t="shared" si="4"/>
        <v>58.335700000000003</v>
      </c>
      <c r="E63" s="159">
        <f t="shared" si="5"/>
        <v>372.60875973077754</v>
      </c>
      <c r="F63" s="158">
        <f t="shared" si="6"/>
        <v>68.854700000000008</v>
      </c>
      <c r="G63" s="159">
        <f t="shared" si="7"/>
        <v>386.48584187295347</v>
      </c>
      <c r="L63" s="169"/>
    </row>
    <row r="64" spans="1:12" x14ac:dyDescent="0.3">
      <c r="A64" s="155">
        <v>10</v>
      </c>
      <c r="B64" s="158">
        <f t="shared" si="2"/>
        <v>38.660000000000004</v>
      </c>
      <c r="C64" s="159">
        <f t="shared" si="3"/>
        <v>346.47240729118317</v>
      </c>
      <c r="D64" s="158">
        <f t="shared" si="4"/>
        <v>61.088000000000001</v>
      </c>
      <c r="E64" s="159">
        <f t="shared" si="5"/>
        <v>376.24522424470882</v>
      </c>
      <c r="F64" s="158">
        <f t="shared" si="6"/>
        <v>68.378</v>
      </c>
      <c r="G64" s="159">
        <f t="shared" si="7"/>
        <v>385.85814567128801</v>
      </c>
      <c r="L64" s="169"/>
    </row>
    <row r="65" spans="1:12" x14ac:dyDescent="0.3">
      <c r="A65" s="155">
        <v>11</v>
      </c>
      <c r="B65" s="158">
        <f t="shared" si="2"/>
        <v>47.95600000000001</v>
      </c>
      <c r="C65" s="159">
        <f t="shared" si="3"/>
        <v>358.85441176877276</v>
      </c>
      <c r="D65" s="158">
        <f t="shared" si="4"/>
        <v>64.0625</v>
      </c>
      <c r="E65" s="159">
        <f t="shared" si="5"/>
        <v>380.17074605946834</v>
      </c>
      <c r="F65" s="158">
        <f t="shared" si="6"/>
        <v>68.231499999999997</v>
      </c>
      <c r="G65" s="159">
        <f t="shared" si="7"/>
        <v>385.66521998374463</v>
      </c>
      <c r="L65" s="169"/>
    </row>
    <row r="66" spans="1:12" x14ac:dyDescent="0.3">
      <c r="A66" s="155">
        <v>12</v>
      </c>
      <c r="B66" s="158">
        <f t="shared" si="2"/>
        <v>57.107200000000013</v>
      </c>
      <c r="C66" s="159">
        <f t="shared" si="3"/>
        <v>370.98425376080814</v>
      </c>
      <c r="D66" s="158">
        <f t="shared" si="4"/>
        <v>67.254400000000004</v>
      </c>
      <c r="E66" s="159">
        <f t="shared" si="5"/>
        <v>384.37821898332857</v>
      </c>
      <c r="F66" s="158">
        <f t="shared" si="6"/>
        <v>68.407399999999996</v>
      </c>
      <c r="G66" s="159">
        <f t="shared" si="7"/>
        <v>385.89686128591575</v>
      </c>
      <c r="L66" s="169"/>
    </row>
    <row r="67" spans="1:12" x14ac:dyDescent="0.3">
      <c r="A67" s="155">
        <v>13</v>
      </c>
      <c r="B67" s="158">
        <f t="shared" si="2"/>
        <v>66.121400000000023</v>
      </c>
      <c r="C67" s="159">
        <f t="shared" si="3"/>
        <v>382.88530082452752</v>
      </c>
      <c r="D67" s="158">
        <f t="shared" si="4"/>
        <v>70.658900000000003</v>
      </c>
      <c r="E67" s="159">
        <f t="shared" si="5"/>
        <v>388.86057757775552</v>
      </c>
      <c r="F67" s="158">
        <f t="shared" si="6"/>
        <v>68.897899999999993</v>
      </c>
      <c r="G67" s="159">
        <f t="shared" si="7"/>
        <v>386.54272037144943</v>
      </c>
      <c r="L67" s="169"/>
    </row>
    <row r="68" spans="1:12" x14ac:dyDescent="0.3">
      <c r="A68" s="155">
        <v>14</v>
      </c>
      <c r="B68" s="158">
        <f t="shared" si="2"/>
        <v>75.006400000000014</v>
      </c>
      <c r="C68" s="159">
        <f t="shared" si="3"/>
        <v>394.5769071123791</v>
      </c>
      <c r="D68" s="158">
        <f t="shared" si="4"/>
        <v>74.271199999999993</v>
      </c>
      <c r="E68" s="159">
        <f t="shared" si="5"/>
        <v>393.61080209927906</v>
      </c>
      <c r="F68" s="158">
        <f t="shared" si="6"/>
        <v>69.6952</v>
      </c>
      <c r="G68" s="159">
        <f t="shared" si="7"/>
        <v>387.59231589235691</v>
      </c>
      <c r="L68" s="169"/>
    </row>
    <row r="69" spans="1:12" x14ac:dyDescent="0.3">
      <c r="A69" s="155">
        <v>15</v>
      </c>
      <c r="B69" s="158">
        <f t="shared" si="2"/>
        <v>83.77000000000001</v>
      </c>
      <c r="C69" s="159">
        <f t="shared" si="3"/>
        <v>406.0759653601234</v>
      </c>
      <c r="D69" s="158">
        <f t="shared" si="4"/>
        <v>78.086500000000001</v>
      </c>
      <c r="E69" s="159">
        <f t="shared" si="5"/>
        <v>398.62192166124555</v>
      </c>
      <c r="F69" s="158">
        <f t="shared" si="6"/>
        <v>70.791499999999985</v>
      </c>
      <c r="G69" s="159">
        <f t="shared" si="7"/>
        <v>389.03505065905028</v>
      </c>
      <c r="L69" s="169"/>
    </row>
    <row r="70" spans="1:12" x14ac:dyDescent="0.3">
      <c r="A70" s="155">
        <v>16</v>
      </c>
      <c r="B70" s="158">
        <f t="shared" si="2"/>
        <v>92.420000000000016</v>
      </c>
      <c r="C70" s="159">
        <f t="shared" si="3"/>
        <v>417.39774803585919</v>
      </c>
      <c r="D70" s="158">
        <f t="shared" si="4"/>
        <v>82.1</v>
      </c>
      <c r="E70" s="159">
        <f t="shared" si="5"/>
        <v>403.88701594732765</v>
      </c>
      <c r="F70" s="158">
        <f t="shared" si="6"/>
        <v>72.179000000000002</v>
      </c>
      <c r="G70" s="159">
        <f t="shared" si="7"/>
        <v>390.86022982242326</v>
      </c>
      <c r="L70" s="169"/>
    </row>
    <row r="71" spans="1:12" x14ac:dyDescent="0.3">
      <c r="A71" s="155">
        <v>17</v>
      </c>
      <c r="B71" s="158">
        <f t="shared" si="2"/>
        <v>100.96420000000003</v>
      </c>
      <c r="C71" s="159">
        <f t="shared" si="3"/>
        <v>428.5564031469155</v>
      </c>
      <c r="D71" s="158">
        <f t="shared" si="4"/>
        <v>86.306900000000013</v>
      </c>
      <c r="E71" s="159">
        <f t="shared" si="5"/>
        <v>409.39921577901811</v>
      </c>
      <c r="F71" s="158">
        <f t="shared" si="6"/>
        <v>73.849899999999991</v>
      </c>
      <c r="G71" s="159">
        <f t="shared" si="7"/>
        <v>393.05708001935648</v>
      </c>
      <c r="L71" s="169"/>
    </row>
    <row r="72" spans="1:12" x14ac:dyDescent="0.3">
      <c r="A72" s="155">
        <v>18</v>
      </c>
      <c r="B72" s="158">
        <f t="shared" si="2"/>
        <v>109.41040000000004</v>
      </c>
      <c r="C72" s="159">
        <f t="shared" si="3"/>
        <v>439.56526558169116</v>
      </c>
      <c r="D72" s="158">
        <f t="shared" si="4"/>
        <v>90.702400000000011</v>
      </c>
      <c r="E72" s="159">
        <f t="shared" si="5"/>
        <v>415.15170280117883</v>
      </c>
      <c r="F72" s="158">
        <f t="shared" si="6"/>
        <v>75.796400000000006</v>
      </c>
      <c r="G72" s="159">
        <f t="shared" si="7"/>
        <v>395.6147686082515</v>
      </c>
      <c r="L72" s="169"/>
    </row>
    <row r="73" spans="1:12" x14ac:dyDescent="0.3">
      <c r="A73" s="155">
        <v>19</v>
      </c>
      <c r="B73" s="158">
        <f t="shared" si="2"/>
        <v>117.7664</v>
      </c>
      <c r="C73" s="159">
        <f t="shared" si="3"/>
        <v>450.43706254939758</v>
      </c>
      <c r="D73" s="158">
        <f t="shared" si="4"/>
        <v>95.281700000000001</v>
      </c>
      <c r="E73" s="159">
        <f t="shared" si="5"/>
        <v>421.13770850903029</v>
      </c>
      <c r="F73" s="158">
        <f t="shared" si="6"/>
        <v>78.010699999999986</v>
      </c>
      <c r="G73" s="159">
        <f t="shared" si="7"/>
        <v>398.52242223436934</v>
      </c>
      <c r="L73" s="169"/>
    </row>
    <row r="74" spans="1:12" x14ac:dyDescent="0.3">
      <c r="A74" s="155">
        <v>20</v>
      </c>
      <c r="B74" s="158">
        <f t="shared" si="2"/>
        <v>126.04000000000002</v>
      </c>
      <c r="C74" s="159">
        <f t="shared" si="3"/>
        <v>461.18405465986012</v>
      </c>
      <c r="D74" s="158">
        <f t="shared" si="4"/>
        <v>100.03999999999999</v>
      </c>
      <c r="E74" s="159">
        <f t="shared" si="5"/>
        <v>427.35051280058565</v>
      </c>
      <c r="F74" s="158">
        <f t="shared" si="6"/>
        <v>80.484999999999999</v>
      </c>
      <c r="G74" s="159">
        <f t="shared" si="7"/>
        <v>401.76914412132572</v>
      </c>
      <c r="L74" s="169"/>
    </row>
    <row r="75" spans="1:12" x14ac:dyDescent="0.3">
      <c r="A75" s="155">
        <v>21</v>
      </c>
      <c r="B75" s="158">
        <f t="shared" si="2"/>
        <v>134.23900000000003</v>
      </c>
      <c r="C75" s="159">
        <f t="shared" si="3"/>
        <v>471.81813604148135</v>
      </c>
      <c r="D75" s="158">
        <f t="shared" si="4"/>
        <v>104.9725</v>
      </c>
      <c r="E75" s="159">
        <f t="shared" si="5"/>
        <v>433.78344220267928</v>
      </c>
      <c r="F75" s="158">
        <f t="shared" si="6"/>
        <v>83.211500000000001</v>
      </c>
      <c r="G75" s="159">
        <f t="shared" si="7"/>
        <v>405.3440296597152</v>
      </c>
      <c r="L75" s="169"/>
    </row>
    <row r="76" spans="1:12" x14ac:dyDescent="0.3">
      <c r="A76" s="155">
        <v>22</v>
      </c>
      <c r="B76" s="158">
        <f t="shared" si="2"/>
        <v>142.37120000000002</v>
      </c>
      <c r="C76" s="159">
        <f t="shared" si="3"/>
        <v>482.35090737210146</v>
      </c>
      <c r="D76" s="158">
        <f t="shared" si="4"/>
        <v>110.0744</v>
      </c>
      <c r="E76" s="159">
        <f t="shared" si="5"/>
        <v>440.42986788743775</v>
      </c>
      <c r="F76" s="158">
        <f t="shared" si="6"/>
        <v>86.182400000000001</v>
      </c>
      <c r="G76" s="159">
        <f t="shared" si="7"/>
        <v>409.23618003473632</v>
      </c>
      <c r="L76" s="169"/>
    </row>
    <row r="77" spans="1:12" x14ac:dyDescent="0.3">
      <c r="A77" s="155">
        <v>23</v>
      </c>
      <c r="B77" s="158">
        <f t="shared" si="2"/>
        <v>150.4444</v>
      </c>
      <c r="C77" s="159">
        <f t="shared" si="3"/>
        <v>492.79373041037269</v>
      </c>
      <c r="D77" s="158">
        <f t="shared" si="4"/>
        <v>115.3409</v>
      </c>
      <c r="E77" s="159">
        <f t="shared" si="5"/>
        <v>447.28320356956863</v>
      </c>
      <c r="F77" s="158">
        <f t="shared" si="6"/>
        <v>89.389900000000011</v>
      </c>
      <c r="G77" s="159">
        <f t="shared" si="7"/>
        <v>413.43471378613367</v>
      </c>
      <c r="L77" s="169"/>
    </row>
    <row r="78" spans="1:12" x14ac:dyDescent="0.3">
      <c r="A78" s="155">
        <v>24</v>
      </c>
      <c r="B78" s="158">
        <f t="shared" si="2"/>
        <v>158.46640000000005</v>
      </c>
      <c r="C78" s="159">
        <f t="shared" si="3"/>
        <v>503.15776953910927</v>
      </c>
      <c r="D78" s="158">
        <f t="shared" si="4"/>
        <v>120.7672</v>
      </c>
      <c r="E78" s="159">
        <f t="shared" si="5"/>
        <v>454.33690335298655</v>
      </c>
      <c r="F78" s="158">
        <f t="shared" si="6"/>
        <v>92.8262</v>
      </c>
      <c r="G78" s="159">
        <f t="shared" si="7"/>
        <v>417.92877631669933</v>
      </c>
      <c r="L78" s="169"/>
    </row>
    <row r="79" spans="1:12" x14ac:dyDescent="0.3">
      <c r="A79" s="155">
        <v>25</v>
      </c>
      <c r="B79" s="158">
        <f t="shared" si="2"/>
        <v>166.44500000000002</v>
      </c>
      <c r="C79" s="159">
        <f t="shared" si="3"/>
        <v>513.45402396960947</v>
      </c>
      <c r="D79" s="158">
        <f t="shared" si="4"/>
        <v>126.3485</v>
      </c>
      <c r="E79" s="159">
        <f t="shared" si="5"/>
        <v>461.58445957762638</v>
      </c>
      <c r="F79" s="158">
        <f t="shared" si="6"/>
        <v>96.483499999999992</v>
      </c>
      <c r="G79" s="159">
        <f t="shared" si="7"/>
        <v>422.70754745684189</v>
      </c>
      <c r="L79" s="169"/>
    </row>
    <row r="80" spans="1:12" x14ac:dyDescent="0.3">
      <c r="A80" s="155">
        <v>26</v>
      </c>
      <c r="B80" s="158">
        <f t="shared" si="2"/>
        <v>174.38800000000006</v>
      </c>
      <c r="C80" s="159">
        <f t="shared" si="3"/>
        <v>523.69335308901555</v>
      </c>
      <c r="D80" s="158">
        <f t="shared" si="4"/>
        <v>132.08000000000001</v>
      </c>
      <c r="E80" s="159">
        <f t="shared" si="5"/>
        <v>469.01940070323286</v>
      </c>
      <c r="F80" s="158">
        <f t="shared" si="6"/>
        <v>100.354</v>
      </c>
      <c r="G80" s="159">
        <f t="shared" si="7"/>
        <v>427.76024725360617</v>
      </c>
      <c r="L80" s="169"/>
    </row>
    <row r="81" spans="1:12" x14ac:dyDescent="0.3">
      <c r="A81" s="155">
        <v>27</v>
      </c>
      <c r="B81" s="158">
        <f t="shared" si="2"/>
        <v>182.30320000000003</v>
      </c>
      <c r="C81" s="159">
        <f t="shared" si="3"/>
        <v>533.8864966794979</v>
      </c>
      <c r="D81" s="158">
        <f t="shared" si="4"/>
        <v>137.95689999999999</v>
      </c>
      <c r="E81" s="159">
        <f t="shared" si="5"/>
        <v>476.63528925590919</v>
      </c>
      <c r="F81" s="158">
        <f t="shared" si="6"/>
        <v>104.42990000000002</v>
      </c>
      <c r="G81" s="159">
        <f t="shared" si="7"/>
        <v>433.07614018705442</v>
      </c>
      <c r="L81" s="169"/>
    </row>
    <row r="82" spans="1:12" x14ac:dyDescent="0.3">
      <c r="A82" s="155">
        <v>28</v>
      </c>
      <c r="B82" s="158">
        <f t="shared" si="2"/>
        <v>190.19840000000002</v>
      </c>
      <c r="C82" s="159">
        <f t="shared" si="3"/>
        <v>544.04409123889616</v>
      </c>
      <c r="D82" s="158">
        <f t="shared" si="4"/>
        <v>143.9744</v>
      </c>
      <c r="E82" s="159">
        <f t="shared" si="5"/>
        <v>484.42571985470295</v>
      </c>
      <c r="F82" s="158">
        <f t="shared" si="6"/>
        <v>108.70339999999999</v>
      </c>
      <c r="G82" s="159">
        <f t="shared" si="7"/>
        <v>438.64453803042045</v>
      </c>
      <c r="L82" s="169"/>
    </row>
    <row r="83" spans="1:12" x14ac:dyDescent="0.3">
      <c r="A83" s="155">
        <v>29</v>
      </c>
      <c r="B83" s="158">
        <f t="shared" si="2"/>
        <v>198.08140000000006</v>
      </c>
      <c r="C83" s="159">
        <f t="shared" si="3"/>
        <v>554.17668329390597</v>
      </c>
      <c r="D83" s="158">
        <f t="shared" si="4"/>
        <v>150.1277</v>
      </c>
      <c r="E83" s="159">
        <f t="shared" si="5"/>
        <v>492.384317329032</v>
      </c>
      <c r="F83" s="158">
        <f t="shared" si="6"/>
        <v>113.16669999999999</v>
      </c>
      <c r="G83" s="159">
        <f t="shared" si="7"/>
        <v>444.45480156844485</v>
      </c>
      <c r="L83" s="169"/>
    </row>
    <row r="84" spans="1:12" x14ac:dyDescent="0.3">
      <c r="A84" s="155">
        <v>30</v>
      </c>
      <c r="B84" s="158">
        <f t="shared" si="2"/>
        <v>205.96000000000006</v>
      </c>
      <c r="C84" s="159">
        <f t="shared" si="3"/>
        <v>564.29474036249894</v>
      </c>
      <c r="D84" s="158">
        <f t="shared" si="4"/>
        <v>156.41200000000001</v>
      </c>
      <c r="E84" s="159">
        <f t="shared" si="5"/>
        <v>500.50473493289542</v>
      </c>
      <c r="F84" s="158">
        <f t="shared" si="6"/>
        <v>117.812</v>
      </c>
      <c r="G84" s="159">
        <f t="shared" si="7"/>
        <v>450.49634137580796</v>
      </c>
      <c r="L84" s="169"/>
    </row>
    <row r="85" spans="1:12" x14ac:dyDescent="0.3">
      <c r="A85" s="155">
        <v>31</v>
      </c>
      <c r="B85" s="158">
        <f t="shared" si="2"/>
        <v>213.84200000000007</v>
      </c>
      <c r="C85" s="159">
        <f t="shared" si="3"/>
        <v>574.40866005690441</v>
      </c>
      <c r="D85" s="158">
        <f t="shared" si="4"/>
        <v>162.82249999999999</v>
      </c>
      <c r="E85" s="159">
        <f t="shared" si="5"/>
        <v>508.78065265821976</v>
      </c>
      <c r="F85" s="158">
        <f t="shared" si="6"/>
        <v>122.6315</v>
      </c>
      <c r="G85" s="159">
        <f t="shared" si="7"/>
        <v>456.75861783877599</v>
      </c>
      <c r="L85" s="169"/>
    </row>
    <row r="86" spans="1:12" x14ac:dyDescent="0.3">
      <c r="A86" s="155">
        <v>32</v>
      </c>
      <c r="B86" s="158">
        <f t="shared" si="2"/>
        <v>221.73520000000005</v>
      </c>
      <c r="C86" s="159">
        <f t="shared" si="3"/>
        <v>584.52877769986333</v>
      </c>
      <c r="D86" s="158">
        <f t="shared" si="4"/>
        <v>169.3544</v>
      </c>
      <c r="E86" s="159">
        <f t="shared" si="5"/>
        <v>517.20577564709538</v>
      </c>
      <c r="F86" s="158">
        <f t="shared" si="6"/>
        <v>127.6174</v>
      </c>
      <c r="G86" s="159">
        <f t="shared" si="7"/>
        <v>463.23114058126367</v>
      </c>
      <c r="L86" s="169"/>
    </row>
    <row r="87" spans="1:12" x14ac:dyDescent="0.3">
      <c r="A87" s="155">
        <v>33</v>
      </c>
      <c r="B87" s="158">
        <f t="shared" si="2"/>
        <v>229.64739999999998</v>
      </c>
      <c r="C87" s="159">
        <f t="shared" si="3"/>
        <v>594.6653727404539</v>
      </c>
      <c r="D87" s="158">
        <f t="shared" si="4"/>
        <v>176.00289999999998</v>
      </c>
      <c r="E87" s="159">
        <f t="shared" si="5"/>
        <v>525.77383270081407</v>
      </c>
      <c r="F87" s="158">
        <f t="shared" si="6"/>
        <v>132.76190000000003</v>
      </c>
      <c r="G87" s="159">
        <f t="shared" si="7"/>
        <v>469.90346743382793</v>
      </c>
      <c r="L87" s="169"/>
    </row>
    <row r="88" spans="1:12" x14ac:dyDescent="0.3">
      <c r="A88" s="155">
        <v>34</v>
      </c>
      <c r="B88" s="158">
        <f t="shared" si="2"/>
        <v>237.58640000000005</v>
      </c>
      <c r="C88" s="159">
        <f t="shared" si="3"/>
        <v>604.82867419197612</v>
      </c>
      <c r="D88" s="158">
        <f t="shared" si="4"/>
        <v>182.76319999999998</v>
      </c>
      <c r="E88" s="159">
        <f t="shared" si="5"/>
        <v>534.47857488236377</v>
      </c>
      <c r="F88" s="158">
        <f t="shared" si="6"/>
        <v>138.05719999999999</v>
      </c>
      <c r="G88" s="159">
        <f t="shared" si="7"/>
        <v>476.76520306217446</v>
      </c>
      <c r="L88" s="169"/>
    </row>
    <row r="89" spans="1:12" x14ac:dyDescent="0.3">
      <c r="A89" s="155">
        <v>35</v>
      </c>
      <c r="B89" s="158">
        <f t="shared" si="2"/>
        <v>245.56000000000003</v>
      </c>
      <c r="C89" s="159">
        <f t="shared" si="3"/>
        <v>615.02886526662269</v>
      </c>
      <c r="D89" s="158">
        <f t="shared" si="4"/>
        <v>189.63049999999998</v>
      </c>
      <c r="E89" s="159">
        <f t="shared" si="5"/>
        <v>543.31377420821673</v>
      </c>
      <c r="F89" s="158">
        <f t="shared" si="6"/>
        <v>143.49550000000002</v>
      </c>
      <c r="G89" s="159">
        <f t="shared" si="7"/>
        <v>483.80599735152663</v>
      </c>
      <c r="L89" s="169"/>
    </row>
    <row r="90" spans="1:12" x14ac:dyDescent="0.3">
      <c r="A90" s="155">
        <v>36</v>
      </c>
      <c r="B90" s="158">
        <f t="shared" si="2"/>
        <v>253.57600000000005</v>
      </c>
      <c r="C90" s="159">
        <f t="shared" si="3"/>
        <v>625.27608734553701</v>
      </c>
      <c r="D90" s="158">
        <f t="shared" si="4"/>
        <v>196.59999999999997</v>
      </c>
      <c r="E90" s="159">
        <f t="shared" si="5"/>
        <v>552.273222424751</v>
      </c>
      <c r="F90" s="158">
        <f t="shared" si="6"/>
        <v>149.06899999999999</v>
      </c>
      <c r="G90" s="159">
        <f t="shared" si="7"/>
        <v>491.01554362517425</v>
      </c>
      <c r="L90" s="169"/>
    </row>
    <row r="91" spans="1:12" x14ac:dyDescent="0.3">
      <c r="A91" s="155">
        <v>37</v>
      </c>
      <c r="B91" s="158">
        <f t="shared" si="2"/>
        <v>261.6422</v>
      </c>
      <c r="C91" s="159">
        <f t="shared" si="3"/>
        <v>635.58044339518574</v>
      </c>
      <c r="D91" s="158">
        <f t="shared" si="4"/>
        <v>203.6669</v>
      </c>
      <c r="E91" s="159">
        <f t="shared" si="5"/>
        <v>561.35072986440014</v>
      </c>
      <c r="F91" s="158">
        <f t="shared" si="6"/>
        <v>154.76989999999995</v>
      </c>
      <c r="G91" s="159">
        <f t="shared" si="7"/>
        <v>498.38357675984389</v>
      </c>
      <c r="L91" s="169"/>
    </row>
    <row r="92" spans="1:12" x14ac:dyDescent="0.3">
      <c r="A92" s="155">
        <v>38</v>
      </c>
      <c r="B92" s="158">
        <f t="shared" si="2"/>
        <v>269.76639999999998</v>
      </c>
      <c r="C92" s="159">
        <f t="shared" si="3"/>
        <v>645.95200091960658</v>
      </c>
      <c r="D92" s="158">
        <f t="shared" si="4"/>
        <v>210.82639999999998</v>
      </c>
      <c r="E92" s="159">
        <f t="shared" si="5"/>
        <v>570.54012437654137</v>
      </c>
      <c r="F92" s="158">
        <f t="shared" si="6"/>
        <v>160.59039999999999</v>
      </c>
      <c r="G92" s="159">
        <f t="shared" si="7"/>
        <v>505.89987124720898</v>
      </c>
      <c r="L92" s="169"/>
    </row>
    <row r="93" spans="1:12" x14ac:dyDescent="0.3">
      <c r="A93" s="155">
        <v>39</v>
      </c>
      <c r="B93" s="158">
        <f t="shared" si="2"/>
        <v>277.95640000000003</v>
      </c>
      <c r="C93" s="159">
        <f t="shared" si="3"/>
        <v>656.40079452140412</v>
      </c>
      <c r="D93" s="158">
        <f t="shared" si="4"/>
        <v>218.0737</v>
      </c>
      <c r="E93" s="159">
        <f t="shared" si="5"/>
        <v>579.83525032818852</v>
      </c>
      <c r="F93" s="158">
        <f t="shared" si="6"/>
        <v>166.52270000000001</v>
      </c>
      <c r="G93" s="159">
        <f t="shared" si="7"/>
        <v>513.55423923969977</v>
      </c>
      <c r="L93" s="169"/>
    </row>
    <row r="94" spans="1:12" x14ac:dyDescent="0.3">
      <c r="A94" s="155">
        <v>40</v>
      </c>
      <c r="B94" s="158">
        <f t="shared" si="2"/>
        <v>286.22000000000003</v>
      </c>
      <c r="C94" s="159">
        <f t="shared" si="3"/>
        <v>666.93682813123758</v>
      </c>
      <c r="D94" s="158">
        <f t="shared" si="4"/>
        <v>225.40399999999997</v>
      </c>
      <c r="E94" s="159">
        <f t="shared" si="5"/>
        <v>589.22996766968254</v>
      </c>
      <c r="F94" s="158">
        <f t="shared" si="6"/>
        <v>172.55900000000003</v>
      </c>
      <c r="G94" s="159">
        <f t="shared" si="7"/>
        <v>521.33652860959546</v>
      </c>
      <c r="L94" s="169"/>
    </row>
    <row r="95" spans="1:12" x14ac:dyDescent="0.3">
      <c r="A95" s="155">
        <v>41</v>
      </c>
      <c r="B95" s="158">
        <f t="shared" si="2"/>
        <v>294.56500000000005</v>
      </c>
      <c r="C95" s="159">
        <f t="shared" si="3"/>
        <v>677.57007695512289</v>
      </c>
      <c r="D95" s="158">
        <f t="shared" si="4"/>
        <v>232.8125</v>
      </c>
      <c r="E95" s="159">
        <f t="shared" si="5"/>
        <v>598.71815106076986</v>
      </c>
      <c r="F95" s="158">
        <f t="shared" si="6"/>
        <v>178.69150000000002</v>
      </c>
      <c r="G95" s="159">
        <f t="shared" si="7"/>
        <v>529.23662104289531</v>
      </c>
      <c r="L95" s="169"/>
    </row>
    <row r="96" spans="1:12" x14ac:dyDescent="0.3">
      <c r="A96" s="155">
        <v>42</v>
      </c>
      <c r="B96" s="158">
        <f t="shared" si="2"/>
        <v>302.99920000000003</v>
      </c>
      <c r="C96" s="159">
        <f t="shared" si="3"/>
        <v>688.31048918053523</v>
      </c>
      <c r="D96" s="158">
        <f t="shared" si="4"/>
        <v>240.2944</v>
      </c>
      <c r="E96" s="159">
        <f t="shared" si="5"/>
        <v>608.29368905268007</v>
      </c>
      <c r="F96" s="158">
        <f t="shared" si="6"/>
        <v>184.91240000000002</v>
      </c>
      <c r="G96" s="159">
        <f t="shared" si="7"/>
        <v>537.24443018346471</v>
      </c>
      <c r="L96" s="169"/>
    </row>
    <row r="97" spans="1:12" x14ac:dyDescent="0.3">
      <c r="A97" s="155">
        <v>43</v>
      </c>
      <c r="B97" s="158">
        <f t="shared" si="2"/>
        <v>311.53039999999999</v>
      </c>
      <c r="C97" s="159">
        <f t="shared" si="3"/>
        <v>699.16798747558221</v>
      </c>
      <c r="D97" s="158">
        <f t="shared" si="4"/>
        <v>247.8449</v>
      </c>
      <c r="E97" s="159">
        <f t="shared" si="5"/>
        <v>617.95048332206977</v>
      </c>
      <c r="F97" s="158">
        <f t="shared" si="6"/>
        <v>191.2139</v>
      </c>
      <c r="G97" s="159">
        <f t="shared" si="7"/>
        <v>545.34989983816968</v>
      </c>
      <c r="L97" s="169"/>
    </row>
    <row r="98" spans="1:12" x14ac:dyDescent="0.3">
      <c r="A98" s="155">
        <v>44</v>
      </c>
      <c r="B98" s="158">
        <f t="shared" si="2"/>
        <v>320.16640000000001</v>
      </c>
      <c r="C98" s="159">
        <f t="shared" si="3"/>
        <v>710.15247031006697</v>
      </c>
      <c r="D98" s="158">
        <f t="shared" si="4"/>
        <v>255.45920000000001</v>
      </c>
      <c r="E98" s="159">
        <f t="shared" si="5"/>
        <v>627.68244795294618</v>
      </c>
      <c r="F98" s="158">
        <f t="shared" si="6"/>
        <v>197.58820000000003</v>
      </c>
      <c r="G98" s="159">
        <f t="shared" si="7"/>
        <v>553.54300224996155</v>
      </c>
      <c r="L98" s="169"/>
    </row>
    <row r="99" spans="1:12" x14ac:dyDescent="0.3">
      <c r="A99" s="155">
        <v>45</v>
      </c>
      <c r="B99" s="158">
        <f t="shared" si="2"/>
        <v>328.91500000000002</v>
      </c>
      <c r="C99" s="159">
        <f t="shared" si="3"/>
        <v>721.27381312280727</v>
      </c>
      <c r="D99" s="158">
        <f t="shared" si="4"/>
        <v>263.13249999999999</v>
      </c>
      <c r="E99" s="159">
        <f t="shared" si="5"/>
        <v>637.48350876295092</v>
      </c>
      <c r="F99" s="158">
        <f t="shared" si="6"/>
        <v>204.02750000000003</v>
      </c>
      <c r="G99" s="159">
        <f t="shared" si="7"/>
        <v>561.81373644295206</v>
      </c>
      <c r="L99" s="169"/>
    </row>
    <row r="100" spans="1:12" x14ac:dyDescent="0.3">
      <c r="A100" s="155">
        <v>46</v>
      </c>
      <c r="B100" s="158">
        <f t="shared" si="2"/>
        <v>337.78399999999999</v>
      </c>
      <c r="C100" s="159">
        <f t="shared" si="3"/>
        <v>732.5418693559244</v>
      </c>
      <c r="D100" s="158">
        <f t="shared" si="4"/>
        <v>270.86</v>
      </c>
      <c r="E100" s="159">
        <f t="shared" si="5"/>
        <v>647.34760267062882</v>
      </c>
      <c r="F100" s="158">
        <f t="shared" si="6"/>
        <v>210.524</v>
      </c>
      <c r="G100" s="159">
        <f t="shared" si="7"/>
        <v>570.15212664128273</v>
      </c>
      <c r="L100" s="169"/>
    </row>
    <row r="101" spans="1:12" x14ac:dyDescent="0.3">
      <c r="A101" s="155">
        <v>47</v>
      </c>
      <c r="B101" s="158">
        <f t="shared" si="2"/>
        <v>346.78120000000001</v>
      </c>
      <c r="C101" s="159">
        <f t="shared" si="3"/>
        <v>743.96647137377761</v>
      </c>
      <c r="D101" s="158">
        <f t="shared" si="4"/>
        <v>278.63690000000003</v>
      </c>
      <c r="E101" s="159">
        <f t="shared" si="5"/>
        <v>657.26867710055262</v>
      </c>
      <c r="F101" s="158">
        <f t="shared" si="6"/>
        <v>217.06989999999999</v>
      </c>
      <c r="G101" s="159">
        <f t="shared" si="7"/>
        <v>578.54822076189635</v>
      </c>
      <c r="L101" s="169"/>
    </row>
    <row r="102" spans="1:12" x14ac:dyDescent="0.3">
      <c r="A102" s="155">
        <v>48</v>
      </c>
      <c r="B102" s="158">
        <f t="shared" si="2"/>
        <v>355.9144</v>
      </c>
      <c r="C102" s="159">
        <f t="shared" si="3"/>
        <v>755.55743128170798</v>
      </c>
      <c r="D102" s="158">
        <f t="shared" si="4"/>
        <v>286.45839999999998</v>
      </c>
      <c r="E102" s="159">
        <f t="shared" si="5"/>
        <v>667.2406894234083</v>
      </c>
      <c r="F102" s="158">
        <f t="shared" si="6"/>
        <v>223.65740000000002</v>
      </c>
      <c r="G102" s="159">
        <f t="shared" si="7"/>
        <v>586.99208898005861</v>
      </c>
      <c r="L102" s="169"/>
    </row>
    <row r="103" spans="1:12" x14ac:dyDescent="0.3">
      <c r="A103" s="155">
        <v>49</v>
      </c>
      <c r="B103" s="158">
        <f t="shared" si="2"/>
        <v>365.19139999999993</v>
      </c>
      <c r="C103" s="159">
        <f t="shared" si="3"/>
        <v>767.32454165765103</v>
      </c>
      <c r="D103" s="158">
        <f t="shared" si="4"/>
        <v>294.31969999999995</v>
      </c>
      <c r="E103" s="159">
        <f t="shared" si="5"/>
        <v>677.25760642835837</v>
      </c>
      <c r="F103" s="158">
        <f t="shared" si="6"/>
        <v>230.27870000000004</v>
      </c>
      <c r="G103" s="159">
        <f t="shared" si="7"/>
        <v>595.47382236556746</v>
      </c>
      <c r="L103" s="169"/>
    </row>
    <row r="104" spans="1:12" x14ac:dyDescent="0.3">
      <c r="A104" s="155">
        <v>50</v>
      </c>
      <c r="B104" s="158">
        <f t="shared" si="2"/>
        <v>374.62</v>
      </c>
      <c r="C104" s="159">
        <f t="shared" si="3"/>
        <v>779.27757620789532</v>
      </c>
      <c r="D104" s="158">
        <f t="shared" si="4"/>
        <v>302.21600000000001</v>
      </c>
      <c r="E104" s="159">
        <f t="shared" si="5"/>
        <v>687.31340382521034</v>
      </c>
      <c r="F104" s="158">
        <f t="shared" si="6"/>
        <v>236.92599999999999</v>
      </c>
      <c r="G104" s="159">
        <f t="shared" si="7"/>
        <v>603.98353158693385</v>
      </c>
      <c r="L104" s="169"/>
    </row>
    <row r="105" spans="1:12" x14ac:dyDescent="0.3">
      <c r="A105" s="155">
        <v>51</v>
      </c>
      <c r="B105" s="158">
        <f t="shared" si="2"/>
        <v>384.20799999999997</v>
      </c>
      <c r="C105" s="159">
        <f t="shared" si="3"/>
        <v>791.4262903567693</v>
      </c>
      <c r="D105" s="158">
        <f t="shared" si="4"/>
        <v>310.14249999999998</v>
      </c>
      <c r="E105" s="159">
        <f t="shared" si="5"/>
        <v>697.40206577410629</v>
      </c>
      <c r="F105" s="158">
        <f t="shared" si="6"/>
        <v>243.59150000000005</v>
      </c>
      <c r="G105" s="159">
        <f t="shared" si="7"/>
        <v>612.51134568038481</v>
      </c>
      <c r="L105" s="169"/>
    </row>
    <row r="106" spans="1:12" x14ac:dyDescent="0.3">
      <c r="A106" s="155">
        <v>52</v>
      </c>
      <c r="B106" s="158">
        <f t="shared" si="2"/>
        <v>393.96320000000003</v>
      </c>
      <c r="C106" s="159">
        <f t="shared" si="3"/>
        <v>803.78042177876966</v>
      </c>
      <c r="D106" s="158">
        <f t="shared" si="4"/>
        <v>318.09440000000001</v>
      </c>
      <c r="E106" s="159">
        <f t="shared" si="5"/>
        <v>707.51758444062796</v>
      </c>
      <c r="F106" s="158">
        <f t="shared" si="6"/>
        <v>250.26740000000001</v>
      </c>
      <c r="G106" s="159">
        <f t="shared" si="7"/>
        <v>621.04741088025969</v>
      </c>
      <c r="L106" s="169"/>
    </row>
    <row r="107" spans="1:12" x14ac:dyDescent="0.3">
      <c r="A107" s="155">
        <v>53</v>
      </c>
      <c r="B107" s="158">
        <f t="shared" si="2"/>
        <v>403.89339999999999</v>
      </c>
      <c r="C107" s="159">
        <f t="shared" si="3"/>
        <v>816.3496908805356</v>
      </c>
      <c r="D107" s="158">
        <f t="shared" si="4"/>
        <v>326.06689999999998</v>
      </c>
      <c r="E107" s="159">
        <f t="shared" si="5"/>
        <v>717.65395957437192</v>
      </c>
      <c r="F107" s="158">
        <f t="shared" si="6"/>
        <v>256.94590000000005</v>
      </c>
      <c r="G107" s="159">
        <f t="shared" si="7"/>
        <v>629.58188950721842</v>
      </c>
      <c r="L107" s="169"/>
    </row>
    <row r="108" spans="1:12" x14ac:dyDescent="0.3">
      <c r="A108" s="155">
        <v>54</v>
      </c>
      <c r="B108" s="158">
        <f t="shared" si="2"/>
        <v>414.00639999999999</v>
      </c>
      <c r="C108" s="159">
        <f t="shared" si="3"/>
        <v>829.14380123916101</v>
      </c>
      <c r="D108" s="158">
        <f t="shared" si="4"/>
        <v>334.05519999999996</v>
      </c>
      <c r="E108" s="159">
        <f t="shared" si="5"/>
        <v>727.80519810920509</v>
      </c>
      <c r="F108" s="158">
        <f t="shared" si="6"/>
        <v>263.61920000000009</v>
      </c>
      <c r="G108" s="159">
        <f t="shared" si="7"/>
        <v>638.10495891061203</v>
      </c>
      <c r="L108" s="169"/>
    </row>
    <row r="109" spans="1:12" x14ac:dyDescent="0.3">
      <c r="A109" s="155">
        <v>55</v>
      </c>
      <c r="B109" s="158">
        <f t="shared" si="2"/>
        <v>424.31000000000006</v>
      </c>
      <c r="C109" s="159">
        <f t="shared" si="3"/>
        <v>842.17244000251037</v>
      </c>
      <c r="D109" s="158">
        <f t="shared" si="4"/>
        <v>342.05449999999996</v>
      </c>
      <c r="E109" s="159">
        <f t="shared" si="5"/>
        <v>737.96531378354382</v>
      </c>
      <c r="F109" s="158">
        <f t="shared" si="6"/>
        <v>270.27949999999998</v>
      </c>
      <c r="G109" s="159">
        <f t="shared" si="7"/>
        <v>646.6068104613754</v>
      </c>
      <c r="L109" s="169"/>
    </row>
    <row r="110" spans="1:12" x14ac:dyDescent="0.3">
      <c r="A110" s="155">
        <v>56</v>
      </c>
      <c r="B110" s="158">
        <f t="shared" si="2"/>
        <v>434.81199999999995</v>
      </c>
      <c r="C110" s="159">
        <f t="shared" si="3"/>
        <v>855.44527825651198</v>
      </c>
      <c r="D110" s="158">
        <f t="shared" si="4"/>
        <v>350.05999999999995</v>
      </c>
      <c r="E110" s="159">
        <f t="shared" si="5"/>
        <v>748.1283267791357</v>
      </c>
      <c r="F110" s="158">
        <f t="shared" si="6"/>
        <v>276.91899999999998</v>
      </c>
      <c r="G110" s="159">
        <f t="shared" si="7"/>
        <v>655.07764859184772</v>
      </c>
      <c r="L110" s="169"/>
    </row>
    <row r="111" spans="1:12" x14ac:dyDescent="0.3">
      <c r="A111" s="155">
        <v>57</v>
      </c>
      <c r="B111" s="158">
        <f t="shared" si="2"/>
        <v>445.52020000000005</v>
      </c>
      <c r="C111" s="159">
        <f t="shared" si="3"/>
        <v>868.97197136379714</v>
      </c>
      <c r="D111" s="158">
        <f t="shared" si="4"/>
        <v>358.06689999999998</v>
      </c>
      <c r="E111" s="159">
        <f t="shared" si="5"/>
        <v>758.28826337692703</v>
      </c>
      <c r="F111" s="158">
        <f t="shared" si="6"/>
        <v>283.5299</v>
      </c>
      <c r="G111" s="159">
        <f t="shared" si="7"/>
        <v>663.50768987901654</v>
      </c>
      <c r="L111" s="169"/>
    </row>
    <row r="112" spans="1:12" x14ac:dyDescent="0.3">
      <c r="A112" s="155">
        <v>58</v>
      </c>
      <c r="B112" s="158">
        <f t="shared" si="2"/>
        <v>456.44240000000013</v>
      </c>
      <c r="C112" s="159">
        <f t="shared" si="3"/>
        <v>882.76215927751264</v>
      </c>
      <c r="D112" s="158">
        <f t="shared" si="4"/>
        <v>366.07040000000001</v>
      </c>
      <c r="E112" s="159">
        <f t="shared" si="5"/>
        <v>768.43915562871848</v>
      </c>
      <c r="F112" s="158">
        <f t="shared" si="6"/>
        <v>290.1044</v>
      </c>
      <c r="G112" s="159">
        <f t="shared" si="7"/>
        <v>671.88716216778857</v>
      </c>
      <c r="L112" s="169"/>
    </row>
    <row r="113" spans="1:12" x14ac:dyDescent="0.3">
      <c r="A113" s="155">
        <v>59</v>
      </c>
      <c r="B113" s="158">
        <f t="shared" si="2"/>
        <v>467.58639999999991</v>
      </c>
      <c r="C113" s="159">
        <f t="shared" si="3"/>
        <v>896.82546683367593</v>
      </c>
      <c r="D113" s="158">
        <f t="shared" si="4"/>
        <v>374.06569999999999</v>
      </c>
      <c r="E113" s="159">
        <f t="shared" si="5"/>
        <v>778.57504104340182</v>
      </c>
      <c r="F113" s="158">
        <f t="shared" si="6"/>
        <v>296.63470000000007</v>
      </c>
      <c r="G113" s="159">
        <f t="shared" si="7"/>
        <v>680.20630373100937</v>
      </c>
      <c r="L113" s="169"/>
    </row>
    <row r="114" spans="1:12" x14ac:dyDescent="0.3">
      <c r="A114" s="155">
        <v>60</v>
      </c>
      <c r="B114" s="158">
        <f t="shared" si="2"/>
        <v>478.96000000000004</v>
      </c>
      <c r="C114" s="159">
        <f t="shared" si="3"/>
        <v>911.17150402502966</v>
      </c>
      <c r="D114" s="158">
        <f t="shared" si="4"/>
        <v>382.048</v>
      </c>
      <c r="E114" s="159">
        <f t="shared" si="5"/>
        <v>788.68996228665912</v>
      </c>
      <c r="F114" s="158">
        <f t="shared" si="6"/>
        <v>303.11299999999994</v>
      </c>
      <c r="G114" s="159">
        <f t="shared" si="7"/>
        <v>688.45536246308211</v>
      </c>
      <c r="L114" s="169"/>
    </row>
    <row r="115" spans="1:12" x14ac:dyDescent="0.3">
      <c r="A115" s="155">
        <v>61</v>
      </c>
      <c r="B115" s="158">
        <f t="shared" si="2"/>
        <v>490.57100000000003</v>
      </c>
      <c r="C115" s="159">
        <f t="shared" si="3"/>
        <v>925.80986625898754</v>
      </c>
      <c r="D115" s="158">
        <f t="shared" si="4"/>
        <v>390.01249999999999</v>
      </c>
      <c r="E115" s="159">
        <f t="shared" si="5"/>
        <v>798.77796689309218</v>
      </c>
      <c r="F115" s="158">
        <f t="shared" si="6"/>
        <v>309.53150000000005</v>
      </c>
      <c r="G115" s="159">
        <f t="shared" si="7"/>
        <v>696.62459510417068</v>
      </c>
      <c r="L115" s="169"/>
    </row>
    <row r="116" spans="1:12" x14ac:dyDescent="0.3">
      <c r="A116" s="155">
        <v>62</v>
      </c>
      <c r="B116" s="158">
        <f t="shared" si="2"/>
        <v>502.42720000000008</v>
      </c>
      <c r="C116" s="159">
        <f t="shared" si="3"/>
        <v>940.750134601951</v>
      </c>
      <c r="D116" s="158">
        <f t="shared" si="4"/>
        <v>397.95439999999991</v>
      </c>
      <c r="E116" s="159">
        <f t="shared" si="5"/>
        <v>808.83310698981813</v>
      </c>
      <c r="F116" s="158">
        <f t="shared" si="6"/>
        <v>315.88239999999996</v>
      </c>
      <c r="G116" s="159">
        <f t="shared" si="7"/>
        <v>704.70426649208616</v>
      </c>
      <c r="L116" s="169"/>
    </row>
    <row r="117" spans="1:12" x14ac:dyDescent="0.3">
      <c r="A117" s="155">
        <v>63</v>
      </c>
      <c r="B117" s="158">
        <f t="shared" si="2"/>
        <v>514.53639999999996</v>
      </c>
      <c r="C117" s="159">
        <f t="shared" si="3"/>
        <v>956.0018760119824</v>
      </c>
      <c r="D117" s="158">
        <f t="shared" si="4"/>
        <v>405.8689</v>
      </c>
      <c r="E117" s="159">
        <f t="shared" si="5"/>
        <v>818.84943903063959</v>
      </c>
      <c r="F117" s="158">
        <f t="shared" si="6"/>
        <v>322.15789999999998</v>
      </c>
      <c r="G117" s="159">
        <f t="shared" si="7"/>
        <v>712.68464883909701</v>
      </c>
      <c r="L117" s="169"/>
    </row>
    <row r="118" spans="1:12" x14ac:dyDescent="0.3">
      <c r="A118" s="155">
        <v>64</v>
      </c>
      <c r="B118" s="158">
        <f t="shared" si="2"/>
        <v>526.90640000000008</v>
      </c>
      <c r="C118" s="159">
        <f t="shared" si="3"/>
        <v>971.57464356157993</v>
      </c>
      <c r="D118" s="158">
        <f t="shared" si="4"/>
        <v>413.75119999999998</v>
      </c>
      <c r="E118" s="159">
        <f t="shared" si="5"/>
        <v>828.82102353995435</v>
      </c>
      <c r="F118" s="158">
        <f t="shared" si="6"/>
        <v>328.35020000000003</v>
      </c>
      <c r="G118" s="159">
        <f t="shared" si="7"/>
        <v>720.556021030995</v>
      </c>
    </row>
    <row r="119" spans="1:12" x14ac:dyDescent="0.3">
      <c r="A119" s="155">
        <v>65</v>
      </c>
      <c r="B119" s="158">
        <f t="shared" si="2"/>
        <v>539.54500000000007</v>
      </c>
      <c r="C119" s="159">
        <f t="shared" si="3"/>
        <v>987.47797665206315</v>
      </c>
      <c r="D119" s="158">
        <f t="shared" si="4"/>
        <v>421.59649999999999</v>
      </c>
      <c r="E119" s="159">
        <f t="shared" si="5"/>
        <v>838.74192486562993</v>
      </c>
      <c r="F119" s="158">
        <f t="shared" si="6"/>
        <v>334.45150000000001</v>
      </c>
      <c r="G119" s="159">
        <f t="shared" si="7"/>
        <v>728.30866794587132</v>
      </c>
    </row>
    <row r="120" spans="1:12" x14ac:dyDescent="0.3">
      <c r="A120" s="155">
        <v>66</v>
      </c>
      <c r="B120" s="158"/>
      <c r="C120" s="159"/>
      <c r="D120" s="158">
        <f t="shared" ref="D120:D136" si="8">-0.0008*(A120^3)+0.1351*(A120^2)+(0.4022*A120)+44.356</f>
        <v>429.4</v>
      </c>
      <c r="E120" s="159">
        <f t="shared" ref="E120:E136" si="9">IF(D120&gt;0,(((D120*B$9*B$10) +EXP(-1.0587+(0.8836*LN(D120*B$9*B$10))+0.284))*0.475+70+10)*(44/12),0)</f>
        <v>848.60621094011708</v>
      </c>
      <c r="F120" s="158">
        <f t="shared" ref="F120:F134" si="10" xml:space="preserve"> -0.0013*(A120^3) +0.2041*(A120^2) + (-4.0023*A120) +89.291</f>
        <v>340.45400000000012</v>
      </c>
      <c r="G120" s="159">
        <f t="shared" ref="G120:G134" si="11">IF(F120&gt;0,(((F120*B$9*B$10) +EXP(-1.0587+(0.8836*LN(F120*B$9*B$10))+0.284))*0.475+70+10)*(44/12),0)</f>
        <v>735.93287979014565</v>
      </c>
    </row>
    <row r="121" spans="1:12" x14ac:dyDescent="0.3">
      <c r="A121" s="155">
        <v>67</v>
      </c>
      <c r="B121" s="158"/>
      <c r="C121" s="159"/>
      <c r="D121" s="158">
        <f t="shared" si="8"/>
        <v>437.15689999999995</v>
      </c>
      <c r="E121" s="159">
        <f t="shared" si="9"/>
        <v>858.40795304912092</v>
      </c>
      <c r="F121" s="158">
        <f t="shared" si="10"/>
        <v>346.3499000000001</v>
      </c>
      <c r="G121" s="159">
        <f t="shared" si="11"/>
        <v>743.41895144947057</v>
      </c>
    </row>
    <row r="122" spans="1:12" x14ac:dyDescent="0.3">
      <c r="A122" s="155">
        <v>68</v>
      </c>
      <c r="B122" s="158"/>
      <c r="C122" s="159"/>
      <c r="D122" s="158">
        <f t="shared" si="8"/>
        <v>444.86239999999998</v>
      </c>
      <c r="E122" s="159">
        <f t="shared" si="9"/>
        <v>868.14122560719204</v>
      </c>
      <c r="F122" s="158">
        <f t="shared" si="10"/>
        <v>352.1314000000001</v>
      </c>
      <c r="G122" s="159">
        <f t="shared" si="11"/>
        <v>750.75718185221353</v>
      </c>
    </row>
    <row r="123" spans="1:12" x14ac:dyDescent="0.3">
      <c r="A123" s="155">
        <v>69</v>
      </c>
      <c r="B123" s="158"/>
      <c r="C123" s="159"/>
      <c r="D123" s="158">
        <f t="shared" si="8"/>
        <v>452.51169999999996</v>
      </c>
      <c r="E123" s="159">
        <f t="shared" si="9"/>
        <v>877.80010593963743</v>
      </c>
      <c r="F123" s="158">
        <f t="shared" si="10"/>
        <v>357.79070000000002</v>
      </c>
      <c r="G123" s="159">
        <f t="shared" si="11"/>
        <v>757.93787334327237</v>
      </c>
    </row>
    <row r="124" spans="1:12" x14ac:dyDescent="0.3">
      <c r="A124" s="155">
        <v>70</v>
      </c>
      <c r="B124" s="158"/>
      <c r="C124" s="159"/>
      <c r="D124" s="158">
        <f t="shared" si="8"/>
        <v>460.09999999999997</v>
      </c>
      <c r="E124" s="159">
        <f t="shared" si="9"/>
        <v>887.37867407018553</v>
      </c>
      <c r="F124" s="158">
        <f t="shared" si="10"/>
        <v>363.32000000000005</v>
      </c>
      <c r="G124" s="159">
        <f t="shared" si="11"/>
        <v>764.95133106602884</v>
      </c>
    </row>
    <row r="125" spans="1:12" x14ac:dyDescent="0.3">
      <c r="A125" s="155">
        <v>71</v>
      </c>
      <c r="B125" s="158"/>
      <c r="C125" s="159"/>
      <c r="D125" s="158">
        <f t="shared" si="8"/>
        <v>467.62249999999995</v>
      </c>
      <c r="E125" s="159">
        <f t="shared" si="9"/>
        <v>896.871012513869</v>
      </c>
      <c r="F125" s="158">
        <f t="shared" si="10"/>
        <v>368.71149999999989</v>
      </c>
      <c r="G125" s="159">
        <f t="shared" si="11"/>
        <v>771.7878623502786</v>
      </c>
    </row>
    <row r="126" spans="1:12" x14ac:dyDescent="0.3">
      <c r="A126" s="155">
        <v>72</v>
      </c>
      <c r="B126" s="158"/>
      <c r="C126" s="159"/>
      <c r="D126" s="158">
        <f t="shared" si="8"/>
        <v>475.07439999999991</v>
      </c>
      <c r="E126" s="159">
        <f t="shared" si="9"/>
        <v>906.27120607461472</v>
      </c>
      <c r="F126" s="158">
        <f t="shared" si="10"/>
        <v>373.95740000000001</v>
      </c>
      <c r="G126" s="159">
        <f t="shared" si="11"/>
        <v>778.43777610399673</v>
      </c>
    </row>
    <row r="127" spans="1:12" x14ac:dyDescent="0.3">
      <c r="A127" s="155">
        <v>73</v>
      </c>
      <c r="B127" s="158"/>
      <c r="C127" s="159"/>
      <c r="D127" s="158">
        <f t="shared" si="8"/>
        <v>482.45089999999993</v>
      </c>
      <c r="E127" s="159">
        <f t="shared" si="9"/>
        <v>915.57334164706458</v>
      </c>
      <c r="F127" s="158">
        <f t="shared" si="10"/>
        <v>379.04989999999998</v>
      </c>
      <c r="G127" s="159">
        <f t="shared" si="11"/>
        <v>784.89138220680013</v>
      </c>
    </row>
    <row r="128" spans="1:12" x14ac:dyDescent="0.3">
      <c r="A128" s="155">
        <v>74</v>
      </c>
      <c r="B128" s="158"/>
      <c r="C128" s="159"/>
      <c r="D128" s="158">
        <f t="shared" si="8"/>
        <v>489.74719999999991</v>
      </c>
      <c r="E128" s="159">
        <f t="shared" si="9"/>
        <v>924.77150802215817</v>
      </c>
      <c r="F128" s="158">
        <f t="shared" si="10"/>
        <v>383.98119999999989</v>
      </c>
      <c r="G128" s="159">
        <f t="shared" si="11"/>
        <v>791.13899090296638</v>
      </c>
    </row>
    <row r="129" spans="1:7" x14ac:dyDescent="0.3">
      <c r="A129" s="155">
        <v>75</v>
      </c>
      <c r="B129" s="158"/>
      <c r="C129" s="159"/>
      <c r="D129" s="158">
        <f t="shared" si="8"/>
        <v>496.95850000000002</v>
      </c>
      <c r="E129" s="159">
        <f t="shared" si="9"/>
        <v>933.85979569603955</v>
      </c>
      <c r="F129" s="158">
        <f t="shared" si="10"/>
        <v>388.74349999999998</v>
      </c>
      <c r="G129" s="159">
        <f t="shared" si="11"/>
        <v>797.17091219183931</v>
      </c>
    </row>
    <row r="130" spans="1:7" x14ac:dyDescent="0.3">
      <c r="A130" s="155">
        <v>76</v>
      </c>
      <c r="B130" s="158"/>
      <c r="C130" s="159"/>
      <c r="D130" s="158">
        <f t="shared" si="8"/>
        <v>504.07999999999993</v>
      </c>
      <c r="E130" s="159">
        <f t="shared" si="9"/>
        <v>942.83229668186323</v>
      </c>
      <c r="F130" s="158">
        <f t="shared" si="10"/>
        <v>393.32900000000001</v>
      </c>
      <c r="G130" s="159">
        <f t="shared" si="11"/>
        <v>802.97745521340801</v>
      </c>
    </row>
    <row r="131" spans="1:7" x14ac:dyDescent="0.3">
      <c r="A131" s="155">
        <v>77</v>
      </c>
      <c r="B131" s="158"/>
      <c r="C131" s="159"/>
      <c r="D131" s="158">
        <f t="shared" si="8"/>
        <v>511.10689999999994</v>
      </c>
      <c r="E131" s="159">
        <f t="shared" si="9"/>
        <v>951.68310432408839</v>
      </c>
      <c r="F131" s="158">
        <f t="shared" si="10"/>
        <v>397.72989999999999</v>
      </c>
      <c r="G131" s="159">
        <f t="shared" si="11"/>
        <v>808.54892762680345</v>
      </c>
    </row>
    <row r="132" spans="1:7" x14ac:dyDescent="0.3">
      <c r="A132" s="155">
        <v>78</v>
      </c>
      <c r="B132" s="158"/>
      <c r="C132" s="159"/>
      <c r="D132" s="158">
        <f t="shared" si="8"/>
        <v>518.03440000000001</v>
      </c>
      <c r="E132" s="159">
        <f t="shared" si="9"/>
        <v>960.4063131148655</v>
      </c>
      <c r="F132" s="158">
        <f t="shared" si="10"/>
        <v>401.93840000000006</v>
      </c>
      <c r="G132" s="159">
        <f t="shared" si="11"/>
        <v>813.87563497936151</v>
      </c>
    </row>
    <row r="133" spans="1:7" x14ac:dyDescent="0.3">
      <c r="A133" s="155">
        <v>79</v>
      </c>
      <c r="B133" s="158"/>
      <c r="C133" s="159"/>
      <c r="D133" s="158">
        <f t="shared" si="8"/>
        <v>524.85769999999991</v>
      </c>
      <c r="E133" s="159">
        <f t="shared" si="9"/>
        <v>968.99601851212708</v>
      </c>
      <c r="F133" s="158">
        <f t="shared" si="10"/>
        <v>405.94670000000002</v>
      </c>
      <c r="G133" s="159">
        <f t="shared" si="11"/>
        <v>818.94788006382328</v>
      </c>
    </row>
    <row r="134" spans="1:7" x14ac:dyDescent="0.3">
      <c r="A134" s="155">
        <v>80</v>
      </c>
      <c r="B134" s="158"/>
      <c r="C134" s="159"/>
      <c r="D134" s="158">
        <f t="shared" si="8"/>
        <v>531.572</v>
      </c>
      <c r="E134" s="159">
        <f t="shared" si="9"/>
        <v>977.44631675900928</v>
      </c>
      <c r="F134" s="158">
        <f t="shared" si="10"/>
        <v>409.74700000000001</v>
      </c>
      <c r="G134" s="159">
        <f t="shared" si="11"/>
        <v>823.75596226111645</v>
      </c>
    </row>
    <row r="135" spans="1:7" x14ac:dyDescent="0.3">
      <c r="A135" s="155">
        <v>81</v>
      </c>
      <c r="B135" s="158"/>
      <c r="C135" s="159"/>
      <c r="D135" s="158">
        <f t="shared" si="8"/>
        <v>538.1724999999999</v>
      </c>
      <c r="E135" s="159">
        <f t="shared" si="9"/>
        <v>985.75130470422789</v>
      </c>
      <c r="F135" s="158"/>
      <c r="G135" s="159"/>
    </row>
    <row r="136" spans="1:7" x14ac:dyDescent="0.3">
      <c r="A136" s="155">
        <v>82</v>
      </c>
      <c r="B136" s="158"/>
      <c r="C136" s="159"/>
      <c r="D136" s="158">
        <f t="shared" si="8"/>
        <v>544.6543999999999</v>
      </c>
      <c r="E136" s="159">
        <f t="shared" si="9"/>
        <v>993.90507962304912</v>
      </c>
      <c r="F136" s="158"/>
      <c r="G136" s="159"/>
    </row>
    <row r="137" spans="1:7" x14ac:dyDescent="0.3">
      <c r="A137" s="155">
        <v>83</v>
      </c>
      <c r="B137" s="158"/>
      <c r="C137" s="159"/>
      <c r="D137" s="158"/>
      <c r="E137" s="159"/>
      <c r="F137" s="158"/>
      <c r="G137" s="159"/>
    </row>
    <row r="138" spans="1:7" x14ac:dyDescent="0.3">
      <c r="A138" s="155">
        <v>84</v>
      </c>
      <c r="B138" s="158"/>
      <c r="C138" s="159"/>
      <c r="D138" s="158"/>
      <c r="E138" s="159"/>
      <c r="F138" s="158"/>
      <c r="G138" s="159"/>
    </row>
    <row r="139" spans="1:7" x14ac:dyDescent="0.3">
      <c r="A139" s="155">
        <v>85</v>
      </c>
      <c r="B139" s="158"/>
      <c r="C139" s="159"/>
      <c r="D139" s="158"/>
      <c r="E139" s="159"/>
      <c r="F139" s="158"/>
      <c r="G139" s="159"/>
    </row>
    <row r="140" spans="1:7" x14ac:dyDescent="0.3">
      <c r="A140" s="155">
        <v>86</v>
      </c>
      <c r="B140" s="158"/>
      <c r="C140" s="159"/>
      <c r="D140" s="158"/>
      <c r="E140" s="159"/>
      <c r="F140" s="158"/>
      <c r="G140" s="159"/>
    </row>
    <row r="141" spans="1:7" x14ac:dyDescent="0.3">
      <c r="A141" s="155">
        <v>87</v>
      </c>
      <c r="B141" s="158"/>
      <c r="C141" s="159"/>
      <c r="D141" s="158"/>
      <c r="E141" s="159"/>
      <c r="F141" s="158"/>
      <c r="G141" s="159"/>
    </row>
    <row r="142" spans="1:7" x14ac:dyDescent="0.3">
      <c r="A142" s="155">
        <v>88</v>
      </c>
      <c r="B142" s="158"/>
      <c r="C142" s="159"/>
      <c r="D142" s="158"/>
      <c r="E142" s="159"/>
      <c r="F142" s="158"/>
      <c r="G142" s="159"/>
    </row>
    <row r="143" spans="1:7" x14ac:dyDescent="0.3">
      <c r="A143" s="155">
        <v>89</v>
      </c>
      <c r="B143" s="158"/>
      <c r="C143" s="159"/>
      <c r="D143" s="158"/>
      <c r="E143" s="159"/>
      <c r="F143" s="158"/>
      <c r="G143" s="159"/>
    </row>
    <row r="144" spans="1:7" x14ac:dyDescent="0.3">
      <c r="A144" s="155">
        <v>90</v>
      </c>
      <c r="B144" s="158"/>
      <c r="C144" s="159"/>
      <c r="D144" s="158"/>
      <c r="E144" s="159"/>
      <c r="F144" s="158"/>
      <c r="G144" s="159"/>
    </row>
    <row r="145" spans="1:7" x14ac:dyDescent="0.3">
      <c r="A145" s="155">
        <v>91</v>
      </c>
      <c r="B145" s="158"/>
      <c r="C145" s="159"/>
      <c r="D145" s="158"/>
      <c r="E145" s="159"/>
      <c r="F145" s="158"/>
      <c r="G145" s="159"/>
    </row>
    <row r="146" spans="1:7" x14ac:dyDescent="0.3">
      <c r="A146" s="155">
        <v>92</v>
      </c>
      <c r="B146" s="158"/>
      <c r="C146" s="159"/>
      <c r="D146" s="158"/>
      <c r="E146" s="159"/>
      <c r="F146" s="158"/>
      <c r="G146" s="159"/>
    </row>
    <row r="147" spans="1:7" x14ac:dyDescent="0.3">
      <c r="A147" s="155">
        <v>93</v>
      </c>
      <c r="B147" s="158"/>
      <c r="C147" s="159"/>
      <c r="D147" s="158"/>
      <c r="E147" s="159"/>
      <c r="F147" s="158"/>
      <c r="G147" s="159"/>
    </row>
    <row r="148" spans="1:7" x14ac:dyDescent="0.3">
      <c r="A148" s="155">
        <v>94</v>
      </c>
      <c r="B148" s="158"/>
      <c r="C148" s="159"/>
      <c r="D148" s="158"/>
      <c r="E148" s="159"/>
      <c r="F148" s="158"/>
      <c r="G148" s="159"/>
    </row>
    <row r="149" spans="1:7" x14ac:dyDescent="0.3">
      <c r="A149" s="155">
        <v>95</v>
      </c>
      <c r="B149" s="158"/>
      <c r="C149" s="159"/>
      <c r="D149" s="158"/>
      <c r="E149" s="159"/>
      <c r="F149" s="158"/>
      <c r="G149" s="159"/>
    </row>
    <row r="150" spans="1:7" x14ac:dyDescent="0.3">
      <c r="A150" s="155">
        <v>96</v>
      </c>
      <c r="B150" s="158"/>
      <c r="C150" s="159"/>
      <c r="D150" s="158"/>
      <c r="E150" s="159"/>
      <c r="F150" s="158"/>
      <c r="G150" s="159"/>
    </row>
    <row r="151" spans="1:7" x14ac:dyDescent="0.3">
      <c r="A151" s="155">
        <v>97</v>
      </c>
      <c r="B151" s="158"/>
      <c r="C151" s="159"/>
      <c r="D151" s="158"/>
      <c r="E151" s="159"/>
      <c r="F151" s="158"/>
      <c r="G151" s="159"/>
    </row>
    <row r="152" spans="1:7" x14ac:dyDescent="0.3">
      <c r="A152" s="155">
        <v>98</v>
      </c>
      <c r="B152" s="158"/>
      <c r="C152" s="159"/>
      <c r="D152" s="158"/>
      <c r="E152" s="159"/>
      <c r="F152" s="158"/>
      <c r="G152" s="159"/>
    </row>
    <row r="153" spans="1:7" x14ac:dyDescent="0.3">
      <c r="A153" s="155">
        <v>99</v>
      </c>
      <c r="B153" s="158"/>
      <c r="C153" s="159"/>
      <c r="D153" s="158"/>
      <c r="E153" s="159"/>
      <c r="F153" s="158"/>
      <c r="G153" s="159"/>
    </row>
    <row r="154" spans="1:7" ht="15" thickBot="1" x14ac:dyDescent="0.35">
      <c r="A154" s="155">
        <v>100</v>
      </c>
      <c r="B154" s="158"/>
      <c r="C154" s="160"/>
      <c r="D154" s="158"/>
      <c r="E154" s="159"/>
      <c r="F154" s="158"/>
      <c r="G154" s="159"/>
    </row>
  </sheetData>
  <mergeCells count="7">
    <mergeCell ref="A7:H7"/>
    <mergeCell ref="B53:C53"/>
    <mergeCell ref="D53:E53"/>
    <mergeCell ref="F53:G53"/>
    <mergeCell ref="A3:C3"/>
    <mergeCell ref="A4:C4"/>
    <mergeCell ref="A5:C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138"/>
  <sheetViews>
    <sheetView showGridLines="0" view="pageBreakPreview" zoomScaleNormal="100" zoomScaleSheetLayoutView="100" workbookViewId="0">
      <selection activeCell="B14" sqref="B14"/>
    </sheetView>
  </sheetViews>
  <sheetFormatPr baseColWidth="10" defaultRowHeight="14.4" x14ac:dyDescent="0.3"/>
  <cols>
    <col min="1" max="1" width="5" customWidth="1"/>
    <col min="2" max="2" width="41.88671875" bestFit="1" customWidth="1"/>
    <col min="3" max="3" width="18" bestFit="1" customWidth="1"/>
    <col min="4" max="4" width="11.6640625" customWidth="1"/>
    <col min="5" max="5" width="17.5546875" bestFit="1" customWidth="1"/>
    <col min="6" max="8" width="13.33203125" bestFit="1" customWidth="1"/>
  </cols>
  <sheetData>
    <row r="1" spans="1:13" x14ac:dyDescent="0.3">
      <c r="A1" s="185" t="s">
        <v>181</v>
      </c>
      <c r="B1" s="185"/>
      <c r="C1" s="185"/>
      <c r="D1" s="185"/>
      <c r="E1" s="185"/>
      <c r="F1" s="185"/>
      <c r="G1" s="185"/>
      <c r="H1" s="185"/>
      <c r="I1" s="185"/>
      <c r="J1" s="2"/>
    </row>
    <row r="3" spans="1:13" x14ac:dyDescent="0.3">
      <c r="A3" t="s">
        <v>60</v>
      </c>
      <c r="B3" s="5" t="s">
        <v>30</v>
      </c>
      <c r="C3" s="5">
        <v>2</v>
      </c>
      <c r="D3" s="10" t="s">
        <v>34</v>
      </c>
      <c r="G3" s="9"/>
      <c r="H3" s="9"/>
      <c r="I3" s="9"/>
    </row>
    <row r="4" spans="1:13" x14ac:dyDescent="0.3">
      <c r="A4" t="s">
        <v>61</v>
      </c>
      <c r="B4" s="5" t="s">
        <v>31</v>
      </c>
      <c r="C4" s="5">
        <v>7</v>
      </c>
      <c r="D4" s="123">
        <f>(C6*C4)/((1+C5)^(C6/C3))</f>
        <v>17.159277233724119</v>
      </c>
      <c r="G4" s="9"/>
      <c r="H4" s="9"/>
      <c r="I4" s="9"/>
    </row>
    <row r="5" spans="1:13" x14ac:dyDescent="0.3">
      <c r="A5" t="s">
        <v>62</v>
      </c>
      <c r="B5" s="5" t="s">
        <v>32</v>
      </c>
      <c r="C5" s="6">
        <v>4.4999999999999998E-2</v>
      </c>
      <c r="G5" s="9"/>
      <c r="H5" s="9"/>
      <c r="I5" s="9"/>
    </row>
    <row r="6" spans="1:13" x14ac:dyDescent="0.3">
      <c r="A6" t="s">
        <v>63</v>
      </c>
      <c r="B6" s="5" t="s">
        <v>33</v>
      </c>
      <c r="C6" s="5">
        <f>100*C3</f>
        <v>200</v>
      </c>
    </row>
    <row r="8" spans="1:13" x14ac:dyDescent="0.3">
      <c r="A8" s="185" t="s">
        <v>132</v>
      </c>
      <c r="B8" s="185"/>
      <c r="C8" s="185"/>
      <c r="D8" s="185"/>
      <c r="E8" s="185"/>
      <c r="F8" s="185"/>
      <c r="G8" s="185"/>
      <c r="H8" s="185"/>
      <c r="I8" s="185"/>
      <c r="J8" s="2"/>
    </row>
    <row r="9" spans="1:13" x14ac:dyDescent="0.3">
      <c r="B9">
        <v>1400</v>
      </c>
      <c r="C9">
        <f>B9*4.2</f>
        <v>5880</v>
      </c>
      <c r="E9">
        <f>1932/4.2</f>
        <v>460</v>
      </c>
    </row>
    <row r="10" spans="1:13" x14ac:dyDescent="0.3">
      <c r="A10" s="37"/>
      <c r="B10" s="124" t="s">
        <v>6</v>
      </c>
      <c r="C10" s="125"/>
      <c r="D10" s="37"/>
      <c r="E10" s="37"/>
      <c r="F10" s="37"/>
      <c r="G10" s="37"/>
      <c r="H10" s="37"/>
      <c r="I10" s="37"/>
    </row>
    <row r="11" spans="1:13" x14ac:dyDescent="0.3">
      <c r="A11" s="37"/>
      <c r="B11" s="126" t="s">
        <v>232</v>
      </c>
      <c r="C11" s="127">
        <v>300</v>
      </c>
      <c r="D11" s="128" t="b">
        <v>1</v>
      </c>
      <c r="E11" s="128">
        <f>IF(D11=TRUE,C11,0)</f>
        <v>300</v>
      </c>
      <c r="F11" s="128"/>
      <c r="G11" s="128"/>
      <c r="H11" s="128"/>
      <c r="I11" s="37"/>
    </row>
    <row r="12" spans="1:13" x14ac:dyDescent="0.3">
      <c r="A12" s="37"/>
      <c r="B12" s="126" t="s">
        <v>233</v>
      </c>
      <c r="C12" s="127">
        <v>500</v>
      </c>
      <c r="D12" s="128" t="b">
        <v>1</v>
      </c>
      <c r="E12" s="128">
        <f t="shared" ref="E12:E18" si="0">IF(D12=TRUE,C12,0)</f>
        <v>500</v>
      </c>
      <c r="F12" s="128"/>
      <c r="G12" s="128"/>
      <c r="H12" s="128"/>
      <c r="I12" s="37"/>
    </row>
    <row r="13" spans="1:13" x14ac:dyDescent="0.3">
      <c r="A13" s="37"/>
      <c r="B13" s="126" t="s">
        <v>234</v>
      </c>
      <c r="C13" s="127">
        <f>0.76*B9</f>
        <v>1064</v>
      </c>
      <c r="D13" s="128" t="b">
        <v>1</v>
      </c>
      <c r="E13" s="128">
        <f t="shared" si="0"/>
        <v>1064</v>
      </c>
      <c r="F13" s="128"/>
      <c r="G13" s="128"/>
      <c r="H13" s="128"/>
      <c r="I13" s="37"/>
    </row>
    <row r="14" spans="1:13" x14ac:dyDescent="0.3">
      <c r="A14" s="37"/>
      <c r="B14" s="126" t="s">
        <v>239</v>
      </c>
      <c r="C14" s="127">
        <f>0.15*B9</f>
        <v>210</v>
      </c>
      <c r="D14" s="128" t="b">
        <v>1</v>
      </c>
      <c r="E14" s="128">
        <f t="shared" si="0"/>
        <v>210</v>
      </c>
      <c r="F14" s="128"/>
      <c r="G14" s="128"/>
      <c r="H14" s="128"/>
      <c r="I14" s="37"/>
    </row>
    <row r="15" spans="1:13" x14ac:dyDescent="0.3">
      <c r="A15" s="37"/>
      <c r="B15" s="126" t="s">
        <v>235</v>
      </c>
      <c r="C15" s="127">
        <f>0.3*B9</f>
        <v>420</v>
      </c>
      <c r="D15" s="128" t="b">
        <v>1</v>
      </c>
      <c r="E15" s="128">
        <f t="shared" si="0"/>
        <v>420</v>
      </c>
      <c r="F15" s="128"/>
      <c r="G15" s="128"/>
      <c r="H15" s="128"/>
      <c r="I15" s="37"/>
      <c r="K15" s="53"/>
      <c r="L15" s="53"/>
      <c r="M15" s="53"/>
    </row>
    <row r="16" spans="1:13" x14ac:dyDescent="0.3">
      <c r="A16" s="37"/>
      <c r="B16" s="126" t="s">
        <v>236</v>
      </c>
      <c r="C16" s="127">
        <f>0.6*B9</f>
        <v>840</v>
      </c>
      <c r="D16" s="128" t="b">
        <v>1</v>
      </c>
      <c r="E16" s="128">
        <f t="shared" si="0"/>
        <v>840</v>
      </c>
      <c r="F16" s="128"/>
      <c r="G16" s="128"/>
      <c r="H16" s="128"/>
      <c r="I16" s="37"/>
      <c r="K16" s="53"/>
      <c r="L16" s="53"/>
      <c r="M16" s="53"/>
    </row>
    <row r="17" spans="1:14" x14ac:dyDescent="0.3">
      <c r="A17" s="71"/>
      <c r="B17" s="126" t="s">
        <v>14</v>
      </c>
      <c r="C17" s="127">
        <f>380+500</f>
        <v>880</v>
      </c>
      <c r="D17" s="128" t="b">
        <v>1</v>
      </c>
      <c r="E17" s="128">
        <f t="shared" si="0"/>
        <v>880</v>
      </c>
      <c r="F17" s="128"/>
      <c r="G17" s="128"/>
      <c r="H17" s="128"/>
      <c r="I17" s="37"/>
      <c r="K17" s="53"/>
      <c r="L17" s="53"/>
      <c r="M17" s="53"/>
    </row>
    <row r="18" spans="1:14" x14ac:dyDescent="0.3">
      <c r="A18" s="37"/>
      <c r="B18" s="126" t="s">
        <v>15</v>
      </c>
      <c r="C18" s="127">
        <f>520+400</f>
        <v>920</v>
      </c>
      <c r="D18" s="128" t="b">
        <v>1</v>
      </c>
      <c r="E18" s="128">
        <f t="shared" si="0"/>
        <v>920</v>
      </c>
      <c r="F18" s="128"/>
      <c r="G18" s="128"/>
      <c r="H18" s="128"/>
      <c r="I18" s="37"/>
      <c r="K18" s="53"/>
      <c r="L18" s="53"/>
      <c r="M18" s="53"/>
    </row>
    <row r="19" spans="1:14" x14ac:dyDescent="0.3">
      <c r="A19" s="37"/>
      <c r="B19" s="126" t="s">
        <v>17</v>
      </c>
      <c r="C19" s="127">
        <v>80</v>
      </c>
      <c r="D19" s="128"/>
      <c r="E19" s="128"/>
      <c r="F19" s="106"/>
      <c r="G19" s="106"/>
      <c r="H19" s="106"/>
      <c r="I19" s="37"/>
    </row>
    <row r="20" spans="1:14" x14ac:dyDescent="0.3">
      <c r="A20" s="37"/>
      <c r="B20" s="126"/>
      <c r="C20" s="127">
        <v>300</v>
      </c>
      <c r="D20" s="128"/>
      <c r="E20" s="128"/>
      <c r="F20" s="129"/>
      <c r="G20" s="129"/>
      <c r="H20" s="129"/>
      <c r="I20" s="37"/>
      <c r="J20" s="19" t="s">
        <v>224</v>
      </c>
      <c r="K20" s="19"/>
      <c r="L20" s="139">
        <v>4.4999999999999998E-2</v>
      </c>
    </row>
    <row r="21" spans="1:14" x14ac:dyDescent="0.3">
      <c r="A21" s="37"/>
      <c r="B21" s="104"/>
      <c r="C21" s="130"/>
      <c r="D21" s="128"/>
      <c r="E21" s="129"/>
      <c r="F21" s="129"/>
      <c r="G21" s="129"/>
      <c r="H21" s="129"/>
      <c r="I21" s="37"/>
      <c r="J21" s="22"/>
      <c r="K21" s="22"/>
      <c r="L21" s="22"/>
      <c r="M21" s="22"/>
      <c r="N21" s="22"/>
    </row>
    <row r="22" spans="1:14" ht="14.4" customHeight="1" x14ac:dyDescent="0.3">
      <c r="A22" s="37"/>
      <c r="B22" s="104"/>
      <c r="C22" s="131" t="s">
        <v>225</v>
      </c>
      <c r="D22" s="131" t="s">
        <v>226</v>
      </c>
      <c r="E22" s="131" t="s">
        <v>227</v>
      </c>
      <c r="F22" s="131" t="s">
        <v>130</v>
      </c>
      <c r="G22" s="129"/>
      <c r="H22" s="22"/>
      <c r="I22" s="22"/>
      <c r="J22" s="22"/>
      <c r="K22" s="22"/>
      <c r="L22" s="22"/>
      <c r="M22" s="22"/>
      <c r="N22" s="140"/>
    </row>
    <row r="23" spans="1:14" x14ac:dyDescent="0.3">
      <c r="A23" s="37"/>
      <c r="B23" s="132" t="s">
        <v>228</v>
      </c>
      <c r="C23" s="133">
        <v>1</v>
      </c>
      <c r="D23" s="134">
        <v>0</v>
      </c>
      <c r="E23" s="131">
        <f>SUM(E11:E16)</f>
        <v>3334</v>
      </c>
      <c r="F23" s="135">
        <f>(D23-E23)/((1+$L$20)^C23)</f>
        <v>-3190.4306220095696</v>
      </c>
      <c r="G23" s="129"/>
      <c r="H23" s="22"/>
      <c r="I23" s="22"/>
      <c r="J23" s="22"/>
      <c r="K23" s="22"/>
      <c r="L23" s="22"/>
      <c r="M23" s="22"/>
      <c r="N23" s="140"/>
    </row>
    <row r="24" spans="1:14" x14ac:dyDescent="0.3">
      <c r="A24" s="37"/>
      <c r="B24" s="132" t="s">
        <v>229</v>
      </c>
      <c r="C24" s="133">
        <v>2</v>
      </c>
      <c r="D24" s="134">
        <v>0</v>
      </c>
      <c r="E24" s="131">
        <f>E17</f>
        <v>880</v>
      </c>
      <c r="F24" s="135">
        <f>(D24-E24)/((1+$L$20)^C24)</f>
        <v>-805.84235708889469</v>
      </c>
      <c r="G24" s="129"/>
      <c r="H24" s="22"/>
      <c r="I24" s="22"/>
      <c r="J24" s="22"/>
      <c r="K24" s="22"/>
      <c r="L24" s="22"/>
      <c r="M24" s="22"/>
      <c r="N24" s="140"/>
    </row>
    <row r="25" spans="1:14" x14ac:dyDescent="0.3">
      <c r="A25" s="37"/>
      <c r="B25" s="132" t="s">
        <v>230</v>
      </c>
      <c r="C25" s="133">
        <v>3</v>
      </c>
      <c r="D25" s="134">
        <v>0</v>
      </c>
      <c r="E25" s="131">
        <f>E18</f>
        <v>920</v>
      </c>
      <c r="F25" s="135">
        <f t="shared" ref="F25" si="1">(D25-E25)/((1+$L$20)^C25)</f>
        <v>-806.19287573051656</v>
      </c>
      <c r="G25" s="129"/>
      <c r="I25" s="142"/>
      <c r="K25" s="142"/>
      <c r="L25" s="142"/>
      <c r="M25" s="142"/>
      <c r="N25" s="140"/>
    </row>
    <row r="26" spans="1:14" x14ac:dyDescent="0.3">
      <c r="A26" s="37"/>
      <c r="B26" s="132" t="s">
        <v>231</v>
      </c>
      <c r="C26" s="145">
        <v>22</v>
      </c>
      <c r="D26" s="136">
        <v>128</v>
      </c>
      <c r="E26" s="131">
        <f>$C$19</f>
        <v>80</v>
      </c>
      <c r="F26" s="135">
        <f>(D26-E26)/((1+$L$20)^C26)</f>
        <v>18.225642512634842</v>
      </c>
      <c r="G26" s="129"/>
      <c r="I26" s="143"/>
      <c r="K26" s="143"/>
      <c r="L26" s="143"/>
      <c r="M26" s="143"/>
      <c r="N26" s="22"/>
    </row>
    <row r="27" spans="1:14" x14ac:dyDescent="0.3">
      <c r="A27" s="37"/>
      <c r="B27" s="132" t="s">
        <v>20</v>
      </c>
      <c r="C27" s="145">
        <v>25</v>
      </c>
      <c r="D27" s="136">
        <v>136</v>
      </c>
      <c r="E27" s="131">
        <f t="shared" ref="E27:E36" si="2">$C$19</f>
        <v>80</v>
      </c>
      <c r="F27" s="135">
        <f t="shared" ref="F27:F36" si="3">(D27-E27)/((1+$L$20)^C27)</f>
        <v>18.632913413964147</v>
      </c>
      <c r="G27" s="129"/>
      <c r="I27" s="143"/>
      <c r="K27" s="143"/>
      <c r="L27" s="143"/>
      <c r="M27" s="143"/>
      <c r="N27" s="22"/>
    </row>
    <row r="28" spans="1:14" x14ac:dyDescent="0.3">
      <c r="A28" s="37"/>
      <c r="B28" s="132" t="s">
        <v>21</v>
      </c>
      <c r="C28" s="145">
        <v>30</v>
      </c>
      <c r="D28" s="136">
        <v>272</v>
      </c>
      <c r="E28" s="131">
        <f t="shared" si="2"/>
        <v>80</v>
      </c>
      <c r="F28" s="135">
        <f t="shared" si="3"/>
        <v>51.264002977344575</v>
      </c>
      <c r="G28" s="129"/>
      <c r="I28" s="143"/>
      <c r="K28" s="143"/>
      <c r="L28" s="143"/>
      <c r="M28" s="143"/>
      <c r="N28" s="22"/>
    </row>
    <row r="29" spans="1:14" x14ac:dyDescent="0.3">
      <c r="A29" s="37"/>
      <c r="B29" s="132" t="s">
        <v>105</v>
      </c>
      <c r="C29" s="145">
        <v>35</v>
      </c>
      <c r="D29" s="136">
        <v>492</v>
      </c>
      <c r="E29" s="131">
        <f t="shared" si="2"/>
        <v>80</v>
      </c>
      <c r="F29" s="135">
        <f t="shared" si="3"/>
        <v>88.272830046028915</v>
      </c>
      <c r="I29" s="37"/>
      <c r="K29" s="22"/>
      <c r="L29" s="22"/>
      <c r="M29" s="22"/>
      <c r="N29" s="22"/>
    </row>
    <row r="30" spans="1:14" x14ac:dyDescent="0.3">
      <c r="A30" s="37"/>
      <c r="B30" s="132" t="s">
        <v>106</v>
      </c>
      <c r="C30" s="145">
        <v>40</v>
      </c>
      <c r="D30" s="136">
        <v>820</v>
      </c>
      <c r="E30" s="131">
        <f t="shared" si="2"/>
        <v>80</v>
      </c>
      <c r="F30" s="135">
        <f t="shared" si="3"/>
        <v>127.22723880468345</v>
      </c>
      <c r="G30" s="129"/>
      <c r="I30" s="141"/>
      <c r="K30" s="11"/>
      <c r="L30" s="22"/>
      <c r="M30" s="22"/>
      <c r="N30" s="22"/>
    </row>
    <row r="31" spans="1:14" x14ac:dyDescent="0.3">
      <c r="A31" s="37"/>
      <c r="B31" s="132" t="s">
        <v>107</v>
      </c>
      <c r="C31" s="145">
        <v>45</v>
      </c>
      <c r="D31" s="136">
        <v>820</v>
      </c>
      <c r="E31" s="131">
        <f t="shared" si="2"/>
        <v>80</v>
      </c>
      <c r="F31" s="135">
        <f t="shared" si="3"/>
        <v>102.09363092221068</v>
      </c>
      <c r="G31" s="129"/>
      <c r="I31" s="144"/>
      <c r="K31" s="22"/>
      <c r="L31" s="22"/>
      <c r="M31" s="22"/>
      <c r="N31" s="22"/>
    </row>
    <row r="32" spans="1:14" x14ac:dyDescent="0.3">
      <c r="A32" s="37"/>
      <c r="B32" s="132" t="s">
        <v>108</v>
      </c>
      <c r="C32" s="145">
        <v>50</v>
      </c>
      <c r="D32" s="136">
        <v>1060</v>
      </c>
      <c r="E32" s="131">
        <f t="shared" si="2"/>
        <v>80</v>
      </c>
      <c r="F32" s="135">
        <f t="shared" si="3"/>
        <v>108.49545696633911</v>
      </c>
      <c r="G32" s="129"/>
      <c r="I32" s="37"/>
      <c r="K32" s="22"/>
      <c r="L32" s="22"/>
      <c r="M32" s="22"/>
      <c r="N32" s="22"/>
    </row>
    <row r="33" spans="1:14" x14ac:dyDescent="0.3">
      <c r="A33" s="37"/>
      <c r="B33" s="132" t="s">
        <v>109</v>
      </c>
      <c r="C33" s="145">
        <v>58</v>
      </c>
      <c r="D33" s="136">
        <v>1560</v>
      </c>
      <c r="E33" s="131">
        <f t="shared" si="2"/>
        <v>80</v>
      </c>
      <c r="F33" s="135">
        <f t="shared" si="3"/>
        <v>115.21708131630689</v>
      </c>
      <c r="G33" s="129"/>
      <c r="I33" s="37"/>
      <c r="K33" s="22"/>
      <c r="L33" s="22"/>
      <c r="M33" s="22"/>
      <c r="N33" s="22"/>
    </row>
    <row r="34" spans="1:14" x14ac:dyDescent="0.3">
      <c r="A34" s="37"/>
      <c r="B34" s="132" t="s">
        <v>110</v>
      </c>
      <c r="C34" s="145">
        <v>66</v>
      </c>
      <c r="D34" s="136">
        <v>1560</v>
      </c>
      <c r="E34" s="131">
        <f t="shared" si="2"/>
        <v>80</v>
      </c>
      <c r="F34" s="135">
        <f t="shared" si="3"/>
        <v>81.018937954388491</v>
      </c>
      <c r="G34" s="129"/>
      <c r="I34" s="37"/>
      <c r="K34" s="22"/>
      <c r="L34" s="22"/>
      <c r="M34" s="22"/>
      <c r="N34" s="22"/>
    </row>
    <row r="35" spans="1:14" x14ac:dyDescent="0.3">
      <c r="A35" s="37"/>
      <c r="B35" s="132" t="s">
        <v>111</v>
      </c>
      <c r="C35" s="145">
        <v>74</v>
      </c>
      <c r="D35" s="136">
        <v>1036</v>
      </c>
      <c r="E35" s="131">
        <f t="shared" si="2"/>
        <v>80</v>
      </c>
      <c r="F35" s="135">
        <f t="shared" si="3"/>
        <v>36.800388132943091</v>
      </c>
      <c r="G35" s="129"/>
      <c r="I35" s="37"/>
    </row>
    <row r="36" spans="1:14" x14ac:dyDescent="0.3">
      <c r="A36" s="37"/>
      <c r="B36" s="132" t="s">
        <v>127</v>
      </c>
      <c r="C36" s="145">
        <v>82</v>
      </c>
      <c r="D36" s="136">
        <v>18144</v>
      </c>
      <c r="E36" s="131">
        <f t="shared" si="2"/>
        <v>80</v>
      </c>
      <c r="F36" s="135">
        <f t="shared" si="3"/>
        <v>488.96537647522615</v>
      </c>
      <c r="G36" s="129"/>
      <c r="H36" s="129"/>
      <c r="I36" s="37"/>
    </row>
    <row r="37" spans="1:14" x14ac:dyDescent="0.3">
      <c r="A37" s="37"/>
      <c r="B37" s="132"/>
      <c r="C37" s="147"/>
      <c r="D37" s="147"/>
      <c r="E37" s="129"/>
      <c r="F37" s="146">
        <f>SUM(F23:F36)</f>
        <v>-3566.2523553069113</v>
      </c>
      <c r="G37" s="37"/>
      <c r="H37" s="37"/>
      <c r="I37" s="37"/>
    </row>
    <row r="38" spans="1:14" x14ac:dyDescent="0.3">
      <c r="A38" s="37"/>
      <c r="B38" s="132"/>
      <c r="C38" s="37"/>
      <c r="D38" s="147"/>
      <c r="E38" s="129"/>
      <c r="F38" s="146"/>
      <c r="G38" s="37"/>
      <c r="H38" s="37"/>
      <c r="I38" s="37"/>
    </row>
    <row r="39" spans="1:14" s="20" customFormat="1" x14ac:dyDescent="0.3">
      <c r="A39" s="137"/>
      <c r="B39" s="132"/>
      <c r="C39" s="137"/>
      <c r="D39" s="148"/>
      <c r="E39" s="129"/>
      <c r="F39" s="146"/>
      <c r="G39" s="137"/>
      <c r="H39" s="137"/>
      <c r="I39" s="137"/>
    </row>
    <row r="40" spans="1:14" s="20" customFormat="1" x14ac:dyDescent="0.3">
      <c r="A40" s="137"/>
      <c r="B40" s="132"/>
      <c r="C40" s="137"/>
      <c r="D40" s="148"/>
      <c r="E40" s="129"/>
      <c r="F40" s="146"/>
      <c r="G40" s="137"/>
      <c r="H40" s="137"/>
      <c r="I40" s="137"/>
    </row>
    <row r="41" spans="1:14" s="20" customFormat="1" x14ac:dyDescent="0.3">
      <c r="A41" s="138"/>
      <c r="B41" s="132"/>
      <c r="C41" s="149" t="s">
        <v>237</v>
      </c>
      <c r="D41" s="150">
        <f>F37*4.2</f>
        <v>-14978.259892289028</v>
      </c>
      <c r="E41" s="129"/>
      <c r="F41" s="146"/>
      <c r="G41" s="138"/>
      <c r="H41" s="138"/>
      <c r="I41" s="138"/>
    </row>
    <row r="42" spans="1:14" s="20" customFormat="1" x14ac:dyDescent="0.3">
      <c r="A42" s="138"/>
      <c r="B42" s="132"/>
      <c r="C42" s="149" t="s">
        <v>238</v>
      </c>
      <c r="D42" s="150">
        <f>D4*4.2</f>
        <v>72.068964381641308</v>
      </c>
      <c r="E42" s="129"/>
      <c r="F42" s="146"/>
      <c r="G42" s="138"/>
      <c r="H42" s="138"/>
      <c r="I42" s="138"/>
    </row>
    <row r="43" spans="1:14" s="20" customFormat="1" x14ac:dyDescent="0.3">
      <c r="B43" s="132"/>
      <c r="C43" s="137"/>
      <c r="D43" s="148"/>
      <c r="E43" s="129"/>
      <c r="F43" s="146"/>
    </row>
    <row r="44" spans="1:14" s="20" customFormat="1" x14ac:dyDescent="0.3">
      <c r="A44" s="137"/>
      <c r="B44" s="132"/>
      <c r="C44" s="137"/>
      <c r="D44" s="148"/>
      <c r="E44" s="129"/>
      <c r="F44" s="146"/>
      <c r="G44" s="137"/>
      <c r="H44" s="137"/>
      <c r="I44" s="137"/>
    </row>
    <row r="45" spans="1:14" s="20" customFormat="1" x14ac:dyDescent="0.3">
      <c r="A45" s="138"/>
      <c r="B45" s="132"/>
      <c r="C45" s="137"/>
      <c r="D45" s="148"/>
      <c r="E45" s="129"/>
      <c r="F45" s="146"/>
      <c r="G45" s="138"/>
      <c r="H45" s="138"/>
      <c r="I45" s="138"/>
    </row>
    <row r="46" spans="1:14" s="20" customFormat="1" x14ac:dyDescent="0.3">
      <c r="A46" s="138"/>
      <c r="B46" s="132"/>
      <c r="C46" s="132"/>
      <c r="D46" s="138"/>
      <c r="E46" s="138"/>
      <c r="F46" s="138"/>
      <c r="G46" s="138"/>
      <c r="H46" s="138"/>
      <c r="I46" s="138"/>
    </row>
    <row r="47" spans="1:14" s="20" customFormat="1" x14ac:dyDescent="0.3"/>
    <row r="48" spans="1:14" s="20" customFormat="1" x14ac:dyDescent="0.3"/>
    <row r="49" spans="1:11" s="20" customFormat="1" ht="15" customHeight="1" x14ac:dyDescent="0.3">
      <c r="A49" s="186"/>
      <c r="B49" s="186"/>
      <c r="C49" s="186"/>
      <c r="D49" s="186"/>
      <c r="E49" s="186"/>
      <c r="G49" s="186"/>
      <c r="H49" s="186"/>
      <c r="I49" s="186"/>
      <c r="J49" s="186"/>
      <c r="K49" s="186"/>
    </row>
    <row r="50" spans="1:11" s="20" customFormat="1" x14ac:dyDescent="0.3"/>
    <row r="51" spans="1:11" s="20" customFormat="1" x14ac:dyDescent="0.3"/>
    <row r="52" spans="1:11" s="20" customFormat="1" x14ac:dyDescent="0.3">
      <c r="D52" s="21"/>
      <c r="J52" s="21"/>
    </row>
    <row r="53" spans="1:11" s="20" customFormat="1" x14ac:dyDescent="0.3"/>
    <row r="54" spans="1:11" s="20" customFormat="1" x14ac:dyDescent="0.3"/>
    <row r="55" spans="1:11" s="20" customFormat="1" x14ac:dyDescent="0.3"/>
    <row r="56" spans="1:11" s="20" customFormat="1" x14ac:dyDescent="0.3"/>
    <row r="57" spans="1:11" s="20" customFormat="1" x14ac:dyDescent="0.3"/>
    <row r="58" spans="1:11" s="20" customFormat="1" x14ac:dyDescent="0.3"/>
    <row r="59" spans="1:11" s="20" customFormat="1" x14ac:dyDescent="0.3"/>
    <row r="60" spans="1:11" s="20" customFormat="1" x14ac:dyDescent="0.3"/>
    <row r="61" spans="1:11" s="20" customFormat="1" x14ac:dyDescent="0.3"/>
    <row r="62" spans="1:11" s="20" customFormat="1" x14ac:dyDescent="0.3"/>
    <row r="63" spans="1:11" s="20" customFormat="1" x14ac:dyDescent="0.3"/>
    <row r="64" spans="1:11" s="20" customFormat="1" x14ac:dyDescent="0.3"/>
    <row r="65" spans="7:10" s="20" customFormat="1" x14ac:dyDescent="0.3"/>
    <row r="66" spans="7:10" s="20" customFormat="1" x14ac:dyDescent="0.3">
      <c r="G66" s="184"/>
      <c r="H66" s="184"/>
      <c r="I66" s="184"/>
      <c r="J66" s="184"/>
    </row>
    <row r="67" spans="7:10" s="20" customFormat="1" x14ac:dyDescent="0.3"/>
    <row r="68" spans="7:10" s="20" customFormat="1" x14ac:dyDescent="0.3"/>
    <row r="69" spans="7:10" s="20" customFormat="1" x14ac:dyDescent="0.3"/>
    <row r="70" spans="7:10" s="20" customFormat="1" x14ac:dyDescent="0.3"/>
    <row r="71" spans="7:10" s="20" customFormat="1" x14ac:dyDescent="0.3"/>
    <row r="72" spans="7:10" s="20" customFormat="1" x14ac:dyDescent="0.3"/>
    <row r="73" spans="7:10" s="20" customFormat="1" x14ac:dyDescent="0.3"/>
    <row r="74" spans="7:10" s="20" customFormat="1" x14ac:dyDescent="0.3"/>
    <row r="75" spans="7:10" s="20" customFormat="1" x14ac:dyDescent="0.3"/>
    <row r="76" spans="7:10" s="20" customFormat="1" x14ac:dyDescent="0.3"/>
    <row r="77" spans="7:10" s="20" customFormat="1" x14ac:dyDescent="0.3"/>
    <row r="78" spans="7:10" s="20" customFormat="1" x14ac:dyDescent="0.3"/>
    <row r="79" spans="7:10" s="20" customFormat="1" x14ac:dyDescent="0.3"/>
    <row r="80" spans="7:10" s="20" customFormat="1" x14ac:dyDescent="0.3"/>
    <row r="81" spans="2:3" s="20" customFormat="1" x14ac:dyDescent="0.3">
      <c r="C81" s="64"/>
    </row>
    <row r="82" spans="2:3" s="20" customFormat="1" x14ac:dyDescent="0.3">
      <c r="C82" s="64"/>
    </row>
    <row r="83" spans="2:3" s="20" customFormat="1" x14ac:dyDescent="0.3"/>
    <row r="84" spans="2:3" s="20" customFormat="1" x14ac:dyDescent="0.3"/>
    <row r="85" spans="2:3" s="20" customFormat="1" x14ac:dyDescent="0.3"/>
    <row r="86" spans="2:3" s="20" customFormat="1" x14ac:dyDescent="0.3">
      <c r="C86" s="65"/>
    </row>
    <row r="87" spans="2:3" s="20" customFormat="1" x14ac:dyDescent="0.3">
      <c r="C87" s="65"/>
    </row>
    <row r="88" spans="2:3" s="20" customFormat="1" x14ac:dyDescent="0.3"/>
    <row r="89" spans="2:3" s="20" customFormat="1" x14ac:dyDescent="0.3">
      <c r="B89" s="66"/>
      <c r="C89" s="65"/>
    </row>
    <row r="90" spans="2:3" s="20" customFormat="1" x14ac:dyDescent="0.3"/>
    <row r="91" spans="2:3" s="20" customFormat="1" x14ac:dyDescent="0.3"/>
    <row r="92" spans="2:3" s="20" customFormat="1" x14ac:dyDescent="0.3"/>
    <row r="93" spans="2:3" s="20" customFormat="1" x14ac:dyDescent="0.3"/>
    <row r="94" spans="2:3" s="20" customFormat="1" x14ac:dyDescent="0.3"/>
    <row r="95" spans="2:3" s="20" customFormat="1" x14ac:dyDescent="0.3"/>
    <row r="96" spans="2:3" s="20" customFormat="1" x14ac:dyDescent="0.3"/>
    <row r="97" s="20" customFormat="1" x14ac:dyDescent="0.3"/>
    <row r="98" s="20" customFormat="1" x14ac:dyDescent="0.3"/>
    <row r="99" s="20" customFormat="1" x14ac:dyDescent="0.3"/>
    <row r="100" s="20" customFormat="1" x14ac:dyDescent="0.3"/>
    <row r="101" s="20" customFormat="1" x14ac:dyDescent="0.3"/>
    <row r="102" s="20" customFormat="1" x14ac:dyDescent="0.3"/>
    <row r="103" s="20" customFormat="1" x14ac:dyDescent="0.3"/>
    <row r="104" s="20" customFormat="1" x14ac:dyDescent="0.3"/>
    <row r="105" s="20" customFormat="1" x14ac:dyDescent="0.3"/>
    <row r="106" s="20" customFormat="1" x14ac:dyDescent="0.3"/>
    <row r="107" s="20" customFormat="1" x14ac:dyDescent="0.3"/>
    <row r="108" s="20" customFormat="1" x14ac:dyDescent="0.3"/>
    <row r="109" s="20" customFormat="1" x14ac:dyDescent="0.3"/>
    <row r="110" s="20" customFormat="1" x14ac:dyDescent="0.3"/>
    <row r="111" s="20" customFormat="1" x14ac:dyDescent="0.3"/>
    <row r="112" s="20" customFormat="1" x14ac:dyDescent="0.3"/>
    <row r="113" s="20" customFormat="1" x14ac:dyDescent="0.3"/>
    <row r="114" s="20" customFormat="1" x14ac:dyDescent="0.3"/>
    <row r="115" s="20" customFormat="1" x14ac:dyDescent="0.3"/>
    <row r="116" s="20" customFormat="1" x14ac:dyDescent="0.3"/>
    <row r="117" s="20" customFormat="1" x14ac:dyDescent="0.3"/>
    <row r="118" s="20" customFormat="1" x14ac:dyDescent="0.3"/>
    <row r="119" s="20" customFormat="1" x14ac:dyDescent="0.3"/>
    <row r="120" s="20" customFormat="1" x14ac:dyDescent="0.3"/>
    <row r="121" s="20" customFormat="1" x14ac:dyDescent="0.3"/>
    <row r="122" s="20" customFormat="1" x14ac:dyDescent="0.3"/>
    <row r="123" s="20" customFormat="1" x14ac:dyDescent="0.3"/>
    <row r="124" s="20" customFormat="1" x14ac:dyDescent="0.3"/>
    <row r="125" s="20" customFormat="1" x14ac:dyDescent="0.3"/>
    <row r="126" s="20" customFormat="1" x14ac:dyDescent="0.3"/>
    <row r="127" s="20" customFormat="1" x14ac:dyDescent="0.3"/>
    <row r="128" s="20" customFormat="1" x14ac:dyDescent="0.3"/>
    <row r="129" s="20" customFormat="1" x14ac:dyDescent="0.3"/>
    <row r="130" s="20" customFormat="1" x14ac:dyDescent="0.3"/>
    <row r="131" s="20" customFormat="1" x14ac:dyDescent="0.3"/>
    <row r="132" s="20" customFormat="1" x14ac:dyDescent="0.3"/>
    <row r="133" s="20" customFormat="1" x14ac:dyDescent="0.3"/>
    <row r="134" s="20" customFormat="1" x14ac:dyDescent="0.3"/>
    <row r="135" s="20" customFormat="1" x14ac:dyDescent="0.3"/>
    <row r="136" s="20" customFormat="1" x14ac:dyDescent="0.3"/>
    <row r="137" s="20" customFormat="1" x14ac:dyDescent="0.3"/>
    <row r="138" s="20" customFormat="1" x14ac:dyDescent="0.3"/>
  </sheetData>
  <mergeCells count="5">
    <mergeCell ref="G66:J66"/>
    <mergeCell ref="A1:I1"/>
    <mergeCell ref="A8:I8"/>
    <mergeCell ref="A49:E49"/>
    <mergeCell ref="G49:K49"/>
  </mergeCells>
  <pageMargins left="0.7" right="0.7" top="0.75" bottom="0.75" header="0.3" footer="0.3"/>
  <pageSetup paperSize="9" scale="4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Check Box 1">
              <controlPr defaultSize="0" autoFill="0" autoLine="0" autoPict="0">
                <anchor moveWithCells="1">
                  <from>
                    <xdr:col>0</xdr:col>
                    <xdr:colOff>106680</xdr:colOff>
                    <xdr:row>10</xdr:row>
                    <xdr:rowOff>0</xdr:rowOff>
                  </from>
                  <to>
                    <xdr:col>1</xdr:col>
                    <xdr:colOff>7620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4" r:id="rId5" name="Check Box 2">
              <controlPr defaultSize="0" autoFill="0" autoLine="0" autoPict="0">
                <anchor moveWithCells="1">
                  <from>
                    <xdr:col>0</xdr:col>
                    <xdr:colOff>106680</xdr:colOff>
                    <xdr:row>10</xdr:row>
                    <xdr:rowOff>0</xdr:rowOff>
                  </from>
                  <to>
                    <xdr:col>1</xdr:col>
                    <xdr:colOff>7620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5" r:id="rId6" name="Check Box 3">
              <controlPr defaultSize="0" autoFill="0" autoLine="0" autoPict="0">
                <anchor moveWithCells="1">
                  <from>
                    <xdr:col>0</xdr:col>
                    <xdr:colOff>106680</xdr:colOff>
                    <xdr:row>10</xdr:row>
                    <xdr:rowOff>0</xdr:rowOff>
                  </from>
                  <to>
                    <xdr:col>1</xdr:col>
                    <xdr:colOff>7620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6" r:id="rId7" name="Check Box 4">
              <controlPr defaultSize="0" autoFill="0" autoLine="0" autoPict="0">
                <anchor moveWithCells="1">
                  <from>
                    <xdr:col>0</xdr:col>
                    <xdr:colOff>106680</xdr:colOff>
                    <xdr:row>10</xdr:row>
                    <xdr:rowOff>22860</xdr:rowOff>
                  </from>
                  <to>
                    <xdr:col>1</xdr:col>
                    <xdr:colOff>7620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7" r:id="rId8" name="Check Box 5">
              <controlPr defaultSize="0" autoFill="0" autoLine="0" autoPict="0">
                <anchor moveWithCells="1">
                  <from>
                    <xdr:col>0</xdr:col>
                    <xdr:colOff>106680</xdr:colOff>
                    <xdr:row>11</xdr:row>
                    <xdr:rowOff>22860</xdr:rowOff>
                  </from>
                  <to>
                    <xdr:col>1</xdr:col>
                    <xdr:colOff>7620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8" r:id="rId9" name="Check Box 6">
              <controlPr defaultSize="0" autoFill="0" autoLine="0" autoPict="0">
                <anchor moveWithCells="1">
                  <from>
                    <xdr:col>0</xdr:col>
                    <xdr:colOff>106680</xdr:colOff>
                    <xdr:row>12</xdr:row>
                    <xdr:rowOff>22860</xdr:rowOff>
                  </from>
                  <to>
                    <xdr:col>1</xdr:col>
                    <xdr:colOff>7620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9" r:id="rId10" name="Check Box 7">
              <controlPr defaultSize="0" autoFill="0" autoLine="0" autoPict="0">
                <anchor moveWithCells="1">
                  <from>
                    <xdr:col>0</xdr:col>
                    <xdr:colOff>106680</xdr:colOff>
                    <xdr:row>13</xdr:row>
                    <xdr:rowOff>22860</xdr:rowOff>
                  </from>
                  <to>
                    <xdr:col>1</xdr:col>
                    <xdr:colOff>7620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0" r:id="rId11" name="Check Box 8">
              <controlPr defaultSize="0" autoFill="0" autoLine="0" autoPict="0">
                <anchor moveWithCells="1">
                  <from>
                    <xdr:col>0</xdr:col>
                    <xdr:colOff>106680</xdr:colOff>
                    <xdr:row>14</xdr:row>
                    <xdr:rowOff>22860</xdr:rowOff>
                  </from>
                  <to>
                    <xdr:col>1</xdr:col>
                    <xdr:colOff>7620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1" r:id="rId12" name="Check Box 9">
              <controlPr defaultSize="0" autoFill="0" autoLine="0" autoPict="0">
                <anchor moveWithCells="1">
                  <from>
                    <xdr:col>0</xdr:col>
                    <xdr:colOff>106680</xdr:colOff>
                    <xdr:row>15</xdr:row>
                    <xdr:rowOff>22860</xdr:rowOff>
                  </from>
                  <to>
                    <xdr:col>1</xdr:col>
                    <xdr:colOff>7620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2" r:id="rId13" name="Check Box 10">
              <controlPr defaultSize="0" autoFill="0" autoLine="0" autoPict="0">
                <anchor moveWithCells="1">
                  <from>
                    <xdr:col>0</xdr:col>
                    <xdr:colOff>106680</xdr:colOff>
                    <xdr:row>16</xdr:row>
                    <xdr:rowOff>22860</xdr:rowOff>
                  </from>
                  <to>
                    <xdr:col>1</xdr:col>
                    <xdr:colOff>7620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3" r:id="rId14" name="Check Box 11">
              <controlPr defaultSize="0" autoFill="0" autoLine="0" autoPict="0">
                <anchor moveWithCells="1">
                  <from>
                    <xdr:col>0</xdr:col>
                    <xdr:colOff>106680</xdr:colOff>
                    <xdr:row>17</xdr:row>
                    <xdr:rowOff>22860</xdr:rowOff>
                  </from>
                  <to>
                    <xdr:col>1</xdr:col>
                    <xdr:colOff>7620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4" r:id="rId15" name="Check Box 12">
              <controlPr defaultSize="0" autoFill="0" autoLine="0" autoPict="0">
                <anchor moveWithCells="1">
                  <from>
                    <xdr:col>0</xdr:col>
                    <xdr:colOff>106680</xdr:colOff>
                    <xdr:row>18</xdr:row>
                    <xdr:rowOff>0</xdr:rowOff>
                  </from>
                  <to>
                    <xdr:col>1</xdr:col>
                    <xdr:colOff>7620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135"/>
  <sheetViews>
    <sheetView showGridLines="0" view="pageBreakPreview" topLeftCell="A49" zoomScale="60" zoomScaleNormal="100" workbookViewId="0">
      <selection activeCell="C78" sqref="C78"/>
    </sheetView>
  </sheetViews>
  <sheetFormatPr baseColWidth="10" defaultRowHeight="14.4" x14ac:dyDescent="0.3"/>
  <cols>
    <col min="1" max="1" width="46" customWidth="1"/>
    <col min="2" max="2" width="36.88671875" customWidth="1"/>
    <col min="3" max="3" width="16.109375" customWidth="1"/>
    <col min="4" max="4" width="15.6640625" customWidth="1"/>
    <col min="9" max="9" width="27.88671875" bestFit="1" customWidth="1"/>
    <col min="10" max="10" width="13.5546875" bestFit="1" customWidth="1"/>
    <col min="11" max="11" width="14.109375" bestFit="1" customWidth="1"/>
    <col min="12" max="12" width="15" bestFit="1" customWidth="1"/>
    <col min="13" max="15" width="13.33203125" bestFit="1" customWidth="1"/>
    <col min="16" max="16" width="6.33203125" bestFit="1" customWidth="1"/>
  </cols>
  <sheetData>
    <row r="1" spans="1:23" x14ac:dyDescent="0.3">
      <c r="A1" s="38" t="s">
        <v>66</v>
      </c>
      <c r="B1" s="38">
        <v>1</v>
      </c>
      <c r="C1" s="39">
        <v>2</v>
      </c>
      <c r="D1" s="39">
        <v>3</v>
      </c>
      <c r="E1" s="40">
        <v>4</v>
      </c>
      <c r="F1" s="39">
        <v>5</v>
      </c>
      <c r="G1" s="40">
        <v>6</v>
      </c>
      <c r="I1" s="38" t="s">
        <v>130</v>
      </c>
      <c r="J1" s="38">
        <v>1</v>
      </c>
      <c r="K1" s="38">
        <v>2</v>
      </c>
      <c r="L1" s="38">
        <v>3</v>
      </c>
      <c r="M1" s="38">
        <v>4</v>
      </c>
      <c r="N1" s="39">
        <v>5</v>
      </c>
      <c r="O1" s="40">
        <v>6</v>
      </c>
      <c r="Q1" s="38" t="s">
        <v>197</v>
      </c>
      <c r="R1" s="38">
        <v>1</v>
      </c>
      <c r="S1" s="39">
        <v>2</v>
      </c>
      <c r="T1" s="39">
        <v>3</v>
      </c>
      <c r="U1" s="40">
        <v>4</v>
      </c>
      <c r="V1" s="39">
        <v>5</v>
      </c>
      <c r="W1" s="40">
        <v>6</v>
      </c>
    </row>
    <row r="2" spans="1:23" x14ac:dyDescent="0.3">
      <c r="A2" s="41" t="s">
        <v>35</v>
      </c>
      <c r="B2" s="75" t="e">
        <f>'Inputs - Tables de production'!#REF!</f>
        <v>#REF!</v>
      </c>
      <c r="C2" s="75"/>
      <c r="D2" s="75"/>
      <c r="E2" s="75"/>
      <c r="F2" s="75"/>
      <c r="G2" s="75"/>
      <c r="I2" s="41" t="s">
        <v>35</v>
      </c>
      <c r="J2" s="78" t="e">
        <f>'Inputs - Tables de production'!#REF!</f>
        <v>#REF!</v>
      </c>
      <c r="K2" s="78"/>
      <c r="L2" s="78"/>
      <c r="M2" s="78"/>
      <c r="N2" s="78"/>
      <c r="O2" s="78"/>
      <c r="Q2" s="41" t="s">
        <v>35</v>
      </c>
      <c r="R2" s="75" t="e">
        <f>'Inputs - Tables de production'!#REF!</f>
        <v>#REF!</v>
      </c>
      <c r="S2" s="75"/>
      <c r="T2" s="75"/>
      <c r="U2" s="75"/>
      <c r="V2" s="75"/>
      <c r="W2" s="75"/>
    </row>
    <row r="3" spans="1:23" x14ac:dyDescent="0.3">
      <c r="A3" s="42" t="s">
        <v>163</v>
      </c>
      <c r="B3" s="103" t="e">
        <f>'Inputs - Tables de production'!#REF!</f>
        <v>#REF!</v>
      </c>
      <c r="C3" s="103" t="e">
        <f>'Inputs - Tables de production'!#REF!</f>
        <v>#REF!</v>
      </c>
      <c r="D3" s="103"/>
      <c r="E3" s="76"/>
      <c r="F3" s="76"/>
      <c r="G3" s="76"/>
      <c r="I3" s="42" t="s">
        <v>163</v>
      </c>
      <c r="J3" s="79"/>
      <c r="K3" s="79"/>
      <c r="L3" s="79"/>
      <c r="M3" s="79"/>
      <c r="N3" s="79"/>
      <c r="O3" s="79"/>
      <c r="Q3" s="42" t="s">
        <v>163</v>
      </c>
      <c r="R3" s="103">
        <v>0</v>
      </c>
      <c r="S3" s="103">
        <v>0</v>
      </c>
      <c r="T3" s="103">
        <v>0</v>
      </c>
      <c r="U3" s="76"/>
      <c r="V3" s="76"/>
      <c r="W3" s="76"/>
    </row>
    <row r="4" spans="1:23" x14ac:dyDescent="0.3">
      <c r="A4" s="41" t="s">
        <v>89</v>
      </c>
      <c r="B4" s="75" t="e">
        <f>'Inputs - Tables de production'!#REF!</f>
        <v>#REF!</v>
      </c>
      <c r="C4" s="75" t="e">
        <f>'Inputs - Tables de production'!#REF!</f>
        <v>#REF!</v>
      </c>
      <c r="D4" s="75" t="e">
        <f>'Inputs - Tables de production'!#REF!</f>
        <v>#REF!</v>
      </c>
      <c r="E4" s="75"/>
      <c r="F4" s="75"/>
      <c r="G4" s="75"/>
      <c r="I4" s="41" t="s">
        <v>89</v>
      </c>
      <c r="J4" s="78" t="e">
        <f>'Inputs - Tables de production'!#REF!</f>
        <v>#REF!</v>
      </c>
      <c r="K4" s="78" t="e">
        <f>'Inputs - Tables de production'!#REF!</f>
        <v>#REF!</v>
      </c>
      <c r="L4" s="78" t="e">
        <f>'Inputs - Tables de production'!#REF!</f>
        <v>#REF!</v>
      </c>
      <c r="M4" s="78"/>
      <c r="N4" s="78"/>
      <c r="O4" s="78"/>
      <c r="Q4" s="41" t="s">
        <v>89</v>
      </c>
      <c r="R4" s="75" t="e">
        <f>'Inputs - Tables de production'!#REF!</f>
        <v>#REF!</v>
      </c>
      <c r="S4" s="75" t="e">
        <f>'Inputs - Tables de production'!#REF!</f>
        <v>#REF!</v>
      </c>
      <c r="T4" s="75" t="e">
        <f>'Inputs - Tables de production'!#REF!</f>
        <v>#REF!</v>
      </c>
      <c r="U4" s="75"/>
      <c r="V4" s="75"/>
      <c r="W4" s="75"/>
    </row>
    <row r="5" spans="1:23" x14ac:dyDescent="0.3">
      <c r="A5" s="42" t="s">
        <v>37</v>
      </c>
      <c r="B5" s="76" t="e">
        <f>'Inputs - Tables de production'!#REF!</f>
        <v>#REF!</v>
      </c>
      <c r="C5" s="76" t="e">
        <f>'Inputs - Tables de production'!#REF!</f>
        <v>#REF!</v>
      </c>
      <c r="D5" s="76" t="e">
        <f>'Inputs - Tables de production'!#REF!</f>
        <v>#REF!</v>
      </c>
      <c r="E5" s="76"/>
      <c r="F5" s="76"/>
      <c r="G5" s="76"/>
      <c r="I5" s="42" t="s">
        <v>37</v>
      </c>
      <c r="J5" s="79" t="e">
        <f>'Inputs - Tables de production'!#REF!</f>
        <v>#REF!</v>
      </c>
      <c r="K5" s="79" t="e">
        <f>'Inputs - Tables de production'!#REF!</f>
        <v>#REF!</v>
      </c>
      <c r="L5" s="79" t="e">
        <f>'Inputs - Tables de production'!#REF!</f>
        <v>#REF!</v>
      </c>
      <c r="M5" s="79"/>
      <c r="N5" s="79"/>
      <c r="O5" s="79"/>
      <c r="Q5" s="42" t="s">
        <v>37</v>
      </c>
      <c r="R5" s="76" t="e">
        <f>'Inputs - Tables de production'!#REF!</f>
        <v>#REF!</v>
      </c>
      <c r="S5" s="76" t="e">
        <f>'Inputs - Tables de production'!#REF!</f>
        <v>#REF!</v>
      </c>
      <c r="T5" s="76" t="e">
        <f>'Inputs - Tables de production'!#REF!</f>
        <v>#REF!</v>
      </c>
      <c r="U5" s="76"/>
      <c r="V5" s="76"/>
      <c r="W5" s="76"/>
    </row>
    <row r="6" spans="1:23" x14ac:dyDescent="0.3">
      <c r="A6" s="41" t="s">
        <v>23</v>
      </c>
      <c r="B6" s="75" t="e">
        <f>'Inputs - Tables de production'!#REF!</f>
        <v>#REF!</v>
      </c>
      <c r="C6" s="75" t="e">
        <f>'Inputs - Tables de production'!#REF!</f>
        <v>#REF!</v>
      </c>
      <c r="D6" s="75" t="e">
        <f>'Inputs - Tables de production'!#REF!</f>
        <v>#REF!</v>
      </c>
      <c r="E6" s="75" t="e">
        <f>'Inputs - Tables de production'!#REF!</f>
        <v>#REF!</v>
      </c>
      <c r="F6" s="75" t="e">
        <f>'Inputs - Tables de production'!#REF!</f>
        <v>#REF!</v>
      </c>
      <c r="G6" s="75"/>
      <c r="I6" s="41" t="s">
        <v>23</v>
      </c>
      <c r="J6" s="78" t="e">
        <f>'Inputs - Tables de production'!#REF!</f>
        <v>#REF!</v>
      </c>
      <c r="K6" s="78" t="e">
        <f>'Inputs - Tables de production'!#REF!</f>
        <v>#REF!</v>
      </c>
      <c r="L6" s="78" t="e">
        <f>'Inputs - Tables de production'!#REF!</f>
        <v>#REF!</v>
      </c>
      <c r="M6" s="78"/>
      <c r="N6" s="78"/>
      <c r="O6" s="78"/>
      <c r="Q6" s="41" t="s">
        <v>23</v>
      </c>
      <c r="R6" s="75" t="e">
        <f>'Inputs - Tables de production'!#REF!</f>
        <v>#REF!</v>
      </c>
      <c r="S6" s="75" t="e">
        <f>'Inputs - Tables de production'!#REF!</f>
        <v>#REF!</v>
      </c>
      <c r="T6" s="75" t="e">
        <f>'Inputs - Tables de production'!#REF!</f>
        <v>#REF!</v>
      </c>
      <c r="U6" s="75" t="e">
        <f>'Inputs - Tables de production'!#REF!</f>
        <v>#REF!</v>
      </c>
      <c r="V6" s="75" t="e">
        <f>'Inputs - Tables de production'!#REF!</f>
        <v>#REF!</v>
      </c>
      <c r="W6" s="75"/>
    </row>
    <row r="7" spans="1:23" x14ac:dyDescent="0.3">
      <c r="A7" s="41" t="s">
        <v>213</v>
      </c>
      <c r="B7" s="75" t="e">
        <f>'Inputs - Tables de production'!#REF!</f>
        <v>#REF!</v>
      </c>
      <c r="C7" s="75" t="e">
        <f>'Inputs - Tables de production'!#REF!</f>
        <v>#REF!</v>
      </c>
      <c r="D7" s="75" t="e">
        <f>'Inputs - Tables de production'!#REF!</f>
        <v>#REF!</v>
      </c>
      <c r="E7" s="75" t="e">
        <f>'Inputs - Tables de production'!#REF!</f>
        <v>#REF!</v>
      </c>
      <c r="F7" s="75" t="e">
        <f>'Inputs - Tables de production'!#REF!</f>
        <v>#REF!</v>
      </c>
      <c r="G7" s="75"/>
      <c r="I7" s="41" t="s">
        <v>213</v>
      </c>
      <c r="J7" s="78" t="e">
        <f>'Inputs - Tables de production'!#REF!</f>
        <v>#REF!</v>
      </c>
      <c r="K7" s="78" t="e">
        <f>'Inputs - Tables de production'!#REF!</f>
        <v>#REF!</v>
      </c>
      <c r="L7" s="78" t="e">
        <f>'Inputs - Tables de production'!#REF!</f>
        <v>#REF!</v>
      </c>
      <c r="M7" s="78"/>
      <c r="N7" s="78"/>
      <c r="O7" s="78"/>
      <c r="Q7" s="41" t="s">
        <v>213</v>
      </c>
      <c r="R7" s="75" t="e">
        <f>'Inputs - Tables de production'!#REF!</f>
        <v>#REF!</v>
      </c>
      <c r="S7" s="75" t="e">
        <f>'Inputs - Tables de production'!#REF!</f>
        <v>#REF!</v>
      </c>
      <c r="T7" s="75" t="e">
        <f>'Inputs - Tables de production'!#REF!</f>
        <v>#REF!</v>
      </c>
      <c r="U7" s="75" t="e">
        <f>'Inputs - Tables de production'!#REF!</f>
        <v>#REF!</v>
      </c>
      <c r="V7" s="75" t="e">
        <f>'Inputs - Tables de production'!#REF!</f>
        <v>#REF!</v>
      </c>
      <c r="W7" s="75"/>
    </row>
    <row r="8" spans="1:23" x14ac:dyDescent="0.3">
      <c r="A8" s="42" t="s">
        <v>36</v>
      </c>
      <c r="B8" s="76">
        <f>'Inputs - Tables de production'!B4</f>
        <v>202</v>
      </c>
      <c r="C8" s="76">
        <f>'Inputs - Tables de production'!B5</f>
        <v>160</v>
      </c>
      <c r="D8" s="76">
        <f>'Inputs - Tables de production'!B6</f>
        <v>119</v>
      </c>
      <c r="E8" s="76"/>
      <c r="F8" s="76"/>
      <c r="G8" s="76"/>
      <c r="I8" s="42" t="s">
        <v>36</v>
      </c>
      <c r="J8" s="79">
        <f>'Inputs - Tables de production'!C4</f>
        <v>-2106.8381429844317</v>
      </c>
      <c r="K8" s="79">
        <f>'Inputs - Tables de production'!C5</f>
        <v>-2913.6449832252579</v>
      </c>
      <c r="L8" s="79">
        <f>'Inputs - Tables de production'!C6</f>
        <v>-3441.1780626521904</v>
      </c>
      <c r="M8" s="79"/>
      <c r="N8" s="79"/>
      <c r="O8" s="79"/>
      <c r="Q8" s="42" t="s">
        <v>36</v>
      </c>
      <c r="R8" s="76">
        <f>'Inputs - Tables de production'!E4</f>
        <v>120</v>
      </c>
      <c r="S8" s="76">
        <f>'Inputs - Tables de production'!E5</f>
        <v>67</v>
      </c>
      <c r="T8" s="76">
        <f>'Inputs - Tables de production'!E6</f>
        <v>28</v>
      </c>
      <c r="U8" s="76"/>
      <c r="V8" s="76"/>
      <c r="W8" s="76"/>
    </row>
    <row r="9" spans="1:23" x14ac:dyDescent="0.3">
      <c r="A9" s="41" t="s">
        <v>81</v>
      </c>
      <c r="B9" s="75" t="e">
        <f>'Inputs - Tables de production'!#REF!</f>
        <v>#REF!</v>
      </c>
      <c r="C9" s="75" t="e">
        <f>'Inputs - Tables de production'!#REF!</f>
        <v>#REF!</v>
      </c>
      <c r="D9" s="75" t="e">
        <f>'Inputs - Tables de production'!#REF!</f>
        <v>#REF!</v>
      </c>
      <c r="E9" s="75" t="e">
        <f>'Inputs - Tables de production'!#REF!</f>
        <v>#REF!</v>
      </c>
      <c r="F9" s="75"/>
      <c r="G9" s="75"/>
      <c r="I9" s="41" t="s">
        <v>81</v>
      </c>
      <c r="J9" s="78" t="e">
        <f>'Inputs - Tables de production'!#REF!</f>
        <v>#REF!</v>
      </c>
      <c r="K9" s="78" t="e">
        <f>'Inputs - Tables de production'!#REF!</f>
        <v>#REF!</v>
      </c>
      <c r="L9" s="78" t="e">
        <f>'Inputs - Tables de production'!#REF!</f>
        <v>#REF!</v>
      </c>
      <c r="M9" s="78" t="e">
        <f>'Inputs - Tables de production'!#REF!</f>
        <v>#REF!</v>
      </c>
      <c r="N9" s="78"/>
      <c r="O9" s="78"/>
      <c r="Q9" s="41" t="s">
        <v>81</v>
      </c>
      <c r="R9" s="75" t="e">
        <f>'Inputs - Tables de production'!#REF!</f>
        <v>#REF!</v>
      </c>
      <c r="S9" s="75" t="e">
        <f>'Inputs - Tables de production'!#REF!</f>
        <v>#REF!</v>
      </c>
      <c r="T9" s="75" t="e">
        <f>'Inputs - Tables de production'!#REF!</f>
        <v>#REF!</v>
      </c>
      <c r="U9" s="75" t="e">
        <f>'Inputs - Tables de production'!#REF!</f>
        <v>#REF!</v>
      </c>
      <c r="V9" s="75"/>
      <c r="W9" s="75"/>
    </row>
    <row r="10" spans="1:23" x14ac:dyDescent="0.3">
      <c r="A10" s="42" t="s">
        <v>82</v>
      </c>
      <c r="B10" s="76" t="e">
        <f>'Inputs - Tables de production'!#REF!</f>
        <v>#REF!</v>
      </c>
      <c r="C10" s="76" t="e">
        <f>'Inputs - Tables de production'!#REF!</f>
        <v>#REF!</v>
      </c>
      <c r="D10" s="76"/>
      <c r="E10" s="76"/>
      <c r="F10" s="76"/>
      <c r="G10" s="76"/>
      <c r="I10" s="42" t="s">
        <v>70</v>
      </c>
      <c r="J10" s="79" t="e">
        <f>'Inputs - Tables de production'!#REF!</f>
        <v>#REF!</v>
      </c>
      <c r="K10" s="79" t="e">
        <f>'Inputs - Tables de production'!#REF!</f>
        <v>#REF!</v>
      </c>
      <c r="L10" s="79"/>
      <c r="M10" s="79"/>
      <c r="N10" s="79"/>
      <c r="O10" s="79"/>
      <c r="Q10" s="42" t="s">
        <v>82</v>
      </c>
      <c r="R10" s="76" t="e">
        <f>'Inputs - Tables de production'!#REF!</f>
        <v>#REF!</v>
      </c>
      <c r="S10" s="76" t="e">
        <f>'Inputs - Tables de production'!#REF!</f>
        <v>#REF!</v>
      </c>
      <c r="T10" s="76"/>
      <c r="U10" s="76"/>
      <c r="V10" s="76"/>
      <c r="W10" s="76"/>
    </row>
    <row r="11" spans="1:23" x14ac:dyDescent="0.3">
      <c r="A11" s="41" t="s">
        <v>73</v>
      </c>
      <c r="B11" s="75" t="e">
        <f>'Inputs - Tables de production'!#REF!</f>
        <v>#REF!</v>
      </c>
      <c r="C11" s="75" t="e">
        <f>'Inputs - Tables de production'!#REF!</f>
        <v>#REF!</v>
      </c>
      <c r="D11" s="75" t="e">
        <f>'Inputs - Tables de production'!#REF!</f>
        <v>#REF!</v>
      </c>
      <c r="E11" s="75" t="e">
        <f>'Inputs - Tables de production'!#REF!</f>
        <v>#REF!</v>
      </c>
      <c r="F11" s="75" t="e">
        <f>'Inputs - Tables de production'!#REF!</f>
        <v>#REF!</v>
      </c>
      <c r="G11" s="75" t="e">
        <f>'Inputs - Tables de production'!#REF!</f>
        <v>#REF!</v>
      </c>
      <c r="I11" s="41" t="s">
        <v>73</v>
      </c>
      <c r="J11" s="78" t="e">
        <f>'Inputs - Tables de production'!#REF!</f>
        <v>#REF!</v>
      </c>
      <c r="K11" s="78" t="e">
        <f>'Inputs - Tables de production'!#REF!</f>
        <v>#REF!</v>
      </c>
      <c r="L11" s="78" t="e">
        <f>'Inputs - Tables de production'!#REF!</f>
        <v>#REF!</v>
      </c>
      <c r="M11" s="78" t="e">
        <f>'Inputs - Tables de production'!#REF!</f>
        <v>#REF!</v>
      </c>
      <c r="N11" s="78" t="e">
        <f>'Inputs - Tables de production'!#REF!</f>
        <v>#REF!</v>
      </c>
      <c r="O11" s="78" t="e">
        <f>'Inputs - Tables de production'!#REF!</f>
        <v>#REF!</v>
      </c>
      <c r="Q11" s="41" t="s">
        <v>73</v>
      </c>
      <c r="R11" s="75" t="e">
        <f>'Inputs - Tables de production'!#REF!</f>
        <v>#REF!</v>
      </c>
      <c r="S11" s="75" t="e">
        <f>'Inputs - Tables de production'!#REF!</f>
        <v>#REF!</v>
      </c>
      <c r="T11" s="75" t="e">
        <f>'Inputs - Tables de production'!#REF!</f>
        <v>#REF!</v>
      </c>
      <c r="U11" s="75" t="e">
        <f>'Inputs - Tables de production'!#REF!</f>
        <v>#REF!</v>
      </c>
      <c r="V11" s="75" t="e">
        <f>'Inputs - Tables de production'!#REF!</f>
        <v>#REF!</v>
      </c>
      <c r="W11" s="75" t="e">
        <f>'Inputs - Tables de production'!#REF!</f>
        <v>#REF!</v>
      </c>
    </row>
    <row r="12" spans="1:23" x14ac:dyDescent="0.3">
      <c r="A12" s="42" t="s">
        <v>72</v>
      </c>
      <c r="B12" s="103" t="e">
        <f>B4</f>
        <v>#REF!</v>
      </c>
      <c r="C12" s="103" t="e">
        <f>C4</f>
        <v>#REF!</v>
      </c>
      <c r="D12" s="103" t="e">
        <f>D4</f>
        <v>#REF!</v>
      </c>
      <c r="E12" s="76"/>
      <c r="F12" s="76"/>
      <c r="G12" s="76"/>
      <c r="I12" s="42" t="s">
        <v>72</v>
      </c>
      <c r="J12" s="78" t="e">
        <f>'Inputs - Tables de production'!#REF!</f>
        <v>#REF!</v>
      </c>
      <c r="K12" s="78" t="e">
        <f>'Inputs - Tables de production'!#REF!</f>
        <v>#REF!</v>
      </c>
      <c r="L12" s="78" t="e">
        <f>'Inputs - Tables de production'!#REF!</f>
        <v>#REF!</v>
      </c>
      <c r="M12" s="79"/>
      <c r="N12" s="79"/>
      <c r="O12" s="79"/>
      <c r="Q12" s="42" t="s">
        <v>72</v>
      </c>
      <c r="R12" s="76" t="e">
        <f>'Inputs - Tables de production'!#REF!</f>
        <v>#REF!</v>
      </c>
      <c r="S12" s="76" t="e">
        <f>'Inputs - Tables de production'!#REF!</f>
        <v>#REF!</v>
      </c>
      <c r="T12" s="76" t="e">
        <f>'Inputs - Tables de production'!#REF!</f>
        <v>#REF!</v>
      </c>
      <c r="U12" s="76"/>
      <c r="V12" s="76"/>
      <c r="W12" s="76"/>
    </row>
    <row r="13" spans="1:23" x14ac:dyDescent="0.3">
      <c r="A13" s="41" t="s">
        <v>71</v>
      </c>
      <c r="B13" s="75" t="e">
        <f>B4</f>
        <v>#REF!</v>
      </c>
      <c r="C13" s="75" t="e">
        <f>C4</f>
        <v>#REF!</v>
      </c>
      <c r="D13" s="75" t="e">
        <f>D4</f>
        <v>#REF!</v>
      </c>
      <c r="E13" s="75"/>
      <c r="F13" s="75"/>
      <c r="G13" s="75"/>
      <c r="I13" s="41" t="s">
        <v>71</v>
      </c>
      <c r="J13" s="78" t="e">
        <f>J4</f>
        <v>#REF!</v>
      </c>
      <c r="K13" s="78" t="e">
        <f>K4</f>
        <v>#REF!</v>
      </c>
      <c r="L13" s="78" t="e">
        <f>L4</f>
        <v>#REF!</v>
      </c>
      <c r="M13" s="78"/>
      <c r="N13" s="78"/>
      <c r="O13" s="78"/>
      <c r="Q13" s="41" t="s">
        <v>71</v>
      </c>
      <c r="R13" s="75" t="e">
        <f>'Inputs - Tables de production'!#REF!</f>
        <v>#REF!</v>
      </c>
      <c r="S13" s="75" t="e">
        <f>'Inputs - Tables de production'!#REF!</f>
        <v>#REF!</v>
      </c>
      <c r="T13" s="75" t="e">
        <f>'Inputs - Tables de production'!#REF!</f>
        <v>#REF!</v>
      </c>
      <c r="U13" s="75"/>
      <c r="V13" s="75"/>
      <c r="W13" s="75"/>
    </row>
    <row r="14" spans="1:23" x14ac:dyDescent="0.3">
      <c r="A14" s="113"/>
      <c r="B14" s="114"/>
      <c r="C14" s="114"/>
      <c r="D14" s="114"/>
      <c r="E14" s="114"/>
      <c r="F14" s="114"/>
      <c r="G14" s="114"/>
      <c r="I14" s="113"/>
      <c r="J14" s="115"/>
      <c r="K14" s="115"/>
      <c r="L14" s="115"/>
      <c r="M14" s="115"/>
      <c r="N14" s="115"/>
      <c r="O14" s="115"/>
      <c r="Q14" s="113"/>
      <c r="R14" s="114"/>
      <c r="S14" s="114"/>
      <c r="T14" s="114"/>
      <c r="U14" s="114"/>
      <c r="V14" s="114"/>
      <c r="W14" s="114"/>
    </row>
    <row r="16" spans="1:23" x14ac:dyDescent="0.3">
      <c r="I16" t="e">
        <f>INDEX(Inputs!K19:L28,MATCH(MIN(ABS(G15-Inputs!J19:J28)),ABS(ValeurCherchee-Inputs!K18:L18),0))</f>
        <v>#VALUE!</v>
      </c>
    </row>
    <row r="17" spans="1:23" x14ac:dyDescent="0.3">
      <c r="A17" t="s">
        <v>83</v>
      </c>
      <c r="B17" t="s">
        <v>22</v>
      </c>
      <c r="D17" t="s">
        <v>212</v>
      </c>
      <c r="F17" s="189" t="s">
        <v>23</v>
      </c>
      <c r="G17" s="189"/>
      <c r="H17" s="189"/>
      <c r="J17" s="189" t="s">
        <v>35</v>
      </c>
      <c r="K17" s="189"/>
      <c r="L17" s="189"/>
      <c r="Q17" s="38" t="s">
        <v>198</v>
      </c>
      <c r="R17" s="38">
        <v>1</v>
      </c>
      <c r="S17" s="39">
        <v>2</v>
      </c>
      <c r="T17" s="39">
        <v>3</v>
      </c>
      <c r="U17" s="40">
        <v>4</v>
      </c>
      <c r="V17" s="39">
        <v>5</v>
      </c>
      <c r="W17" s="40">
        <v>6</v>
      </c>
    </row>
    <row r="18" spans="1:23" x14ac:dyDescent="0.3">
      <c r="A18" t="s">
        <v>35</v>
      </c>
      <c r="B18">
        <v>0.57999999999999996</v>
      </c>
      <c r="D18">
        <v>5</v>
      </c>
      <c r="F18" s="38" t="s">
        <v>214</v>
      </c>
      <c r="G18" s="38">
        <v>1</v>
      </c>
      <c r="H18" s="38">
        <v>2</v>
      </c>
      <c r="J18" s="38" t="s">
        <v>219</v>
      </c>
      <c r="K18" s="38">
        <v>1</v>
      </c>
      <c r="L18" s="38">
        <v>2</v>
      </c>
      <c r="Q18" s="41" t="s">
        <v>35</v>
      </c>
      <c r="R18" s="75" t="e">
        <f>'Inputs - Tables de production'!#REF!</f>
        <v>#REF!</v>
      </c>
      <c r="S18" s="75"/>
      <c r="T18" s="75"/>
      <c r="U18" s="75"/>
      <c r="V18" s="75"/>
      <c r="W18" s="75"/>
    </row>
    <row r="19" spans="1:23" x14ac:dyDescent="0.3">
      <c r="A19" s="42" t="s">
        <v>163</v>
      </c>
      <c r="B19">
        <v>0.57999999999999996</v>
      </c>
      <c r="D19">
        <v>10</v>
      </c>
      <c r="F19" s="41">
        <v>15</v>
      </c>
      <c r="G19" s="78" t="e">
        <f>'Inputs - Tables de production'!#REF!</f>
        <v>#REF!</v>
      </c>
      <c r="H19" s="78" t="e">
        <f>'Inputs - Tables de production'!#REF!</f>
        <v>#REF!</v>
      </c>
      <c r="J19" s="41">
        <v>29</v>
      </c>
      <c r="K19" s="78">
        <v>132.202</v>
      </c>
      <c r="L19" s="78"/>
      <c r="Q19" s="42" t="s">
        <v>163</v>
      </c>
      <c r="R19" s="103">
        <v>0</v>
      </c>
      <c r="S19" s="103">
        <v>0</v>
      </c>
      <c r="T19" s="103">
        <v>0</v>
      </c>
      <c r="U19" s="76"/>
      <c r="V19" s="76"/>
      <c r="W19" s="76"/>
    </row>
    <row r="20" spans="1:23" x14ac:dyDescent="0.3">
      <c r="A20" t="str">
        <f>A4</f>
        <v xml:space="preserve">Douglas </v>
      </c>
      <c r="B20">
        <v>0.43</v>
      </c>
      <c r="D20">
        <v>15</v>
      </c>
      <c r="F20" s="42">
        <v>20</v>
      </c>
      <c r="G20" s="79" t="e">
        <f>'Inputs - Tables de production'!#REF!</f>
        <v>#REF!</v>
      </c>
      <c r="H20" s="79" t="e">
        <f>'Inputs - Tables de production'!#REF!</f>
        <v>#REF!</v>
      </c>
      <c r="J20" s="42">
        <v>37</v>
      </c>
      <c r="K20" s="79">
        <v>167.1096</v>
      </c>
      <c r="L20" s="79">
        <v>125.244</v>
      </c>
      <c r="Q20" s="41" t="s">
        <v>89</v>
      </c>
      <c r="R20" s="75">
        <v>0</v>
      </c>
      <c r="S20" s="75">
        <v>0</v>
      </c>
      <c r="T20" s="75">
        <v>0</v>
      </c>
      <c r="U20" s="75"/>
      <c r="V20" s="75"/>
      <c r="W20" s="75"/>
    </row>
    <row r="21" spans="1:23" x14ac:dyDescent="0.3">
      <c r="A21" t="s">
        <v>37</v>
      </c>
      <c r="B21">
        <v>0.46</v>
      </c>
      <c r="D21">
        <v>20</v>
      </c>
      <c r="F21" s="41">
        <v>25</v>
      </c>
      <c r="G21" s="78" t="e">
        <f>'Inputs - Tables de production'!#REF!</f>
        <v>#REF!</v>
      </c>
      <c r="H21" s="78" t="e">
        <f>'Inputs - Tables de production'!#REF!</f>
        <v>#REF!</v>
      </c>
      <c r="J21" s="41">
        <v>45</v>
      </c>
      <c r="K21" s="78">
        <v>144</v>
      </c>
      <c r="L21" s="78">
        <v>152.10580000000002</v>
      </c>
      <c r="Q21" s="42" t="s">
        <v>37</v>
      </c>
      <c r="R21" s="76">
        <v>0</v>
      </c>
      <c r="S21" s="76">
        <v>0</v>
      </c>
      <c r="T21" s="76">
        <v>0</v>
      </c>
      <c r="U21" s="76"/>
      <c r="V21" s="76"/>
      <c r="W21" s="76"/>
    </row>
    <row r="22" spans="1:23" x14ac:dyDescent="0.3">
      <c r="A22" t="s">
        <v>23</v>
      </c>
      <c r="B22">
        <v>0.47</v>
      </c>
      <c r="D22">
        <v>25</v>
      </c>
      <c r="F22" s="42">
        <v>30</v>
      </c>
      <c r="G22" s="79" t="e">
        <f>'Inputs - Tables de production'!#REF!</f>
        <v>#REF!</v>
      </c>
      <c r="H22" s="79" t="e">
        <f>'Inputs - Tables de production'!#REF!</f>
        <v>#REF!</v>
      </c>
      <c r="J22" s="42">
        <v>53</v>
      </c>
      <c r="K22" s="79">
        <v>171</v>
      </c>
      <c r="L22" s="79">
        <v>127</v>
      </c>
      <c r="Q22" s="41" t="s">
        <v>23</v>
      </c>
      <c r="R22" s="75" t="e">
        <f>'Inputs - Tables de production'!#REF!</f>
        <v>#REF!</v>
      </c>
      <c r="S22" s="75" t="e">
        <f>'Inputs - Tables de production'!#REF!</f>
        <v>#REF!</v>
      </c>
      <c r="T22" s="75" t="e">
        <f>'Inputs - Tables de production'!#REF!</f>
        <v>#REF!</v>
      </c>
      <c r="U22" s="75" t="e">
        <f>'Inputs - Tables de production'!#REF!</f>
        <v>#REF!</v>
      </c>
      <c r="V22" s="75" t="e">
        <f>'Inputs - Tables de production'!#REF!</f>
        <v>#REF!</v>
      </c>
      <c r="W22" s="75"/>
    </row>
    <row r="23" spans="1:23" x14ac:dyDescent="0.3">
      <c r="A23" t="s">
        <v>213</v>
      </c>
      <c r="B23">
        <f>0.58</f>
        <v>0.57999999999999996</v>
      </c>
      <c r="D23">
        <v>30</v>
      </c>
      <c r="F23" s="41">
        <v>35</v>
      </c>
      <c r="G23" s="105" t="e">
        <f>'Inputs - Tables de production'!#REF!</f>
        <v>#REF!</v>
      </c>
      <c r="H23" s="105" t="e">
        <f>'Inputs - Tables de production'!#REF!</f>
        <v>#REF!</v>
      </c>
      <c r="J23" s="41">
        <v>61</v>
      </c>
      <c r="K23" s="105">
        <v>197</v>
      </c>
      <c r="L23" s="105">
        <v>147</v>
      </c>
      <c r="Q23" s="112" t="s">
        <v>213</v>
      </c>
      <c r="R23" s="75" t="e">
        <f>'Inputs - Tables de production'!#REF!</f>
        <v>#REF!</v>
      </c>
      <c r="S23" s="75" t="e">
        <f>'Inputs - Tables de production'!#REF!</f>
        <v>#REF!</v>
      </c>
      <c r="T23" s="75" t="e">
        <f>'Inputs - Tables de production'!#REF!</f>
        <v>#REF!</v>
      </c>
      <c r="U23" s="75" t="e">
        <f>'Inputs - Tables de production'!#REF!</f>
        <v>#REF!</v>
      </c>
      <c r="V23" s="75" t="e">
        <f>'Inputs - Tables de production'!#REF!</f>
        <v>#REF!</v>
      </c>
      <c r="W23" s="75"/>
    </row>
    <row r="24" spans="1:23" x14ac:dyDescent="0.3">
      <c r="A24" t="s">
        <v>36</v>
      </c>
      <c r="B24">
        <v>0.46</v>
      </c>
      <c r="D24">
        <v>35</v>
      </c>
      <c r="F24" s="42">
        <v>40</v>
      </c>
      <c r="G24" s="79" t="e">
        <f>'Inputs - Tables de production'!#REF!</f>
        <v>#REF!</v>
      </c>
      <c r="H24" s="79" t="e">
        <f>'Inputs - Tables de production'!#REF!</f>
        <v>#REF!</v>
      </c>
      <c r="J24" s="42">
        <v>69</v>
      </c>
      <c r="K24" s="79">
        <v>218</v>
      </c>
      <c r="L24" s="79">
        <v>165</v>
      </c>
      <c r="Q24" s="42" t="s">
        <v>36</v>
      </c>
      <c r="R24" s="76">
        <f>'Inputs - Tables de production'!F4</f>
        <v>0</v>
      </c>
      <c r="S24" s="76">
        <f>'Inputs - Tables de production'!F5</f>
        <v>0</v>
      </c>
      <c r="T24" s="76">
        <f>'Inputs - Tables de production'!F6</f>
        <v>0</v>
      </c>
      <c r="U24" s="76"/>
      <c r="V24" s="76"/>
      <c r="W24" s="76"/>
    </row>
    <row r="25" spans="1:23" x14ac:dyDescent="0.3">
      <c r="A25" t="s">
        <v>81</v>
      </c>
      <c r="B25">
        <v>0.44</v>
      </c>
      <c r="D25">
        <v>40</v>
      </c>
      <c r="F25" s="41">
        <v>45</v>
      </c>
      <c r="G25" s="78" t="e">
        <f>'Inputs - Tables de production'!#REF!</f>
        <v>#REF!</v>
      </c>
      <c r="H25" s="78" t="e">
        <f>'Inputs - Tables de production'!#REF!</f>
        <v>#REF!</v>
      </c>
      <c r="J25" s="41">
        <v>77</v>
      </c>
      <c r="K25" s="78">
        <v>238</v>
      </c>
      <c r="L25" s="78">
        <v>194</v>
      </c>
      <c r="Q25" s="41" t="s">
        <v>81</v>
      </c>
      <c r="R25" s="75" t="e">
        <f>'Inputs - Tables de production'!#REF!</f>
        <v>#REF!</v>
      </c>
      <c r="S25" s="75" t="e">
        <f>'Inputs - Tables de production'!#REF!</f>
        <v>#REF!</v>
      </c>
      <c r="T25" s="75" t="e">
        <f>'Inputs - Tables de production'!#REF!</f>
        <v>#REF!</v>
      </c>
      <c r="U25" s="75" t="e">
        <f>'Inputs - Tables de production'!#REF!</f>
        <v>#REF!</v>
      </c>
      <c r="V25" s="75"/>
      <c r="W25" s="75"/>
    </row>
    <row r="26" spans="1:23" x14ac:dyDescent="0.3">
      <c r="A26" t="s">
        <v>82</v>
      </c>
      <c r="B26">
        <v>0.36</v>
      </c>
      <c r="D26">
        <v>45</v>
      </c>
      <c r="F26" s="42">
        <v>50</v>
      </c>
      <c r="G26" s="79" t="e">
        <f>'Inputs - Tables de production'!#REF!</f>
        <v>#REF!</v>
      </c>
      <c r="H26" s="79" t="e">
        <f>'Inputs - Tables de production'!#REF!</f>
        <v>#REF!</v>
      </c>
      <c r="J26" s="42">
        <v>85</v>
      </c>
      <c r="K26" s="79">
        <v>251</v>
      </c>
      <c r="L26" s="79">
        <v>219</v>
      </c>
      <c r="Q26" s="42" t="s">
        <v>82</v>
      </c>
      <c r="R26" s="76">
        <v>0</v>
      </c>
      <c r="S26" s="76">
        <v>0</v>
      </c>
      <c r="T26" s="76"/>
      <c r="U26" s="76"/>
      <c r="V26" s="76"/>
      <c r="W26" s="76"/>
    </row>
    <row r="27" spans="1:23" x14ac:dyDescent="0.3">
      <c r="A27" t="s">
        <v>73</v>
      </c>
      <c r="B27">
        <v>0.36</v>
      </c>
      <c r="D27">
        <v>50</v>
      </c>
      <c r="F27" s="41">
        <v>55</v>
      </c>
      <c r="G27" s="78" t="e">
        <f>'Inputs - Tables de production'!#REF!</f>
        <v>#REF!</v>
      </c>
      <c r="H27" s="78" t="e">
        <f>'Inputs - Tables de production'!#REF!</f>
        <v>#REF!</v>
      </c>
      <c r="J27" s="41">
        <v>95</v>
      </c>
      <c r="K27" s="78">
        <v>287</v>
      </c>
      <c r="L27" s="78">
        <v>241</v>
      </c>
      <c r="Q27" s="41" t="s">
        <v>73</v>
      </c>
      <c r="R27" s="75" t="e">
        <f>'Inputs - Tables de production'!#REF!</f>
        <v>#REF!</v>
      </c>
      <c r="S27" s="75" t="e">
        <f>'Inputs - Tables de production'!#REF!</f>
        <v>#REF!</v>
      </c>
      <c r="T27" s="75" t="e">
        <f>'Inputs - Tables de production'!#REF!</f>
        <v>#REF!</v>
      </c>
      <c r="U27" s="75" t="e">
        <f>'Inputs - Tables de production'!#REF!</f>
        <v>#REF!</v>
      </c>
      <c r="V27" s="75" t="e">
        <f>'Inputs - Tables de production'!#REF!</f>
        <v>#REF!</v>
      </c>
      <c r="W27" s="75" t="e">
        <f>'Inputs - Tables de production'!#REF!</f>
        <v>#REF!</v>
      </c>
    </row>
    <row r="28" spans="1:23" x14ac:dyDescent="0.3">
      <c r="A28" t="s">
        <v>71</v>
      </c>
      <c r="B28">
        <v>0.43</v>
      </c>
      <c r="F28" s="42">
        <v>60</v>
      </c>
      <c r="G28" s="79" t="e">
        <f>'Inputs - Tables de production'!#REF!</f>
        <v>#REF!</v>
      </c>
      <c r="H28" s="79" t="e">
        <f>'Inputs - Tables de production'!#REF!</f>
        <v>#REF!</v>
      </c>
      <c r="J28" s="42">
        <v>105</v>
      </c>
      <c r="K28" s="79">
        <v>323</v>
      </c>
      <c r="L28" s="79">
        <v>263</v>
      </c>
      <c r="Q28" s="42" t="s">
        <v>72</v>
      </c>
      <c r="R28" s="76">
        <v>0</v>
      </c>
      <c r="S28" s="76">
        <v>0</v>
      </c>
      <c r="T28" s="76">
        <v>0</v>
      </c>
      <c r="U28" s="76"/>
      <c r="V28" s="76"/>
      <c r="W28" s="76"/>
    </row>
    <row r="29" spans="1:23" x14ac:dyDescent="0.3">
      <c r="A29" t="s">
        <v>72</v>
      </c>
      <c r="B29">
        <v>0.48</v>
      </c>
      <c r="F29" s="41">
        <v>65</v>
      </c>
      <c r="G29" s="78" t="e">
        <f>'Inputs - Tables de production'!#REF!</f>
        <v>#REF!</v>
      </c>
      <c r="H29" s="78" t="e">
        <f>'Inputs - Tables de production'!#REF!</f>
        <v>#REF!</v>
      </c>
      <c r="J29" s="104"/>
      <c r="K29" s="108"/>
      <c r="L29" s="108"/>
      <c r="Q29" s="41" t="s">
        <v>71</v>
      </c>
      <c r="R29" s="75">
        <v>0</v>
      </c>
      <c r="S29" s="75">
        <v>0</v>
      </c>
      <c r="T29" s="75">
        <v>0</v>
      </c>
      <c r="U29" s="75"/>
      <c r="V29" s="75"/>
      <c r="W29" s="75"/>
    </row>
    <row r="30" spans="1:23" x14ac:dyDescent="0.3">
      <c r="F30" s="41">
        <v>70</v>
      </c>
      <c r="G30" s="78" t="e">
        <f>'Inputs - Tables de production'!#REF!</f>
        <v>#REF!</v>
      </c>
      <c r="H30" s="78" t="e">
        <f>'Inputs - Tables de production'!#REF!</f>
        <v>#REF!</v>
      </c>
      <c r="J30" s="104"/>
      <c r="K30" s="108"/>
      <c r="L30" s="108"/>
    </row>
    <row r="31" spans="1:23" x14ac:dyDescent="0.3">
      <c r="A31" t="s">
        <v>85</v>
      </c>
      <c r="B31" t="s">
        <v>86</v>
      </c>
      <c r="H31" s="12"/>
      <c r="J31" s="20"/>
    </row>
    <row r="32" spans="1:23" x14ac:dyDescent="0.3">
      <c r="A32" t="s">
        <v>175</v>
      </c>
      <c r="B32">
        <v>1.52</v>
      </c>
      <c r="J32" s="20"/>
    </row>
    <row r="33" spans="1:10" x14ac:dyDescent="0.3">
      <c r="A33" t="s">
        <v>176</v>
      </c>
      <c r="B33">
        <f>0.77*0.56</f>
        <v>0.43120000000000003</v>
      </c>
      <c r="J33" s="20"/>
    </row>
    <row r="34" spans="1:10" x14ac:dyDescent="0.3">
      <c r="A34" t="s">
        <v>177</v>
      </c>
      <c r="B34">
        <f>0.25</f>
        <v>0.25</v>
      </c>
      <c r="J34" s="20"/>
    </row>
    <row r="35" spans="1:10" x14ac:dyDescent="0.3">
      <c r="J35" s="20"/>
    </row>
    <row r="36" spans="1:10" x14ac:dyDescent="0.3">
      <c r="A36" t="s">
        <v>178</v>
      </c>
      <c r="B36" s="77" t="s">
        <v>179</v>
      </c>
      <c r="J36" s="20"/>
    </row>
    <row r="37" spans="1:10" x14ac:dyDescent="0.3">
      <c r="A37" t="s">
        <v>35</v>
      </c>
      <c r="B37">
        <v>1</v>
      </c>
      <c r="J37" s="20"/>
    </row>
    <row r="38" spans="1:10" x14ac:dyDescent="0.3">
      <c r="A38" s="42" t="s">
        <v>163</v>
      </c>
      <c r="B38">
        <v>3</v>
      </c>
      <c r="J38" s="20"/>
    </row>
    <row r="39" spans="1:10" x14ac:dyDescent="0.3">
      <c r="A39" t="s">
        <v>38</v>
      </c>
      <c r="B39">
        <v>3</v>
      </c>
      <c r="J39" s="20"/>
    </row>
    <row r="40" spans="1:10" x14ac:dyDescent="0.3">
      <c r="A40" t="s">
        <v>37</v>
      </c>
      <c r="B40">
        <v>3</v>
      </c>
      <c r="J40" s="20"/>
    </row>
    <row r="41" spans="1:10" x14ac:dyDescent="0.3">
      <c r="A41" t="s">
        <v>23</v>
      </c>
      <c r="B41">
        <v>5</v>
      </c>
      <c r="J41" s="20"/>
    </row>
    <row r="42" spans="1:10" x14ac:dyDescent="0.3">
      <c r="A42" t="s">
        <v>36</v>
      </c>
      <c r="B42">
        <v>3</v>
      </c>
    </row>
    <row r="43" spans="1:10" x14ac:dyDescent="0.3">
      <c r="A43" t="s">
        <v>81</v>
      </c>
      <c r="B43">
        <v>5</v>
      </c>
    </row>
    <row r="44" spans="1:10" x14ac:dyDescent="0.3">
      <c r="A44" t="s">
        <v>70</v>
      </c>
      <c r="B44">
        <v>2</v>
      </c>
    </row>
    <row r="45" spans="1:10" x14ac:dyDescent="0.3">
      <c r="A45" t="s">
        <v>73</v>
      </c>
      <c r="B45">
        <v>6</v>
      </c>
    </row>
    <row r="46" spans="1:10" x14ac:dyDescent="0.3">
      <c r="A46" t="s">
        <v>72</v>
      </c>
    </row>
    <row r="47" spans="1:10" x14ac:dyDescent="0.3">
      <c r="A47" t="s">
        <v>71</v>
      </c>
      <c r="B47">
        <v>3</v>
      </c>
    </row>
    <row r="49" spans="1:9" x14ac:dyDescent="0.3">
      <c r="A49" s="41" t="s">
        <v>152</v>
      </c>
      <c r="B49" s="107"/>
      <c r="C49" s="107"/>
      <c r="D49" s="107"/>
      <c r="E49" s="107"/>
      <c r="F49" s="107"/>
    </row>
    <row r="50" spans="1:9" x14ac:dyDescent="0.3">
      <c r="A50" s="42" t="s">
        <v>166</v>
      </c>
      <c r="I50" t="s">
        <v>165</v>
      </c>
    </row>
    <row r="51" spans="1:9" x14ac:dyDescent="0.3">
      <c r="A51" s="41" t="s">
        <v>217</v>
      </c>
    </row>
    <row r="52" spans="1:9" x14ac:dyDescent="0.3">
      <c r="A52" s="42" t="s">
        <v>153</v>
      </c>
    </row>
    <row r="53" spans="1:9" x14ac:dyDescent="0.3">
      <c r="A53" s="41" t="s">
        <v>154</v>
      </c>
    </row>
    <row r="54" spans="1:9" x14ac:dyDescent="0.3">
      <c r="A54" s="43" t="s">
        <v>155</v>
      </c>
    </row>
    <row r="55" spans="1:9" x14ac:dyDescent="0.3">
      <c r="A55" s="111" t="s">
        <v>220</v>
      </c>
    </row>
    <row r="56" spans="1:9" x14ac:dyDescent="0.3">
      <c r="A56" s="42" t="s">
        <v>216</v>
      </c>
    </row>
    <row r="57" spans="1:9" x14ac:dyDescent="0.3">
      <c r="A57" s="41" t="s">
        <v>156</v>
      </c>
    </row>
    <row r="58" spans="1:9" x14ac:dyDescent="0.3">
      <c r="A58" s="42" t="s">
        <v>157</v>
      </c>
    </row>
    <row r="59" spans="1:9" x14ac:dyDescent="0.3">
      <c r="A59" s="41" t="s">
        <v>151</v>
      </c>
    </row>
    <row r="60" spans="1:9" x14ac:dyDescent="0.3">
      <c r="A60" s="43" t="s">
        <v>158</v>
      </c>
    </row>
    <row r="61" spans="1:9" x14ac:dyDescent="0.3">
      <c r="A61" s="41" t="s">
        <v>218</v>
      </c>
    </row>
    <row r="62" spans="1:9" x14ac:dyDescent="0.3">
      <c r="A62" s="43" t="s">
        <v>159</v>
      </c>
    </row>
    <row r="64" spans="1:9" x14ac:dyDescent="0.3">
      <c r="A64" t="s">
        <v>160</v>
      </c>
    </row>
    <row r="65" spans="1:3" x14ac:dyDescent="0.3">
      <c r="A65" s="1">
        <v>0</v>
      </c>
    </row>
    <row r="66" spans="1:3" x14ac:dyDescent="0.3">
      <c r="A66" s="1">
        <v>0.05</v>
      </c>
    </row>
    <row r="67" spans="1:3" x14ac:dyDescent="0.3">
      <c r="A67" s="1">
        <v>0.1</v>
      </c>
    </row>
    <row r="68" spans="1:3" x14ac:dyDescent="0.3">
      <c r="A68" s="1">
        <v>0.15</v>
      </c>
    </row>
    <row r="71" spans="1:3" x14ac:dyDescent="0.3">
      <c r="A71" t="s">
        <v>170</v>
      </c>
      <c r="B71" t="s">
        <v>167</v>
      </c>
      <c r="C71" t="s">
        <v>169</v>
      </c>
    </row>
    <row r="72" spans="1:3" x14ac:dyDescent="0.3">
      <c r="A72" s="41" t="s">
        <v>35</v>
      </c>
      <c r="B72" t="s">
        <v>25</v>
      </c>
      <c r="C72">
        <v>1</v>
      </c>
    </row>
    <row r="73" spans="1:3" x14ac:dyDescent="0.3">
      <c r="A73" s="42" t="s">
        <v>163</v>
      </c>
      <c r="B73" t="s">
        <v>25</v>
      </c>
      <c r="C73">
        <v>1</v>
      </c>
    </row>
    <row r="74" spans="1:3" x14ac:dyDescent="0.3">
      <c r="A74" s="41" t="s">
        <v>89</v>
      </c>
      <c r="B74" t="s">
        <v>168</v>
      </c>
      <c r="C74">
        <v>1.3</v>
      </c>
    </row>
    <row r="75" spans="1:3" x14ac:dyDescent="0.3">
      <c r="A75" s="42" t="s">
        <v>37</v>
      </c>
      <c r="B75" t="s">
        <v>168</v>
      </c>
      <c r="C75">
        <v>1.3</v>
      </c>
    </row>
    <row r="76" spans="1:3" x14ac:dyDescent="0.3">
      <c r="A76" s="41" t="s">
        <v>23</v>
      </c>
      <c r="B76" t="s">
        <v>168</v>
      </c>
      <c r="C76">
        <v>1.56</v>
      </c>
    </row>
    <row r="77" spans="1:3" x14ac:dyDescent="0.3">
      <c r="A77" s="41" t="s">
        <v>213</v>
      </c>
      <c r="B77" t="s">
        <v>168</v>
      </c>
      <c r="C77">
        <v>1.56</v>
      </c>
    </row>
    <row r="78" spans="1:3" x14ac:dyDescent="0.3">
      <c r="A78" s="42" t="s">
        <v>36</v>
      </c>
      <c r="B78" t="s">
        <v>168</v>
      </c>
      <c r="C78">
        <v>1.3</v>
      </c>
    </row>
    <row r="79" spans="1:3" x14ac:dyDescent="0.3">
      <c r="A79" s="41" t="s">
        <v>81</v>
      </c>
      <c r="B79" t="s">
        <v>168</v>
      </c>
      <c r="C79">
        <v>1.3</v>
      </c>
    </row>
    <row r="80" spans="1:3" x14ac:dyDescent="0.3">
      <c r="A80" s="42" t="s">
        <v>82</v>
      </c>
      <c r="B80" t="s">
        <v>168</v>
      </c>
      <c r="C80">
        <v>1.3</v>
      </c>
    </row>
    <row r="81" spans="1:16" x14ac:dyDescent="0.3">
      <c r="A81" s="41" t="s">
        <v>73</v>
      </c>
      <c r="B81" t="s">
        <v>168</v>
      </c>
      <c r="C81">
        <v>1.3</v>
      </c>
    </row>
    <row r="82" spans="1:16" x14ac:dyDescent="0.3">
      <c r="A82" s="42" t="s">
        <v>72</v>
      </c>
      <c r="B82" t="s">
        <v>168</v>
      </c>
      <c r="C82">
        <v>1.3</v>
      </c>
    </row>
    <row r="83" spans="1:16" x14ac:dyDescent="0.3">
      <c r="A83" s="41" t="s">
        <v>71</v>
      </c>
      <c r="B83" t="s">
        <v>168</v>
      </c>
      <c r="C83">
        <v>1.3</v>
      </c>
    </row>
    <row r="85" spans="1:16" x14ac:dyDescent="0.3">
      <c r="A85" t="s">
        <v>88</v>
      </c>
    </row>
    <row r="86" spans="1:16" x14ac:dyDescent="0.3">
      <c r="A86" s="72">
        <v>1</v>
      </c>
    </row>
    <row r="87" spans="1:16" x14ac:dyDescent="0.3">
      <c r="A87" s="72">
        <v>2</v>
      </c>
    </row>
    <row r="88" spans="1:16" x14ac:dyDescent="0.3">
      <c r="A88" s="72">
        <v>3</v>
      </c>
    </row>
    <row r="89" spans="1:16" x14ac:dyDescent="0.3">
      <c r="A89" s="72">
        <v>4</v>
      </c>
    </row>
    <row r="90" spans="1:16" x14ac:dyDescent="0.3">
      <c r="A90" s="72">
        <v>5</v>
      </c>
    </row>
    <row r="91" spans="1:16" x14ac:dyDescent="0.3">
      <c r="A91" s="72">
        <v>6</v>
      </c>
    </row>
    <row r="94" spans="1:16" x14ac:dyDescent="0.3">
      <c r="A94" s="99" t="s">
        <v>182</v>
      </c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</row>
    <row r="96" spans="1:16" x14ac:dyDescent="0.3">
      <c r="A96" s="3" t="s">
        <v>6</v>
      </c>
      <c r="B96" s="3" t="s">
        <v>22</v>
      </c>
    </row>
    <row r="97" spans="1:23" x14ac:dyDescent="0.3">
      <c r="A97" t="s">
        <v>7</v>
      </c>
      <c r="B97" s="4">
        <v>900</v>
      </c>
      <c r="E97" s="17"/>
    </row>
    <row r="98" spans="1:23" x14ac:dyDescent="0.3">
      <c r="A98" t="s">
        <v>8</v>
      </c>
      <c r="B98" s="4">
        <v>700</v>
      </c>
    </row>
    <row r="99" spans="1:23" x14ac:dyDescent="0.3">
      <c r="A99" t="s">
        <v>11</v>
      </c>
      <c r="B99" s="4">
        <v>1500</v>
      </c>
    </row>
    <row r="100" spans="1:23" x14ac:dyDescent="0.3">
      <c r="A100" t="s">
        <v>10</v>
      </c>
      <c r="B100" s="4">
        <v>400</v>
      </c>
      <c r="D100" s="17"/>
    </row>
    <row r="101" spans="1:23" x14ac:dyDescent="0.3">
      <c r="A101" t="s">
        <v>9</v>
      </c>
      <c r="B101" s="4">
        <v>150</v>
      </c>
    </row>
    <row r="102" spans="1:23" x14ac:dyDescent="0.3">
      <c r="A102" t="s">
        <v>13</v>
      </c>
      <c r="B102" s="4">
        <v>150</v>
      </c>
    </row>
    <row r="103" spans="1:23" x14ac:dyDescent="0.3">
      <c r="A103" t="s">
        <v>136</v>
      </c>
      <c r="B103" s="4">
        <v>1200</v>
      </c>
    </row>
    <row r="104" spans="1:23" x14ac:dyDescent="0.3">
      <c r="A104" t="s">
        <v>137</v>
      </c>
      <c r="B104" s="4">
        <v>2200</v>
      </c>
    </row>
    <row r="105" spans="1:23" x14ac:dyDescent="0.3">
      <c r="A105" t="s">
        <v>12</v>
      </c>
      <c r="B105" s="4">
        <v>250</v>
      </c>
    </row>
    <row r="106" spans="1:23" x14ac:dyDescent="0.3">
      <c r="A106" t="s">
        <v>14</v>
      </c>
      <c r="B106" s="4">
        <v>500</v>
      </c>
    </row>
    <row r="107" spans="1:23" x14ac:dyDescent="0.3">
      <c r="A107" t="s">
        <v>15</v>
      </c>
      <c r="B107" s="4">
        <v>500</v>
      </c>
    </row>
    <row r="108" spans="1:23" x14ac:dyDescent="0.3">
      <c r="A108" t="s">
        <v>16</v>
      </c>
      <c r="B108" s="4">
        <v>500</v>
      </c>
    </row>
    <row r="109" spans="1:23" x14ac:dyDescent="0.3">
      <c r="A109" t="s">
        <v>17</v>
      </c>
      <c r="B109" s="4">
        <v>60</v>
      </c>
    </row>
    <row r="110" spans="1:23" x14ac:dyDescent="0.3">
      <c r="A110" t="s">
        <v>18</v>
      </c>
      <c r="B110" s="4">
        <v>300</v>
      </c>
    </row>
    <row r="111" spans="1:23" x14ac:dyDescent="0.3">
      <c r="B111" s="187" t="s">
        <v>161</v>
      </c>
      <c r="C111" s="187"/>
      <c r="D111" s="187"/>
      <c r="E111" s="187"/>
      <c r="F111" s="187"/>
      <c r="G111" s="187"/>
      <c r="H111" s="187"/>
      <c r="I111" s="187"/>
      <c r="J111" s="187"/>
      <c r="K111" s="187"/>
      <c r="M111" s="188" t="s">
        <v>162</v>
      </c>
      <c r="N111" s="188"/>
      <c r="O111" s="188"/>
      <c r="P111" s="188"/>
      <c r="Q111" s="188"/>
      <c r="R111" s="188"/>
      <c r="S111" s="188"/>
      <c r="T111" s="188"/>
      <c r="U111" s="188"/>
      <c r="V111" s="188"/>
    </row>
    <row r="112" spans="1:23" x14ac:dyDescent="0.3">
      <c r="A112" s="91"/>
      <c r="B112" s="92" t="s">
        <v>35</v>
      </c>
      <c r="C112" s="92" t="s">
        <v>171</v>
      </c>
      <c r="D112" s="93" t="s">
        <v>89</v>
      </c>
      <c r="E112" s="92" t="s">
        <v>37</v>
      </c>
      <c r="F112" s="93" t="s">
        <v>23</v>
      </c>
      <c r="G112" s="92" t="s">
        <v>36</v>
      </c>
      <c r="H112" s="93" t="s">
        <v>81</v>
      </c>
      <c r="I112" s="92" t="s">
        <v>70</v>
      </c>
      <c r="J112" s="93" t="s">
        <v>73</v>
      </c>
      <c r="K112" s="92" t="s">
        <v>72</v>
      </c>
      <c r="L112" s="94" t="s">
        <v>71</v>
      </c>
      <c r="M112" s="95"/>
      <c r="N112" s="91" t="s">
        <v>35</v>
      </c>
      <c r="O112" s="96" t="s">
        <v>89</v>
      </c>
      <c r="P112" s="91" t="s">
        <v>37</v>
      </c>
      <c r="Q112" s="96" t="s">
        <v>23</v>
      </c>
      <c r="R112" s="91" t="s">
        <v>36</v>
      </c>
      <c r="S112" s="96" t="s">
        <v>81</v>
      </c>
      <c r="T112" s="91" t="s">
        <v>70</v>
      </c>
      <c r="U112" s="96" t="s">
        <v>73</v>
      </c>
      <c r="V112" s="91" t="s">
        <v>72</v>
      </c>
      <c r="W112" s="97" t="s">
        <v>71</v>
      </c>
    </row>
    <row r="113" spans="1:23" x14ac:dyDescent="0.3">
      <c r="A113" s="62" t="s">
        <v>19</v>
      </c>
      <c r="B113" s="80">
        <f t="shared" ref="B113:B135" si="0">N113*0.8</f>
        <v>8</v>
      </c>
      <c r="C113" s="80">
        <v>8</v>
      </c>
      <c r="D113" s="80">
        <f t="shared" ref="D113:D135" si="1">O113*0.8</f>
        <v>8</v>
      </c>
      <c r="E113" s="80">
        <f t="shared" ref="E113:E135" si="2">P113*0.8</f>
        <v>8</v>
      </c>
      <c r="F113" s="80">
        <f t="shared" ref="F113:F135" si="3">Q113*0.8</f>
        <v>4</v>
      </c>
      <c r="G113" s="80">
        <f t="shared" ref="G113:G135" si="4">R113*0.8</f>
        <v>8</v>
      </c>
      <c r="H113" s="80">
        <f t="shared" ref="H113:H135" si="5">S113*0.8</f>
        <v>8</v>
      </c>
      <c r="I113" s="80">
        <f t="shared" ref="I113:I135" si="6">T113*0.8</f>
        <v>8</v>
      </c>
      <c r="J113" s="80">
        <f t="shared" ref="J113:J135" si="7">U113*0.8</f>
        <v>8</v>
      </c>
      <c r="K113" s="80">
        <f t="shared" ref="K113:K135" si="8">V113*0.8</f>
        <v>0</v>
      </c>
      <c r="L113" s="80">
        <f t="shared" ref="L113:L135" si="9">W113*0.8</f>
        <v>8</v>
      </c>
      <c r="N113" s="81">
        <v>10</v>
      </c>
      <c r="O113" s="82">
        <v>10</v>
      </c>
      <c r="P113" s="82">
        <v>10</v>
      </c>
      <c r="Q113" s="82">
        <v>5</v>
      </c>
      <c r="R113" s="82">
        <v>10</v>
      </c>
      <c r="S113" s="82">
        <v>10</v>
      </c>
      <c r="T113" s="82">
        <v>10</v>
      </c>
      <c r="U113" s="82">
        <v>10</v>
      </c>
      <c r="V113" s="82"/>
      <c r="W113" s="83">
        <v>10</v>
      </c>
    </row>
    <row r="114" spans="1:23" x14ac:dyDescent="0.3">
      <c r="A114" s="63" t="s">
        <v>20</v>
      </c>
      <c r="B114" s="80">
        <f t="shared" si="0"/>
        <v>8</v>
      </c>
      <c r="C114" s="80">
        <v>20</v>
      </c>
      <c r="D114" s="80">
        <f t="shared" si="1"/>
        <v>8</v>
      </c>
      <c r="E114" s="80">
        <f t="shared" si="2"/>
        <v>8</v>
      </c>
      <c r="F114" s="80">
        <f t="shared" si="3"/>
        <v>4.8000000000000007</v>
      </c>
      <c r="G114" s="80">
        <f t="shared" si="4"/>
        <v>8</v>
      </c>
      <c r="H114" s="80">
        <f t="shared" si="5"/>
        <v>8</v>
      </c>
      <c r="I114" s="80">
        <f t="shared" si="6"/>
        <v>14.4</v>
      </c>
      <c r="J114" s="80">
        <f t="shared" si="7"/>
        <v>8</v>
      </c>
      <c r="K114" s="80">
        <f t="shared" si="8"/>
        <v>0</v>
      </c>
      <c r="L114" s="80">
        <f t="shared" si="9"/>
        <v>8</v>
      </c>
      <c r="N114" s="84">
        <v>10</v>
      </c>
      <c r="O114" s="85">
        <v>10</v>
      </c>
      <c r="P114" s="85">
        <v>10</v>
      </c>
      <c r="Q114" s="85">
        <v>6</v>
      </c>
      <c r="R114" s="85">
        <v>10</v>
      </c>
      <c r="S114" s="85">
        <v>10</v>
      </c>
      <c r="T114" s="85">
        <v>18</v>
      </c>
      <c r="U114" s="85">
        <v>10</v>
      </c>
      <c r="V114" s="85"/>
      <c r="W114" s="86">
        <v>10</v>
      </c>
    </row>
    <row r="115" spans="1:23" x14ac:dyDescent="0.3">
      <c r="A115" s="62" t="s">
        <v>21</v>
      </c>
      <c r="B115" s="80">
        <f t="shared" si="0"/>
        <v>8</v>
      </c>
      <c r="C115" s="80">
        <v>20</v>
      </c>
      <c r="D115" s="80">
        <f t="shared" si="1"/>
        <v>8</v>
      </c>
      <c r="E115" s="80">
        <f t="shared" si="2"/>
        <v>8</v>
      </c>
      <c r="F115" s="80">
        <f t="shared" si="3"/>
        <v>6.4</v>
      </c>
      <c r="G115" s="80">
        <f t="shared" si="4"/>
        <v>8</v>
      </c>
      <c r="H115" s="80">
        <f t="shared" si="5"/>
        <v>8</v>
      </c>
      <c r="I115" s="80">
        <f t="shared" si="6"/>
        <v>20</v>
      </c>
      <c r="J115" s="80">
        <f t="shared" si="7"/>
        <v>8</v>
      </c>
      <c r="K115" s="80">
        <f t="shared" si="8"/>
        <v>0</v>
      </c>
      <c r="L115" s="80">
        <f>W115*0.8</f>
        <v>8</v>
      </c>
      <c r="N115" s="81">
        <v>10</v>
      </c>
      <c r="O115" s="82">
        <v>10</v>
      </c>
      <c r="P115" s="82">
        <v>10</v>
      </c>
      <c r="Q115" s="82">
        <v>8</v>
      </c>
      <c r="R115" s="82">
        <v>10</v>
      </c>
      <c r="S115" s="82">
        <v>10</v>
      </c>
      <c r="T115" s="82">
        <v>25</v>
      </c>
      <c r="U115" s="82">
        <v>10</v>
      </c>
      <c r="V115" s="82"/>
      <c r="W115" s="83">
        <v>10</v>
      </c>
    </row>
    <row r="116" spans="1:23" x14ac:dyDescent="0.3">
      <c r="A116" s="63" t="s">
        <v>105</v>
      </c>
      <c r="B116" s="80">
        <f t="shared" si="0"/>
        <v>8</v>
      </c>
      <c r="C116" s="80">
        <v>40</v>
      </c>
      <c r="D116" s="80">
        <f t="shared" si="1"/>
        <v>14.4</v>
      </c>
      <c r="E116" s="80">
        <f t="shared" si="2"/>
        <v>14.4</v>
      </c>
      <c r="F116" s="80">
        <f t="shared" si="3"/>
        <v>16</v>
      </c>
      <c r="G116" s="80">
        <f t="shared" si="4"/>
        <v>12</v>
      </c>
      <c r="H116" s="80">
        <f t="shared" si="5"/>
        <v>14.4</v>
      </c>
      <c r="I116" s="80">
        <f t="shared" si="6"/>
        <v>28</v>
      </c>
      <c r="J116" s="80">
        <f t="shared" si="7"/>
        <v>14.4</v>
      </c>
      <c r="K116" s="80">
        <f t="shared" si="8"/>
        <v>0</v>
      </c>
      <c r="L116" s="80">
        <f t="shared" si="9"/>
        <v>14.4</v>
      </c>
      <c r="N116" s="84">
        <v>10</v>
      </c>
      <c r="O116" s="85">
        <v>18</v>
      </c>
      <c r="P116" s="85">
        <v>18</v>
      </c>
      <c r="Q116" s="85">
        <v>20</v>
      </c>
      <c r="R116" s="85">
        <v>15</v>
      </c>
      <c r="S116" s="85">
        <v>18</v>
      </c>
      <c r="T116" s="85">
        <v>35</v>
      </c>
      <c r="U116" s="85">
        <v>18</v>
      </c>
      <c r="V116" s="85"/>
      <c r="W116" s="86">
        <v>18</v>
      </c>
    </row>
    <row r="117" spans="1:23" x14ac:dyDescent="0.3">
      <c r="A117" s="62" t="s">
        <v>106</v>
      </c>
      <c r="B117" s="80">
        <f t="shared" si="0"/>
        <v>8</v>
      </c>
      <c r="C117" s="80">
        <v>40</v>
      </c>
      <c r="D117" s="80">
        <f t="shared" si="1"/>
        <v>20</v>
      </c>
      <c r="E117" s="80">
        <f t="shared" si="2"/>
        <v>20</v>
      </c>
      <c r="F117" s="80">
        <f t="shared" si="3"/>
        <v>24</v>
      </c>
      <c r="G117" s="80">
        <f t="shared" si="4"/>
        <v>20</v>
      </c>
      <c r="H117" s="80">
        <f t="shared" si="5"/>
        <v>20</v>
      </c>
      <c r="I117" s="80">
        <f t="shared" si="6"/>
        <v>32</v>
      </c>
      <c r="J117" s="80">
        <f t="shared" si="7"/>
        <v>20</v>
      </c>
      <c r="K117" s="80">
        <f t="shared" si="8"/>
        <v>0</v>
      </c>
      <c r="L117" s="80">
        <f t="shared" si="9"/>
        <v>20</v>
      </c>
      <c r="N117" s="81">
        <v>10</v>
      </c>
      <c r="O117" s="82">
        <v>25</v>
      </c>
      <c r="P117" s="82">
        <v>25</v>
      </c>
      <c r="Q117" s="82">
        <v>30</v>
      </c>
      <c r="R117" s="82">
        <v>25</v>
      </c>
      <c r="S117" s="82">
        <v>25</v>
      </c>
      <c r="T117" s="82">
        <v>40</v>
      </c>
      <c r="U117" s="82">
        <v>25</v>
      </c>
      <c r="V117" s="82"/>
      <c r="W117" s="83">
        <v>25</v>
      </c>
    </row>
    <row r="118" spans="1:23" x14ac:dyDescent="0.3">
      <c r="A118" s="63" t="s">
        <v>107</v>
      </c>
      <c r="B118" s="80">
        <f t="shared" si="0"/>
        <v>8</v>
      </c>
      <c r="C118" s="80">
        <v>60</v>
      </c>
      <c r="D118" s="80">
        <f t="shared" si="1"/>
        <v>20</v>
      </c>
      <c r="E118" s="80">
        <f t="shared" si="2"/>
        <v>20</v>
      </c>
      <c r="F118" s="80">
        <f t="shared" si="3"/>
        <v>32</v>
      </c>
      <c r="G118" s="80">
        <f t="shared" si="4"/>
        <v>20</v>
      </c>
      <c r="H118" s="80">
        <f t="shared" si="5"/>
        <v>20</v>
      </c>
      <c r="I118" s="80">
        <f t="shared" si="6"/>
        <v>36</v>
      </c>
      <c r="J118" s="80">
        <f t="shared" si="7"/>
        <v>24</v>
      </c>
      <c r="K118" s="80">
        <f t="shared" si="8"/>
        <v>0</v>
      </c>
      <c r="L118" s="80">
        <f t="shared" si="9"/>
        <v>20</v>
      </c>
      <c r="N118" s="84">
        <v>10</v>
      </c>
      <c r="O118" s="85">
        <v>25</v>
      </c>
      <c r="P118" s="85">
        <v>25</v>
      </c>
      <c r="Q118" s="85">
        <v>40</v>
      </c>
      <c r="R118" s="85">
        <v>25</v>
      </c>
      <c r="S118" s="85">
        <v>25</v>
      </c>
      <c r="T118" s="85">
        <v>45</v>
      </c>
      <c r="U118" s="85">
        <v>30</v>
      </c>
      <c r="V118" s="85"/>
      <c r="W118" s="86">
        <v>25</v>
      </c>
    </row>
    <row r="119" spans="1:23" x14ac:dyDescent="0.3">
      <c r="A119" s="62" t="s">
        <v>108</v>
      </c>
      <c r="B119" s="80">
        <f t="shared" si="0"/>
        <v>8</v>
      </c>
      <c r="C119" s="80">
        <v>120</v>
      </c>
      <c r="D119" s="80">
        <f t="shared" si="1"/>
        <v>28</v>
      </c>
      <c r="E119" s="80">
        <f t="shared" si="2"/>
        <v>28</v>
      </c>
      <c r="F119" s="80">
        <f t="shared" si="3"/>
        <v>40</v>
      </c>
      <c r="G119" s="80">
        <f t="shared" si="4"/>
        <v>20</v>
      </c>
      <c r="H119" s="80">
        <f t="shared" si="5"/>
        <v>21.6</v>
      </c>
      <c r="I119" s="80">
        <f t="shared" si="6"/>
        <v>36</v>
      </c>
      <c r="J119" s="80">
        <f t="shared" si="7"/>
        <v>32</v>
      </c>
      <c r="K119" s="80">
        <f t="shared" si="8"/>
        <v>0</v>
      </c>
      <c r="L119" s="80">
        <f t="shared" si="9"/>
        <v>28</v>
      </c>
      <c r="N119" s="81">
        <v>10</v>
      </c>
      <c r="O119" s="82">
        <v>35</v>
      </c>
      <c r="P119" s="82">
        <v>35</v>
      </c>
      <c r="Q119" s="82">
        <v>50</v>
      </c>
      <c r="R119" s="82">
        <v>25</v>
      </c>
      <c r="S119" s="82">
        <v>27</v>
      </c>
      <c r="T119" s="82">
        <v>45</v>
      </c>
      <c r="U119" s="82">
        <v>40</v>
      </c>
      <c r="V119" s="82"/>
      <c r="W119" s="83">
        <v>35</v>
      </c>
    </row>
    <row r="120" spans="1:23" x14ac:dyDescent="0.3">
      <c r="A120" s="63" t="s">
        <v>109</v>
      </c>
      <c r="B120" s="80">
        <f t="shared" si="0"/>
        <v>16</v>
      </c>
      <c r="C120" s="80">
        <v>120</v>
      </c>
      <c r="D120" s="80">
        <f t="shared" si="1"/>
        <v>32</v>
      </c>
      <c r="E120" s="80">
        <f t="shared" si="2"/>
        <v>28</v>
      </c>
      <c r="F120" s="80">
        <f t="shared" si="3"/>
        <v>48</v>
      </c>
      <c r="G120" s="80">
        <f t="shared" si="4"/>
        <v>20</v>
      </c>
      <c r="H120" s="80">
        <f t="shared" si="5"/>
        <v>21.6</v>
      </c>
      <c r="I120" s="80">
        <f t="shared" si="6"/>
        <v>44.800000000000004</v>
      </c>
      <c r="J120" s="80">
        <f t="shared" si="7"/>
        <v>0</v>
      </c>
      <c r="K120" s="80">
        <f t="shared" si="8"/>
        <v>0</v>
      </c>
      <c r="L120" s="80">
        <f t="shared" si="9"/>
        <v>32</v>
      </c>
      <c r="N120" s="84">
        <v>20</v>
      </c>
      <c r="O120" s="85">
        <v>40</v>
      </c>
      <c r="P120" s="85">
        <v>35</v>
      </c>
      <c r="Q120" s="85">
        <v>60</v>
      </c>
      <c r="R120" s="85">
        <v>25</v>
      </c>
      <c r="S120" s="85">
        <v>27</v>
      </c>
      <c r="T120" s="85">
        <v>56</v>
      </c>
      <c r="U120" s="85"/>
      <c r="V120" s="85"/>
      <c r="W120" s="86">
        <v>40</v>
      </c>
    </row>
    <row r="121" spans="1:23" x14ac:dyDescent="0.3">
      <c r="A121" s="62" t="s">
        <v>110</v>
      </c>
      <c r="B121" s="80">
        <f t="shared" si="0"/>
        <v>16</v>
      </c>
      <c r="C121" s="80">
        <v>120</v>
      </c>
      <c r="D121" s="80">
        <f t="shared" si="1"/>
        <v>36</v>
      </c>
      <c r="E121" s="80">
        <f t="shared" si="2"/>
        <v>28</v>
      </c>
      <c r="F121" s="80">
        <f>Q121*0.8</f>
        <v>56</v>
      </c>
      <c r="G121" s="80">
        <f t="shared" si="4"/>
        <v>24</v>
      </c>
      <c r="H121" s="80">
        <f t="shared" si="5"/>
        <v>24</v>
      </c>
      <c r="I121" s="80">
        <f t="shared" si="6"/>
        <v>44.800000000000004</v>
      </c>
      <c r="J121" s="80">
        <f t="shared" si="7"/>
        <v>0</v>
      </c>
      <c r="K121" s="80">
        <f t="shared" si="8"/>
        <v>0</v>
      </c>
      <c r="L121" s="80">
        <f t="shared" si="9"/>
        <v>36</v>
      </c>
      <c r="N121" s="81">
        <v>20</v>
      </c>
      <c r="O121" s="82">
        <v>45</v>
      </c>
      <c r="P121" s="82">
        <v>35</v>
      </c>
      <c r="Q121" s="82">
        <v>70</v>
      </c>
      <c r="R121" s="82">
        <v>30</v>
      </c>
      <c r="S121" s="82">
        <v>30</v>
      </c>
      <c r="T121" s="82">
        <v>56</v>
      </c>
      <c r="U121" s="82"/>
      <c r="V121" s="82"/>
      <c r="W121" s="83">
        <v>45</v>
      </c>
    </row>
    <row r="122" spans="1:23" x14ac:dyDescent="0.3">
      <c r="A122" s="63" t="s">
        <v>111</v>
      </c>
      <c r="B122" s="80">
        <f t="shared" si="0"/>
        <v>16</v>
      </c>
      <c r="C122" s="80">
        <v>120</v>
      </c>
      <c r="D122" s="80">
        <f t="shared" si="1"/>
        <v>44</v>
      </c>
      <c r="E122" s="80">
        <f t="shared" si="2"/>
        <v>28</v>
      </c>
      <c r="F122" s="80">
        <f t="shared" si="3"/>
        <v>56</v>
      </c>
      <c r="G122" s="80">
        <f t="shared" si="4"/>
        <v>28</v>
      </c>
      <c r="H122" s="80">
        <f t="shared" si="5"/>
        <v>28</v>
      </c>
      <c r="I122" s="80">
        <f t="shared" si="6"/>
        <v>0</v>
      </c>
      <c r="J122" s="80">
        <f t="shared" si="7"/>
        <v>0</v>
      </c>
      <c r="K122" s="80">
        <f t="shared" si="8"/>
        <v>0</v>
      </c>
      <c r="L122" s="80">
        <f t="shared" si="9"/>
        <v>44</v>
      </c>
      <c r="N122" s="84">
        <v>20</v>
      </c>
      <c r="O122" s="85">
        <v>55</v>
      </c>
      <c r="P122" s="85">
        <v>35</v>
      </c>
      <c r="Q122" s="85">
        <v>70</v>
      </c>
      <c r="R122" s="85">
        <v>35</v>
      </c>
      <c r="S122" s="85">
        <v>35</v>
      </c>
      <c r="T122" s="85"/>
      <c r="U122" s="85"/>
      <c r="V122" s="85"/>
      <c r="W122" s="86">
        <v>55</v>
      </c>
    </row>
    <row r="123" spans="1:23" x14ac:dyDescent="0.3">
      <c r="A123" s="62" t="s">
        <v>112</v>
      </c>
      <c r="B123" s="80">
        <f t="shared" si="0"/>
        <v>16</v>
      </c>
      <c r="C123" s="80">
        <v>120</v>
      </c>
      <c r="D123" s="80">
        <f t="shared" si="1"/>
        <v>44</v>
      </c>
      <c r="E123" s="80">
        <f t="shared" si="2"/>
        <v>28</v>
      </c>
      <c r="F123" s="80">
        <f t="shared" si="3"/>
        <v>56</v>
      </c>
      <c r="G123" s="80">
        <f t="shared" si="4"/>
        <v>32</v>
      </c>
      <c r="H123" s="80">
        <f t="shared" si="5"/>
        <v>30.400000000000002</v>
      </c>
      <c r="I123" s="80">
        <f t="shared" si="6"/>
        <v>0</v>
      </c>
      <c r="J123" s="80">
        <f t="shared" si="7"/>
        <v>0</v>
      </c>
      <c r="K123" s="80">
        <f t="shared" si="8"/>
        <v>0</v>
      </c>
      <c r="L123" s="80">
        <f t="shared" si="9"/>
        <v>44</v>
      </c>
      <c r="N123" s="81">
        <v>20</v>
      </c>
      <c r="O123" s="82">
        <v>55</v>
      </c>
      <c r="P123" s="82">
        <v>35</v>
      </c>
      <c r="Q123" s="82">
        <v>70</v>
      </c>
      <c r="R123" s="82">
        <v>40</v>
      </c>
      <c r="S123" s="82">
        <v>38</v>
      </c>
      <c r="T123" s="82"/>
      <c r="U123" s="82"/>
      <c r="V123" s="82"/>
      <c r="W123" s="83">
        <v>55</v>
      </c>
    </row>
    <row r="124" spans="1:23" x14ac:dyDescent="0.3">
      <c r="A124" s="63" t="s">
        <v>113</v>
      </c>
      <c r="B124" s="80">
        <f t="shared" si="0"/>
        <v>20</v>
      </c>
      <c r="C124" s="80">
        <v>120</v>
      </c>
      <c r="D124" s="80">
        <f t="shared" si="1"/>
        <v>0</v>
      </c>
      <c r="E124" s="80">
        <f t="shared" si="2"/>
        <v>0</v>
      </c>
      <c r="F124" s="80">
        <f t="shared" si="3"/>
        <v>56</v>
      </c>
      <c r="G124" s="80">
        <f t="shared" si="4"/>
        <v>0</v>
      </c>
      <c r="H124" s="80">
        <f t="shared" si="5"/>
        <v>0</v>
      </c>
      <c r="I124" s="80">
        <f t="shared" si="6"/>
        <v>0</v>
      </c>
      <c r="J124" s="80">
        <f t="shared" si="7"/>
        <v>0</v>
      </c>
      <c r="K124" s="80">
        <f t="shared" si="8"/>
        <v>0</v>
      </c>
      <c r="L124" s="80">
        <f t="shared" si="9"/>
        <v>0</v>
      </c>
      <c r="N124" s="84">
        <v>25</v>
      </c>
      <c r="O124" s="85"/>
      <c r="P124" s="85"/>
      <c r="Q124" s="85">
        <v>70</v>
      </c>
      <c r="R124" s="85"/>
      <c r="S124" s="85"/>
      <c r="T124" s="85"/>
      <c r="U124" s="85"/>
      <c r="V124" s="85"/>
      <c r="W124" s="86"/>
    </row>
    <row r="125" spans="1:23" x14ac:dyDescent="0.3">
      <c r="A125" s="62" t="s">
        <v>114</v>
      </c>
      <c r="B125" s="80">
        <f t="shared" si="0"/>
        <v>20</v>
      </c>
      <c r="C125" s="80">
        <v>160</v>
      </c>
      <c r="D125" s="80">
        <f t="shared" si="1"/>
        <v>0</v>
      </c>
      <c r="E125" s="80">
        <f t="shared" si="2"/>
        <v>0</v>
      </c>
      <c r="F125" s="80">
        <f t="shared" si="3"/>
        <v>56</v>
      </c>
      <c r="G125" s="80">
        <f t="shared" si="4"/>
        <v>0</v>
      </c>
      <c r="H125" s="80">
        <f t="shared" si="5"/>
        <v>0</v>
      </c>
      <c r="I125" s="80">
        <f t="shared" si="6"/>
        <v>0</v>
      </c>
      <c r="J125" s="80">
        <f t="shared" si="7"/>
        <v>0</v>
      </c>
      <c r="K125" s="80">
        <f t="shared" si="8"/>
        <v>0</v>
      </c>
      <c r="L125" s="80">
        <f t="shared" si="9"/>
        <v>0</v>
      </c>
      <c r="N125" s="81">
        <v>25</v>
      </c>
      <c r="O125" s="82"/>
      <c r="P125" s="82"/>
      <c r="Q125" s="82">
        <v>70</v>
      </c>
      <c r="R125" s="82"/>
      <c r="S125" s="82"/>
      <c r="T125" s="82"/>
      <c r="U125" s="82"/>
      <c r="V125" s="82"/>
      <c r="W125" s="83"/>
    </row>
    <row r="126" spans="1:23" x14ac:dyDescent="0.3">
      <c r="A126" s="63" t="s">
        <v>115</v>
      </c>
      <c r="B126" s="80">
        <f t="shared" si="0"/>
        <v>40</v>
      </c>
      <c r="C126" s="80">
        <v>160</v>
      </c>
      <c r="D126" s="80">
        <f t="shared" si="1"/>
        <v>0</v>
      </c>
      <c r="E126" s="80">
        <f t="shared" si="2"/>
        <v>0</v>
      </c>
      <c r="F126" s="80">
        <f t="shared" si="3"/>
        <v>56</v>
      </c>
      <c r="G126" s="80">
        <f t="shared" si="4"/>
        <v>0</v>
      </c>
      <c r="H126" s="80">
        <f t="shared" si="5"/>
        <v>0</v>
      </c>
      <c r="I126" s="80">
        <f t="shared" si="6"/>
        <v>0</v>
      </c>
      <c r="J126" s="80">
        <f t="shared" si="7"/>
        <v>0</v>
      </c>
      <c r="K126" s="80">
        <f t="shared" si="8"/>
        <v>0</v>
      </c>
      <c r="L126" s="80">
        <f t="shared" si="9"/>
        <v>0</v>
      </c>
      <c r="N126" s="84">
        <v>50</v>
      </c>
      <c r="O126" s="85"/>
      <c r="P126" s="85"/>
      <c r="Q126" s="85">
        <v>70</v>
      </c>
      <c r="R126" s="85"/>
      <c r="S126" s="85"/>
      <c r="T126" s="85"/>
      <c r="U126" s="85"/>
      <c r="V126" s="85"/>
      <c r="W126" s="86"/>
    </row>
    <row r="127" spans="1:23" x14ac:dyDescent="0.3">
      <c r="A127" s="62" t="s">
        <v>116</v>
      </c>
      <c r="B127" s="80">
        <f t="shared" si="0"/>
        <v>40</v>
      </c>
      <c r="C127" s="80">
        <v>160</v>
      </c>
      <c r="D127" s="80">
        <f t="shared" si="1"/>
        <v>0</v>
      </c>
      <c r="E127" s="80">
        <f t="shared" si="2"/>
        <v>0</v>
      </c>
      <c r="F127" s="80">
        <f t="shared" si="3"/>
        <v>56</v>
      </c>
      <c r="G127" s="80">
        <f t="shared" si="4"/>
        <v>0</v>
      </c>
      <c r="H127" s="80">
        <f t="shared" si="5"/>
        <v>0</v>
      </c>
      <c r="I127" s="80">
        <f t="shared" si="6"/>
        <v>0</v>
      </c>
      <c r="J127" s="80">
        <f t="shared" si="7"/>
        <v>0</v>
      </c>
      <c r="K127" s="80">
        <f t="shared" si="8"/>
        <v>0</v>
      </c>
      <c r="L127" s="80">
        <f t="shared" si="9"/>
        <v>0</v>
      </c>
      <c r="N127" s="81">
        <v>50</v>
      </c>
      <c r="O127" s="82"/>
      <c r="P127" s="82"/>
      <c r="Q127" s="82">
        <v>70</v>
      </c>
      <c r="R127" s="82"/>
      <c r="S127" s="82"/>
      <c r="T127" s="82"/>
      <c r="U127" s="82"/>
      <c r="V127" s="82"/>
      <c r="W127" s="83"/>
    </row>
    <row r="128" spans="1:23" x14ac:dyDescent="0.3">
      <c r="A128" s="63" t="s">
        <v>117</v>
      </c>
      <c r="B128" s="80">
        <f t="shared" si="0"/>
        <v>40</v>
      </c>
      <c r="C128" s="80">
        <v>160</v>
      </c>
      <c r="D128" s="80">
        <f t="shared" si="1"/>
        <v>0</v>
      </c>
      <c r="E128" s="80">
        <f t="shared" si="2"/>
        <v>0</v>
      </c>
      <c r="F128" s="80">
        <f t="shared" si="3"/>
        <v>56</v>
      </c>
      <c r="G128" s="80">
        <f t="shared" si="4"/>
        <v>0</v>
      </c>
      <c r="H128" s="80">
        <f t="shared" si="5"/>
        <v>0</v>
      </c>
      <c r="I128" s="80">
        <f t="shared" si="6"/>
        <v>0</v>
      </c>
      <c r="J128" s="80">
        <f t="shared" si="7"/>
        <v>0</v>
      </c>
      <c r="K128" s="80">
        <f t="shared" si="8"/>
        <v>0</v>
      </c>
      <c r="L128" s="80">
        <f t="shared" si="9"/>
        <v>0</v>
      </c>
      <c r="N128" s="84">
        <v>50</v>
      </c>
      <c r="O128" s="85"/>
      <c r="P128" s="85"/>
      <c r="Q128" s="85">
        <v>70</v>
      </c>
      <c r="R128" s="85"/>
      <c r="S128" s="85"/>
      <c r="T128" s="85"/>
      <c r="U128" s="85"/>
      <c r="V128" s="85"/>
      <c r="W128" s="86"/>
    </row>
    <row r="129" spans="1:23" x14ac:dyDescent="0.3">
      <c r="A129" s="62" t="s">
        <v>118</v>
      </c>
      <c r="B129" s="80">
        <f t="shared" si="0"/>
        <v>40</v>
      </c>
      <c r="C129" s="80">
        <v>160</v>
      </c>
      <c r="D129" s="80">
        <f t="shared" si="1"/>
        <v>0</v>
      </c>
      <c r="E129" s="80">
        <f t="shared" si="2"/>
        <v>0</v>
      </c>
      <c r="F129" s="80">
        <f t="shared" si="3"/>
        <v>56</v>
      </c>
      <c r="G129" s="80">
        <f t="shared" si="4"/>
        <v>0</v>
      </c>
      <c r="H129" s="80">
        <f t="shared" si="5"/>
        <v>0</v>
      </c>
      <c r="I129" s="80">
        <f t="shared" si="6"/>
        <v>0</v>
      </c>
      <c r="J129" s="80">
        <f t="shared" si="7"/>
        <v>0</v>
      </c>
      <c r="K129" s="80">
        <f t="shared" si="8"/>
        <v>0</v>
      </c>
      <c r="L129" s="80">
        <f t="shared" si="9"/>
        <v>0</v>
      </c>
      <c r="N129" s="81">
        <v>50</v>
      </c>
      <c r="O129" s="82"/>
      <c r="P129" s="82"/>
      <c r="Q129" s="82">
        <v>70</v>
      </c>
      <c r="R129" s="82"/>
      <c r="S129" s="82"/>
      <c r="T129" s="82"/>
      <c r="U129" s="82"/>
      <c r="V129" s="82"/>
      <c r="W129" s="83"/>
    </row>
    <row r="130" spans="1:23" x14ac:dyDescent="0.3">
      <c r="A130" s="63" t="s">
        <v>121</v>
      </c>
      <c r="B130" s="80">
        <f t="shared" si="0"/>
        <v>40</v>
      </c>
      <c r="C130" s="80"/>
      <c r="D130" s="80">
        <f t="shared" si="1"/>
        <v>0</v>
      </c>
      <c r="E130" s="80">
        <f t="shared" si="2"/>
        <v>0</v>
      </c>
      <c r="F130" s="80">
        <f t="shared" si="3"/>
        <v>56</v>
      </c>
      <c r="G130" s="80">
        <f t="shared" si="4"/>
        <v>0</v>
      </c>
      <c r="H130" s="80">
        <f t="shared" si="5"/>
        <v>0</v>
      </c>
      <c r="I130" s="80">
        <f t="shared" si="6"/>
        <v>0</v>
      </c>
      <c r="J130" s="80">
        <f t="shared" si="7"/>
        <v>0</v>
      </c>
      <c r="K130" s="80">
        <f t="shared" si="8"/>
        <v>0</v>
      </c>
      <c r="L130" s="80">
        <f t="shared" si="9"/>
        <v>0</v>
      </c>
      <c r="N130" s="84">
        <v>50</v>
      </c>
      <c r="O130" s="85"/>
      <c r="P130" s="85"/>
      <c r="Q130" s="85">
        <v>70</v>
      </c>
      <c r="R130" s="85"/>
      <c r="S130" s="85"/>
      <c r="T130" s="85"/>
      <c r="U130" s="85"/>
      <c r="V130" s="85"/>
      <c r="W130" s="86"/>
    </row>
    <row r="131" spans="1:23" x14ac:dyDescent="0.3">
      <c r="A131" s="62" t="s">
        <v>122</v>
      </c>
      <c r="B131" s="80">
        <f t="shared" si="0"/>
        <v>120</v>
      </c>
      <c r="C131" s="80"/>
      <c r="D131" s="80">
        <f t="shared" si="1"/>
        <v>0</v>
      </c>
      <c r="E131" s="80">
        <f t="shared" si="2"/>
        <v>0</v>
      </c>
      <c r="F131" s="80">
        <f t="shared" si="3"/>
        <v>56</v>
      </c>
      <c r="G131" s="80">
        <f t="shared" si="4"/>
        <v>0</v>
      </c>
      <c r="H131" s="80">
        <f t="shared" si="5"/>
        <v>0</v>
      </c>
      <c r="I131" s="80">
        <f t="shared" si="6"/>
        <v>0</v>
      </c>
      <c r="J131" s="80">
        <f t="shared" si="7"/>
        <v>0</v>
      </c>
      <c r="K131" s="80">
        <f t="shared" si="8"/>
        <v>0</v>
      </c>
      <c r="L131" s="80">
        <f t="shared" si="9"/>
        <v>0</v>
      </c>
      <c r="N131" s="81">
        <v>150</v>
      </c>
      <c r="O131" s="82"/>
      <c r="P131" s="82"/>
      <c r="Q131" s="82">
        <v>70</v>
      </c>
      <c r="R131" s="82"/>
      <c r="S131" s="82"/>
      <c r="T131" s="82"/>
      <c r="U131" s="82"/>
      <c r="V131" s="82"/>
      <c r="W131" s="83"/>
    </row>
    <row r="132" spans="1:23" x14ac:dyDescent="0.3">
      <c r="A132" s="63" t="s">
        <v>123</v>
      </c>
      <c r="B132" s="80">
        <f t="shared" si="0"/>
        <v>120</v>
      </c>
      <c r="C132" s="80"/>
      <c r="D132" s="80">
        <f t="shared" si="1"/>
        <v>0</v>
      </c>
      <c r="E132" s="80">
        <f t="shared" si="2"/>
        <v>0</v>
      </c>
      <c r="F132" s="80">
        <f t="shared" si="3"/>
        <v>56</v>
      </c>
      <c r="G132" s="80">
        <f t="shared" si="4"/>
        <v>0</v>
      </c>
      <c r="H132" s="80">
        <f t="shared" si="5"/>
        <v>0</v>
      </c>
      <c r="I132" s="80">
        <f t="shared" si="6"/>
        <v>0</v>
      </c>
      <c r="J132" s="80">
        <f t="shared" si="7"/>
        <v>0</v>
      </c>
      <c r="K132" s="80">
        <f t="shared" si="8"/>
        <v>0</v>
      </c>
      <c r="L132" s="80">
        <f t="shared" si="9"/>
        <v>0</v>
      </c>
      <c r="N132" s="84">
        <v>150</v>
      </c>
      <c r="O132" s="85"/>
      <c r="P132" s="85"/>
      <c r="Q132" s="85">
        <v>70</v>
      </c>
      <c r="R132" s="85"/>
      <c r="S132" s="85"/>
      <c r="T132" s="85"/>
      <c r="U132" s="85"/>
      <c r="V132" s="85"/>
      <c r="W132" s="86"/>
    </row>
    <row r="133" spans="1:23" x14ac:dyDescent="0.3">
      <c r="A133" s="62" t="s">
        <v>124</v>
      </c>
      <c r="B133" s="80">
        <f t="shared" si="0"/>
        <v>160</v>
      </c>
      <c r="C133" s="80"/>
      <c r="D133" s="80">
        <f t="shared" si="1"/>
        <v>0</v>
      </c>
      <c r="E133" s="80">
        <f t="shared" si="2"/>
        <v>0</v>
      </c>
      <c r="F133" s="80">
        <f t="shared" si="3"/>
        <v>56</v>
      </c>
      <c r="G133" s="80">
        <f t="shared" si="4"/>
        <v>0</v>
      </c>
      <c r="H133" s="80">
        <f t="shared" si="5"/>
        <v>0</v>
      </c>
      <c r="I133" s="80">
        <f t="shared" si="6"/>
        <v>0</v>
      </c>
      <c r="J133" s="80">
        <f t="shared" si="7"/>
        <v>0</v>
      </c>
      <c r="K133" s="80">
        <f t="shared" si="8"/>
        <v>0</v>
      </c>
      <c r="L133" s="80">
        <f t="shared" si="9"/>
        <v>0</v>
      </c>
      <c r="N133" s="81">
        <v>200</v>
      </c>
      <c r="O133" s="82"/>
      <c r="P133" s="82"/>
      <c r="Q133" s="82">
        <v>70</v>
      </c>
      <c r="R133" s="82"/>
      <c r="S133" s="82"/>
      <c r="T133" s="82"/>
      <c r="U133" s="82"/>
      <c r="V133" s="82"/>
      <c r="W133" s="83"/>
    </row>
    <row r="134" spans="1:23" x14ac:dyDescent="0.3">
      <c r="A134" s="63" t="s">
        <v>125</v>
      </c>
      <c r="B134" s="80">
        <f t="shared" si="0"/>
        <v>160</v>
      </c>
      <c r="C134" s="80"/>
      <c r="D134" s="80">
        <f t="shared" si="1"/>
        <v>0</v>
      </c>
      <c r="E134" s="80">
        <f t="shared" si="2"/>
        <v>0</v>
      </c>
      <c r="F134" s="80">
        <f t="shared" si="3"/>
        <v>56</v>
      </c>
      <c r="G134" s="80">
        <f t="shared" si="4"/>
        <v>0</v>
      </c>
      <c r="H134" s="80">
        <f t="shared" si="5"/>
        <v>0</v>
      </c>
      <c r="I134" s="80">
        <f t="shared" si="6"/>
        <v>0</v>
      </c>
      <c r="J134" s="80">
        <f t="shared" si="7"/>
        <v>0</v>
      </c>
      <c r="K134" s="80">
        <f t="shared" si="8"/>
        <v>0</v>
      </c>
      <c r="L134" s="80">
        <f t="shared" si="9"/>
        <v>0</v>
      </c>
      <c r="N134" s="84">
        <v>200</v>
      </c>
      <c r="O134" s="85"/>
      <c r="P134" s="85"/>
      <c r="Q134" s="85">
        <v>70</v>
      </c>
      <c r="R134" s="85"/>
      <c r="S134" s="85"/>
      <c r="T134" s="85"/>
      <c r="U134" s="85"/>
      <c r="V134" s="85"/>
      <c r="W134" s="86"/>
    </row>
    <row r="135" spans="1:23" x14ac:dyDescent="0.3">
      <c r="A135" s="62" t="s">
        <v>126</v>
      </c>
      <c r="B135" s="80">
        <f t="shared" si="0"/>
        <v>160</v>
      </c>
      <c r="C135" s="80"/>
      <c r="D135" s="80">
        <f t="shared" si="1"/>
        <v>0</v>
      </c>
      <c r="E135" s="80">
        <f t="shared" si="2"/>
        <v>0</v>
      </c>
      <c r="F135" s="80">
        <f t="shared" si="3"/>
        <v>56</v>
      </c>
      <c r="G135" s="80">
        <f t="shared" si="4"/>
        <v>0</v>
      </c>
      <c r="H135" s="80">
        <f t="shared" si="5"/>
        <v>0</v>
      </c>
      <c r="I135" s="80">
        <f t="shared" si="6"/>
        <v>0</v>
      </c>
      <c r="J135" s="80">
        <f t="shared" si="7"/>
        <v>0</v>
      </c>
      <c r="K135" s="80">
        <f t="shared" si="8"/>
        <v>0</v>
      </c>
      <c r="L135" s="80">
        <f t="shared" si="9"/>
        <v>0</v>
      </c>
      <c r="N135" s="81">
        <v>200</v>
      </c>
      <c r="O135" s="82"/>
      <c r="P135" s="82"/>
      <c r="Q135" s="82">
        <v>70</v>
      </c>
      <c r="R135" s="82"/>
      <c r="S135" s="82"/>
      <c r="T135" s="82"/>
      <c r="U135" s="82"/>
      <c r="V135" s="82"/>
      <c r="W135" s="83"/>
    </row>
  </sheetData>
  <mergeCells count="4">
    <mergeCell ref="B111:K111"/>
    <mergeCell ref="M111:V111"/>
    <mergeCell ref="F17:H17"/>
    <mergeCell ref="J17:L17"/>
  </mergeCells>
  <pageMargins left="0.7" right="0.7" top="0.75" bottom="0.75" header="0.3" footer="0.3"/>
  <pageSetup paperSize="9" scale="24" orientation="portrait" r:id="rId1"/>
  <colBreaks count="1" manualBreakCount="1">
    <brk id="23" max="165" man="1"/>
  </colBreaks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98"/>
  <sheetViews>
    <sheetView showGridLines="0" view="pageBreakPreview" topLeftCell="A10" zoomScale="80" zoomScaleNormal="55" zoomScaleSheetLayoutView="80" workbookViewId="0">
      <selection activeCell="B13" sqref="B13:B23"/>
    </sheetView>
  </sheetViews>
  <sheetFormatPr baseColWidth="10" defaultRowHeight="14.4" x14ac:dyDescent="0.3"/>
  <cols>
    <col min="1" max="1" width="18.33203125" bestFit="1" customWidth="1"/>
  </cols>
  <sheetData>
    <row r="1" spans="1:6" x14ac:dyDescent="0.3">
      <c r="A1" s="190" t="s">
        <v>69</v>
      </c>
      <c r="B1" s="190"/>
      <c r="C1" s="190"/>
      <c r="D1" s="190"/>
      <c r="E1" s="190"/>
      <c r="F1" s="190"/>
    </row>
    <row r="3" spans="1:6" x14ac:dyDescent="0.3">
      <c r="A3" s="89" t="s">
        <v>65</v>
      </c>
      <c r="B3" s="89" t="s">
        <v>68</v>
      </c>
      <c r="C3" s="90" t="s">
        <v>130</v>
      </c>
      <c r="D3" s="51" t="s">
        <v>184</v>
      </c>
      <c r="E3" s="51" t="s">
        <v>185</v>
      </c>
      <c r="F3" s="51" t="s">
        <v>186</v>
      </c>
    </row>
    <row r="4" spans="1:6" x14ac:dyDescent="0.3">
      <c r="A4" s="19">
        <v>1</v>
      </c>
      <c r="B4" s="87">
        <f>C16</f>
        <v>202</v>
      </c>
      <c r="C4" s="88">
        <f>E65</f>
        <v>-2106.8381429844317</v>
      </c>
      <c r="D4" s="19">
        <v>0</v>
      </c>
      <c r="E4" s="101">
        <f>E16</f>
        <v>120</v>
      </c>
      <c r="F4" s="19">
        <v>0</v>
      </c>
    </row>
    <row r="5" spans="1:6" x14ac:dyDescent="0.3">
      <c r="A5" s="19">
        <v>2</v>
      </c>
      <c r="B5" s="87">
        <f>C27</f>
        <v>160</v>
      </c>
      <c r="C5" s="88">
        <f>E83</f>
        <v>-2913.6449832252579</v>
      </c>
      <c r="D5" s="19">
        <v>0</v>
      </c>
      <c r="E5" s="101">
        <f>E27</f>
        <v>67</v>
      </c>
      <c r="F5" s="19">
        <v>0</v>
      </c>
    </row>
    <row r="6" spans="1:6" x14ac:dyDescent="0.3">
      <c r="A6" s="19">
        <v>3</v>
      </c>
      <c r="B6" s="87">
        <f>C38</f>
        <v>119</v>
      </c>
      <c r="C6" s="88">
        <f>E98</f>
        <v>-3441.1780626521904</v>
      </c>
      <c r="D6" s="19">
        <v>0</v>
      </c>
      <c r="E6" s="101">
        <f>E38</f>
        <v>28</v>
      </c>
      <c r="F6" s="19">
        <v>0</v>
      </c>
    </row>
    <row r="10" spans="1:6" x14ac:dyDescent="0.3">
      <c r="A10" s="191" t="s">
        <v>67</v>
      </c>
      <c r="B10" s="191"/>
      <c r="C10" s="191"/>
      <c r="D10" s="191"/>
      <c r="E10" s="191"/>
      <c r="F10" s="191"/>
    </row>
    <row r="11" spans="1:6" x14ac:dyDescent="0.3">
      <c r="A11" s="23"/>
      <c r="B11" s="23"/>
      <c r="C11" s="23"/>
      <c r="D11" s="23"/>
      <c r="E11" s="23"/>
      <c r="F11" s="23"/>
    </row>
    <row r="12" spans="1:6" x14ac:dyDescent="0.3">
      <c r="A12" s="19" t="s">
        <v>29</v>
      </c>
      <c r="B12" s="19" t="s">
        <v>24</v>
      </c>
      <c r="C12" s="19" t="s">
        <v>25</v>
      </c>
      <c r="D12" s="51" t="s">
        <v>26</v>
      </c>
      <c r="E12" s="19" t="s">
        <v>195</v>
      </c>
    </row>
    <row r="13" spans="1:6" x14ac:dyDescent="0.3">
      <c r="A13" s="192">
        <v>1</v>
      </c>
      <c r="B13" s="19">
        <v>17</v>
      </c>
      <c r="C13" s="19">
        <v>103</v>
      </c>
      <c r="D13" s="19">
        <f>E13</f>
        <v>15</v>
      </c>
      <c r="E13" s="19">
        <v>15</v>
      </c>
    </row>
    <row r="14" spans="1:6" x14ac:dyDescent="0.3">
      <c r="A14" s="192"/>
      <c r="B14" s="19">
        <v>20</v>
      </c>
      <c r="C14" s="19">
        <v>122</v>
      </c>
      <c r="D14" s="19">
        <f>E14-E13</f>
        <v>15</v>
      </c>
      <c r="E14" s="19">
        <v>30</v>
      </c>
    </row>
    <row r="15" spans="1:6" x14ac:dyDescent="0.3">
      <c r="A15" s="192"/>
      <c r="B15" s="19">
        <v>25</v>
      </c>
      <c r="C15" s="19">
        <v>168</v>
      </c>
      <c r="D15" s="19">
        <f t="shared" ref="D15:D23" si="0">E15-E14</f>
        <v>36</v>
      </c>
      <c r="E15" s="19">
        <v>66</v>
      </c>
    </row>
    <row r="16" spans="1:6" x14ac:dyDescent="0.3">
      <c r="A16" s="192"/>
      <c r="B16" s="19">
        <v>30</v>
      </c>
      <c r="C16" s="87">
        <v>202</v>
      </c>
      <c r="D16" s="19">
        <f t="shared" si="0"/>
        <v>54</v>
      </c>
      <c r="E16" s="101">
        <v>120</v>
      </c>
    </row>
    <row r="17" spans="1:5" x14ac:dyDescent="0.3">
      <c r="A17" s="192"/>
      <c r="B17" s="19">
        <v>35</v>
      </c>
      <c r="C17" s="19">
        <v>244</v>
      </c>
      <c r="D17" s="19">
        <f t="shared" si="0"/>
        <v>55</v>
      </c>
      <c r="E17" s="19">
        <v>175</v>
      </c>
    </row>
    <row r="18" spans="1:5" x14ac:dyDescent="0.3">
      <c r="A18" s="192"/>
      <c r="B18" s="19">
        <v>40</v>
      </c>
      <c r="C18" s="19">
        <v>284</v>
      </c>
      <c r="D18" s="19">
        <f t="shared" si="0"/>
        <v>48</v>
      </c>
      <c r="E18" s="19">
        <v>223</v>
      </c>
    </row>
    <row r="19" spans="1:5" x14ac:dyDescent="0.3">
      <c r="A19" s="192"/>
      <c r="B19" s="19">
        <v>45</v>
      </c>
      <c r="C19" s="19">
        <v>327</v>
      </c>
      <c r="D19" s="19">
        <f t="shared" si="0"/>
        <v>57</v>
      </c>
      <c r="E19" s="19">
        <v>280</v>
      </c>
    </row>
    <row r="20" spans="1:5" x14ac:dyDescent="0.3">
      <c r="A20" s="192"/>
      <c r="B20" s="19">
        <v>50</v>
      </c>
      <c r="C20" s="19">
        <v>367</v>
      </c>
      <c r="D20" s="19">
        <f t="shared" si="0"/>
        <v>47</v>
      </c>
      <c r="E20" s="19">
        <v>327</v>
      </c>
    </row>
    <row r="21" spans="1:5" x14ac:dyDescent="0.3">
      <c r="A21" s="192"/>
      <c r="B21" s="19">
        <v>55</v>
      </c>
      <c r="C21" s="19">
        <v>415</v>
      </c>
      <c r="D21" s="19">
        <f t="shared" si="0"/>
        <v>48</v>
      </c>
      <c r="E21" s="19">
        <v>375</v>
      </c>
    </row>
    <row r="22" spans="1:5" x14ac:dyDescent="0.3">
      <c r="A22" s="192"/>
      <c r="B22" s="19">
        <v>60</v>
      </c>
      <c r="C22" s="19">
        <v>468</v>
      </c>
      <c r="D22" s="19">
        <f t="shared" si="0"/>
        <v>32</v>
      </c>
      <c r="E22" s="19">
        <v>407</v>
      </c>
    </row>
    <row r="23" spans="1:5" x14ac:dyDescent="0.3">
      <c r="A23" s="192"/>
      <c r="B23" s="19">
        <v>65</v>
      </c>
      <c r="C23" s="19">
        <v>527</v>
      </c>
      <c r="D23" s="19">
        <f t="shared" si="0"/>
        <v>28</v>
      </c>
      <c r="E23" s="19">
        <v>435</v>
      </c>
    </row>
    <row r="25" spans="1:5" x14ac:dyDescent="0.3">
      <c r="A25" s="192">
        <v>2</v>
      </c>
      <c r="B25" s="19">
        <v>22</v>
      </c>
      <c r="C25" s="19">
        <v>107</v>
      </c>
      <c r="D25" s="19">
        <f>E25</f>
        <v>16</v>
      </c>
      <c r="E25" s="19">
        <v>16</v>
      </c>
    </row>
    <row r="26" spans="1:5" x14ac:dyDescent="0.3">
      <c r="A26" s="192"/>
      <c r="B26" s="19">
        <v>25</v>
      </c>
      <c r="C26" s="19">
        <v>127</v>
      </c>
      <c r="D26" s="19">
        <f>E26-E25</f>
        <v>17</v>
      </c>
      <c r="E26" s="19">
        <v>33</v>
      </c>
    </row>
    <row r="27" spans="1:5" x14ac:dyDescent="0.3">
      <c r="A27" s="192"/>
      <c r="B27" s="19">
        <v>30</v>
      </c>
      <c r="C27" s="87">
        <v>160</v>
      </c>
      <c r="D27" s="19">
        <f t="shared" ref="D27:D35" si="1">E27-E26</f>
        <v>34</v>
      </c>
      <c r="E27" s="101">
        <v>67</v>
      </c>
    </row>
    <row r="28" spans="1:5" x14ac:dyDescent="0.3">
      <c r="A28" s="192"/>
      <c r="B28" s="51">
        <v>35</v>
      </c>
      <c r="C28" s="51">
        <v>192</v>
      </c>
      <c r="D28" s="19">
        <f t="shared" si="1"/>
        <v>41</v>
      </c>
      <c r="E28" s="51">
        <v>108</v>
      </c>
    </row>
    <row r="29" spans="1:5" x14ac:dyDescent="0.3">
      <c r="A29" s="192"/>
      <c r="B29" s="51">
        <v>40</v>
      </c>
      <c r="C29" s="51">
        <v>223</v>
      </c>
      <c r="D29" s="19">
        <f t="shared" si="1"/>
        <v>41</v>
      </c>
      <c r="E29" s="51">
        <v>149</v>
      </c>
    </row>
    <row r="30" spans="1:5" x14ac:dyDescent="0.3">
      <c r="A30" s="192"/>
      <c r="B30" s="51">
        <v>45</v>
      </c>
      <c r="C30" s="51">
        <v>265</v>
      </c>
      <c r="D30" s="19">
        <f>E30-E29</f>
        <v>41</v>
      </c>
      <c r="E30" s="51">
        <v>190</v>
      </c>
    </row>
    <row r="31" spans="1:5" x14ac:dyDescent="0.3">
      <c r="A31" s="192"/>
      <c r="B31" s="51">
        <v>50</v>
      </c>
      <c r="C31" s="51">
        <v>299</v>
      </c>
      <c r="D31" s="19">
        <f t="shared" si="1"/>
        <v>53</v>
      </c>
      <c r="E31" s="51">
        <v>243</v>
      </c>
    </row>
    <row r="32" spans="1:5" x14ac:dyDescent="0.3">
      <c r="A32" s="192"/>
      <c r="B32" s="51">
        <v>58</v>
      </c>
      <c r="C32" s="51">
        <v>362</v>
      </c>
      <c r="D32" s="19">
        <f t="shared" si="1"/>
        <v>78</v>
      </c>
      <c r="E32" s="51">
        <v>321</v>
      </c>
    </row>
    <row r="33" spans="1:7" x14ac:dyDescent="0.3">
      <c r="A33" s="192"/>
      <c r="B33" s="51">
        <v>66</v>
      </c>
      <c r="C33" s="51">
        <v>430</v>
      </c>
      <c r="D33" s="19">
        <f t="shared" si="1"/>
        <v>65</v>
      </c>
      <c r="E33" s="51">
        <v>386</v>
      </c>
    </row>
    <row r="34" spans="1:7" x14ac:dyDescent="0.3">
      <c r="A34" s="192"/>
      <c r="B34" s="51">
        <v>74</v>
      </c>
      <c r="C34" s="51">
        <v>496</v>
      </c>
      <c r="D34" s="19">
        <f t="shared" si="1"/>
        <v>37</v>
      </c>
      <c r="E34" s="51">
        <v>423</v>
      </c>
    </row>
    <row r="35" spans="1:7" x14ac:dyDescent="0.3">
      <c r="A35" s="192"/>
      <c r="B35" s="51">
        <v>82</v>
      </c>
      <c r="C35" s="51">
        <v>541</v>
      </c>
      <c r="D35" s="19">
        <f t="shared" si="1"/>
        <v>26</v>
      </c>
      <c r="E35" s="51">
        <v>449</v>
      </c>
    </row>
    <row r="37" spans="1:7" x14ac:dyDescent="0.3">
      <c r="A37" s="197">
        <v>3</v>
      </c>
      <c r="B37" s="19">
        <v>27</v>
      </c>
      <c r="C37" s="19">
        <v>103</v>
      </c>
      <c r="D37" s="19">
        <f>15</f>
        <v>15</v>
      </c>
      <c r="E37" s="19">
        <v>15</v>
      </c>
    </row>
    <row r="38" spans="1:7" x14ac:dyDescent="0.3">
      <c r="A38" s="198"/>
      <c r="B38" s="19">
        <v>30</v>
      </c>
      <c r="C38" s="87">
        <v>119</v>
      </c>
      <c r="D38" s="19">
        <f>E38-E37</f>
        <v>13</v>
      </c>
      <c r="E38" s="101">
        <v>28</v>
      </c>
    </row>
    <row r="39" spans="1:7" x14ac:dyDescent="0.3">
      <c r="A39" s="198"/>
      <c r="B39" s="51">
        <v>35</v>
      </c>
      <c r="C39" s="51">
        <v>146</v>
      </c>
      <c r="D39" s="19">
        <f t="shared" ref="D39:D44" si="2">E39-E38</f>
        <v>23</v>
      </c>
      <c r="E39" s="51">
        <v>51</v>
      </c>
    </row>
    <row r="40" spans="1:7" x14ac:dyDescent="0.3">
      <c r="A40" s="198"/>
      <c r="B40" s="51">
        <v>40</v>
      </c>
      <c r="C40" s="51">
        <v>174</v>
      </c>
      <c r="D40" s="19">
        <f t="shared" si="2"/>
        <v>34</v>
      </c>
      <c r="E40" s="51">
        <v>85</v>
      </c>
    </row>
    <row r="41" spans="1:7" x14ac:dyDescent="0.3">
      <c r="A41" s="198"/>
      <c r="B41" s="51">
        <v>50</v>
      </c>
      <c r="C41" s="51">
        <v>236</v>
      </c>
      <c r="D41" s="19">
        <f t="shared" si="2"/>
        <v>79</v>
      </c>
      <c r="E41" s="51">
        <v>164</v>
      </c>
    </row>
    <row r="42" spans="1:7" x14ac:dyDescent="0.3">
      <c r="A42" s="198"/>
      <c r="B42" s="51">
        <v>60</v>
      </c>
      <c r="C42" s="51">
        <v>305</v>
      </c>
      <c r="D42" s="19">
        <f t="shared" si="2"/>
        <v>88</v>
      </c>
      <c r="E42" s="51">
        <v>252</v>
      </c>
    </row>
    <row r="43" spans="1:7" x14ac:dyDescent="0.3">
      <c r="A43" s="198"/>
      <c r="B43" s="51">
        <v>70</v>
      </c>
      <c r="C43" s="51">
        <v>370</v>
      </c>
      <c r="D43" s="19">
        <f t="shared" si="2"/>
        <v>78</v>
      </c>
      <c r="E43" s="51">
        <v>330</v>
      </c>
    </row>
    <row r="44" spans="1:7" x14ac:dyDescent="0.3">
      <c r="A44" s="199"/>
      <c r="B44" s="51">
        <v>80</v>
      </c>
      <c r="C44" s="51">
        <v>415</v>
      </c>
      <c r="D44" s="19">
        <f t="shared" si="2"/>
        <v>45</v>
      </c>
      <c r="E44" s="51">
        <v>375</v>
      </c>
    </row>
    <row r="47" spans="1:7" x14ac:dyDescent="0.3">
      <c r="A47" s="191" t="s">
        <v>78</v>
      </c>
      <c r="B47" s="191"/>
      <c r="C47" s="191"/>
      <c r="D47" s="191"/>
      <c r="E47" s="191"/>
      <c r="F47" s="191"/>
      <c r="G47" s="52"/>
    </row>
    <row r="49" spans="1:5" x14ac:dyDescent="0.3">
      <c r="A49" s="19" t="s">
        <v>80</v>
      </c>
      <c r="B49" s="19" t="s">
        <v>1</v>
      </c>
      <c r="C49" s="19" t="s">
        <v>3</v>
      </c>
      <c r="D49" s="19" t="s">
        <v>4</v>
      </c>
      <c r="E49" s="19" t="s">
        <v>5</v>
      </c>
    </row>
    <row r="50" spans="1:5" x14ac:dyDescent="0.3">
      <c r="A50" s="19">
        <v>1</v>
      </c>
      <c r="B50" s="19" t="s">
        <v>2</v>
      </c>
      <c r="C50" s="88">
        <v>0</v>
      </c>
      <c r="D50" s="88">
        <v>3000</v>
      </c>
      <c r="E50" s="88">
        <f>(C50-D50)/((1+0.045)^A50)</f>
        <v>-2870.8133971291868</v>
      </c>
    </row>
    <row r="51" spans="1:5" x14ac:dyDescent="0.3">
      <c r="A51" s="19">
        <v>2</v>
      </c>
      <c r="B51" s="19" t="s">
        <v>0</v>
      </c>
      <c r="C51" s="88">
        <v>0</v>
      </c>
      <c r="D51" s="88">
        <v>500</v>
      </c>
      <c r="E51" s="88">
        <f t="shared" ref="E51:E64" si="3">(C51-D51)/((1+0.045)^A51)</f>
        <v>-457.86497561869015</v>
      </c>
    </row>
    <row r="52" spans="1:5" x14ac:dyDescent="0.3">
      <c r="A52" s="19">
        <v>3</v>
      </c>
      <c r="B52" s="19" t="s">
        <v>0</v>
      </c>
      <c r="C52" s="88">
        <v>0</v>
      </c>
      <c r="D52" s="88">
        <v>500</v>
      </c>
      <c r="E52" s="88">
        <f t="shared" si="3"/>
        <v>-438.14830202745469</v>
      </c>
    </row>
    <row r="53" spans="1:5" x14ac:dyDescent="0.3">
      <c r="A53" s="19">
        <v>4</v>
      </c>
      <c r="B53" s="19" t="s">
        <v>0</v>
      </c>
      <c r="C53" s="88">
        <v>0</v>
      </c>
      <c r="D53" s="88">
        <v>500</v>
      </c>
      <c r="E53" s="88">
        <f t="shared" si="3"/>
        <v>-419.28067179660746</v>
      </c>
    </row>
    <row r="54" spans="1:5" x14ac:dyDescent="0.3">
      <c r="A54" s="19">
        <v>17</v>
      </c>
      <c r="B54" s="19" t="s">
        <v>79</v>
      </c>
      <c r="C54" s="88">
        <f>D13*Inputs!G113</f>
        <v>120</v>
      </c>
      <c r="D54" s="88">
        <v>60</v>
      </c>
      <c r="E54" s="88">
        <f t="shared" si="3"/>
        <v>28.390583126710549</v>
      </c>
    </row>
    <row r="55" spans="1:5" x14ac:dyDescent="0.3">
      <c r="A55" s="19">
        <v>20</v>
      </c>
      <c r="B55" s="19" t="s">
        <v>79</v>
      </c>
      <c r="C55" s="88">
        <f>D14*Inputs!G114</f>
        <v>120</v>
      </c>
      <c r="D55" s="88">
        <v>60</v>
      </c>
      <c r="E55" s="88">
        <f t="shared" si="3"/>
        <v>24.878571581075072</v>
      </c>
    </row>
    <row r="56" spans="1:5" x14ac:dyDescent="0.3">
      <c r="A56" s="19">
        <v>25</v>
      </c>
      <c r="B56" s="19" t="s">
        <v>79</v>
      </c>
      <c r="C56" s="88">
        <f>D15*Inputs!G115</f>
        <v>288</v>
      </c>
      <c r="D56" s="88">
        <v>60</v>
      </c>
      <c r="E56" s="88">
        <f t="shared" si="3"/>
        <v>75.862576042568307</v>
      </c>
    </row>
    <row r="57" spans="1:5" x14ac:dyDescent="0.3">
      <c r="A57" s="19">
        <v>30</v>
      </c>
      <c r="B57" s="19" t="s">
        <v>79</v>
      </c>
      <c r="C57" s="88">
        <f>D16*Inputs!G116</f>
        <v>648</v>
      </c>
      <c r="D57" s="88">
        <v>60</v>
      </c>
      <c r="E57" s="88">
        <f t="shared" si="3"/>
        <v>156.99600911811777</v>
      </c>
    </row>
    <row r="58" spans="1:5" x14ac:dyDescent="0.3">
      <c r="A58" s="19">
        <v>35</v>
      </c>
      <c r="B58" s="19" t="s">
        <v>79</v>
      </c>
      <c r="C58" s="88">
        <f>D17*Inputs!G117</f>
        <v>1100</v>
      </c>
      <c r="D58" s="88">
        <v>60</v>
      </c>
      <c r="E58" s="88">
        <f t="shared" si="3"/>
        <v>222.82461953366521</v>
      </c>
    </row>
    <row r="59" spans="1:5" x14ac:dyDescent="0.3">
      <c r="A59" s="19">
        <v>40</v>
      </c>
      <c r="B59" s="19" t="s">
        <v>79</v>
      </c>
      <c r="C59" s="88">
        <f>D18*Inputs!G118</f>
        <v>960</v>
      </c>
      <c r="D59" s="88">
        <v>60</v>
      </c>
      <c r="E59" s="88">
        <f t="shared" si="3"/>
        <v>154.73583097866907</v>
      </c>
    </row>
    <row r="60" spans="1:5" x14ac:dyDescent="0.3">
      <c r="A60" s="19">
        <v>45</v>
      </c>
      <c r="B60" s="19" t="s">
        <v>79</v>
      </c>
      <c r="C60" s="88">
        <f>D19*Inputs!G119</f>
        <v>1140</v>
      </c>
      <c r="D60" s="88">
        <v>60</v>
      </c>
      <c r="E60" s="88">
        <f t="shared" si="3"/>
        <v>149.00151539998316</v>
      </c>
    </row>
    <row r="61" spans="1:5" x14ac:dyDescent="0.3">
      <c r="A61" s="19">
        <v>50</v>
      </c>
      <c r="B61" s="19" t="s">
        <v>79</v>
      </c>
      <c r="C61" s="88">
        <f>D20*Inputs!G120</f>
        <v>940</v>
      </c>
      <c r="D61" s="88">
        <v>60</v>
      </c>
      <c r="E61" s="88">
        <f t="shared" si="3"/>
        <v>97.424491969773896</v>
      </c>
    </row>
    <row r="62" spans="1:5" x14ac:dyDescent="0.3">
      <c r="A62" s="19">
        <v>55</v>
      </c>
      <c r="B62" s="19" t="s">
        <v>79</v>
      </c>
      <c r="C62" s="88">
        <f>D21*Inputs!G121</f>
        <v>1152</v>
      </c>
      <c r="D62" s="88">
        <v>60</v>
      </c>
      <c r="E62" s="88">
        <f t="shared" si="3"/>
        <v>97.012269324146899</v>
      </c>
    </row>
    <row r="63" spans="1:5" x14ac:dyDescent="0.3">
      <c r="A63" s="19">
        <v>60</v>
      </c>
      <c r="B63" s="19" t="s">
        <v>79</v>
      </c>
      <c r="C63" s="88">
        <f>D22*Inputs!G122</f>
        <v>896</v>
      </c>
      <c r="D63" s="88">
        <v>60</v>
      </c>
      <c r="E63" s="88">
        <f t="shared" si="3"/>
        <v>59.597610922698514</v>
      </c>
    </row>
    <row r="64" spans="1:5" x14ac:dyDescent="0.3">
      <c r="A64" s="19">
        <v>65</v>
      </c>
      <c r="B64" s="19" t="s">
        <v>127</v>
      </c>
      <c r="C64" s="88">
        <f>(D23+C23)*Inputs!G123</f>
        <v>17760</v>
      </c>
      <c r="D64" s="88">
        <v>60</v>
      </c>
      <c r="E64" s="88">
        <f t="shared" si="3"/>
        <v>1012.5451255900988</v>
      </c>
    </row>
    <row r="65" spans="1:5" x14ac:dyDescent="0.3">
      <c r="A65" s="194" t="s">
        <v>131</v>
      </c>
      <c r="B65" s="195"/>
      <c r="C65" s="195"/>
      <c r="D65" s="196"/>
      <c r="E65" s="98">
        <f>SUM(E50:E64)</f>
        <v>-2106.8381429844317</v>
      </c>
    </row>
    <row r="67" spans="1:5" x14ac:dyDescent="0.3">
      <c r="A67" s="19" t="s">
        <v>128</v>
      </c>
      <c r="B67" s="19" t="s">
        <v>1</v>
      </c>
      <c r="C67" s="19" t="s">
        <v>119</v>
      </c>
      <c r="D67" s="19" t="s">
        <v>120</v>
      </c>
      <c r="E67" s="19" t="s">
        <v>5</v>
      </c>
    </row>
    <row r="68" spans="1:5" x14ac:dyDescent="0.3">
      <c r="A68" s="19">
        <v>1</v>
      </c>
      <c r="B68" s="19" t="s">
        <v>2</v>
      </c>
      <c r="C68" s="88">
        <v>0</v>
      </c>
      <c r="D68" s="88">
        <v>3000</v>
      </c>
      <c r="E68" s="88">
        <f>(C68-D68)/((1+0.045)^A68)</f>
        <v>-2870.8133971291868</v>
      </c>
    </row>
    <row r="69" spans="1:5" x14ac:dyDescent="0.3">
      <c r="A69" s="19">
        <v>2</v>
      </c>
      <c r="B69" s="19" t="s">
        <v>0</v>
      </c>
      <c r="C69" s="88">
        <v>0</v>
      </c>
      <c r="D69" s="88">
        <v>500</v>
      </c>
      <c r="E69" s="88">
        <f t="shared" ref="E69:E82" si="4">(C69-D69)/((1+0.045)^A69)</f>
        <v>-457.86497561869015</v>
      </c>
    </row>
    <row r="70" spans="1:5" x14ac:dyDescent="0.3">
      <c r="A70" s="19">
        <v>3</v>
      </c>
      <c r="B70" s="19" t="s">
        <v>0</v>
      </c>
      <c r="C70" s="88">
        <v>0</v>
      </c>
      <c r="D70" s="88">
        <v>500</v>
      </c>
      <c r="E70" s="88">
        <f t="shared" si="4"/>
        <v>-438.14830202745469</v>
      </c>
    </row>
    <row r="71" spans="1:5" x14ac:dyDescent="0.3">
      <c r="A71" s="19">
        <v>4</v>
      </c>
      <c r="B71" s="19" t="s">
        <v>0</v>
      </c>
      <c r="C71" s="88">
        <v>0</v>
      </c>
      <c r="D71" s="88">
        <v>500</v>
      </c>
      <c r="E71" s="88">
        <f t="shared" si="4"/>
        <v>-419.28067179660746</v>
      </c>
    </row>
    <row r="72" spans="1:5" x14ac:dyDescent="0.3">
      <c r="A72" s="19">
        <v>22</v>
      </c>
      <c r="B72" s="19" t="s">
        <v>79</v>
      </c>
      <c r="C72" s="88">
        <f>D25*Inputs!G113</f>
        <v>128</v>
      </c>
      <c r="D72" s="88">
        <v>60</v>
      </c>
      <c r="E72" s="88">
        <f>(C72-D72)/((1+0.045)^A72)</f>
        <v>25.819660226232692</v>
      </c>
    </row>
    <row r="73" spans="1:5" x14ac:dyDescent="0.3">
      <c r="A73" s="19">
        <v>25</v>
      </c>
      <c r="B73" s="19" t="s">
        <v>79</v>
      </c>
      <c r="C73" s="88">
        <f>D26*Inputs!G114</f>
        <v>136</v>
      </c>
      <c r="D73" s="88">
        <v>60</v>
      </c>
      <c r="E73" s="88">
        <f t="shared" si="4"/>
        <v>25.28752534752277</v>
      </c>
    </row>
    <row r="74" spans="1:5" x14ac:dyDescent="0.3">
      <c r="A74" s="19">
        <v>30</v>
      </c>
      <c r="B74" s="19" t="s">
        <v>79</v>
      </c>
      <c r="C74" s="88">
        <f>D27*Inputs!G115</f>
        <v>272</v>
      </c>
      <c r="D74" s="88">
        <v>60</v>
      </c>
      <c r="E74" s="88">
        <f t="shared" si="4"/>
        <v>56.604003287484637</v>
      </c>
    </row>
    <row r="75" spans="1:5" x14ac:dyDescent="0.3">
      <c r="A75" s="19">
        <v>35</v>
      </c>
      <c r="B75" s="19" t="s">
        <v>79</v>
      </c>
      <c r="C75" s="88">
        <f>D28*Inputs!G116</f>
        <v>492</v>
      </c>
      <c r="D75" s="88">
        <v>60</v>
      </c>
      <c r="E75" s="88">
        <f t="shared" si="4"/>
        <v>92.557918883214782</v>
      </c>
    </row>
    <row r="76" spans="1:5" x14ac:dyDescent="0.3">
      <c r="A76" s="19">
        <v>40</v>
      </c>
      <c r="B76" s="19" t="s">
        <v>79</v>
      </c>
      <c r="C76" s="88">
        <f>D29*Inputs!G117</f>
        <v>820</v>
      </c>
      <c r="D76" s="88">
        <v>60</v>
      </c>
      <c r="E76" s="88">
        <f t="shared" si="4"/>
        <v>130.66581282643165</v>
      </c>
    </row>
    <row r="77" spans="1:5" x14ac:dyDescent="0.3">
      <c r="A77" s="19">
        <v>45</v>
      </c>
      <c r="B77" s="19" t="s">
        <v>79</v>
      </c>
      <c r="C77" s="88">
        <f>D30*Inputs!G118</f>
        <v>820</v>
      </c>
      <c r="D77" s="88">
        <v>60</v>
      </c>
      <c r="E77" s="88">
        <f t="shared" si="4"/>
        <v>104.85291824443259</v>
      </c>
    </row>
    <row r="78" spans="1:5" x14ac:dyDescent="0.3">
      <c r="A78" s="19">
        <v>50</v>
      </c>
      <c r="B78" s="19" t="s">
        <v>79</v>
      </c>
      <c r="C78" s="88">
        <f>D31*Inputs!G119</f>
        <v>1060</v>
      </c>
      <c r="D78" s="88">
        <v>60</v>
      </c>
      <c r="E78" s="88">
        <f t="shared" si="4"/>
        <v>110.70964996565215</v>
      </c>
    </row>
    <row r="79" spans="1:5" x14ac:dyDescent="0.3">
      <c r="A79" s="19">
        <v>58</v>
      </c>
      <c r="B79" s="19" t="s">
        <v>79</v>
      </c>
      <c r="C79" s="88">
        <f>D32*Inputs!G120</f>
        <v>1560</v>
      </c>
      <c r="D79" s="88">
        <v>60</v>
      </c>
      <c r="E79" s="88">
        <f t="shared" si="4"/>
        <v>116.77406890166239</v>
      </c>
    </row>
    <row r="80" spans="1:5" x14ac:dyDescent="0.3">
      <c r="A80" s="19">
        <v>66</v>
      </c>
      <c r="B80" s="19" t="s">
        <v>79</v>
      </c>
      <c r="C80" s="88">
        <f>D33*Inputs!G121</f>
        <v>1560</v>
      </c>
      <c r="D80" s="88">
        <v>60</v>
      </c>
      <c r="E80" s="88">
        <f t="shared" si="4"/>
        <v>82.11378846728563</v>
      </c>
    </row>
    <row r="81" spans="1:5" x14ac:dyDescent="0.3">
      <c r="A81" s="19">
        <v>74</v>
      </c>
      <c r="B81" s="19" t="s">
        <v>79</v>
      </c>
      <c r="C81" s="88">
        <f>D34*Inputs!G122</f>
        <v>1036</v>
      </c>
      <c r="D81" s="88">
        <v>60</v>
      </c>
      <c r="E81" s="88">
        <f t="shared" si="4"/>
        <v>37.570270729866593</v>
      </c>
    </row>
    <row r="82" spans="1:5" x14ac:dyDescent="0.3">
      <c r="A82" s="19">
        <v>82</v>
      </c>
      <c r="B82" s="19" t="s">
        <v>127</v>
      </c>
      <c r="C82" s="88">
        <f>(D35+C35)*Inputs!G123</f>
        <v>18144</v>
      </c>
      <c r="D82" s="88">
        <v>60</v>
      </c>
      <c r="E82" s="88">
        <f t="shared" si="4"/>
        <v>489.50674646689487</v>
      </c>
    </row>
    <row r="83" spans="1:5" x14ac:dyDescent="0.3">
      <c r="A83" s="193" t="s">
        <v>131</v>
      </c>
      <c r="B83" s="193"/>
      <c r="C83" s="193"/>
      <c r="D83" s="193"/>
      <c r="E83" s="98">
        <f>SUM(E68:E82)</f>
        <v>-2913.6449832252579</v>
      </c>
    </row>
    <row r="85" spans="1:5" x14ac:dyDescent="0.3">
      <c r="A85" s="19" t="s">
        <v>129</v>
      </c>
      <c r="B85" s="19" t="s">
        <v>1</v>
      </c>
      <c r="C85" s="19" t="s">
        <v>119</v>
      </c>
      <c r="D85" s="19" t="s">
        <v>120</v>
      </c>
      <c r="E85" s="19" t="s">
        <v>5</v>
      </c>
    </row>
    <row r="86" spans="1:5" x14ac:dyDescent="0.3">
      <c r="A86" s="19">
        <v>1</v>
      </c>
      <c r="B86" s="19" t="s">
        <v>2</v>
      </c>
      <c r="C86" s="88">
        <v>0</v>
      </c>
      <c r="D86" s="88">
        <v>3000</v>
      </c>
      <c r="E86" s="88">
        <f>(C86-D86)/((1+0.045)^A86)</f>
        <v>-2870.8133971291868</v>
      </c>
    </row>
    <row r="87" spans="1:5" x14ac:dyDescent="0.3">
      <c r="A87" s="19">
        <v>2</v>
      </c>
      <c r="B87" s="19" t="s">
        <v>0</v>
      </c>
      <c r="C87" s="88">
        <v>0</v>
      </c>
      <c r="D87" s="88">
        <v>500</v>
      </c>
      <c r="E87" s="88">
        <f t="shared" ref="E87:E97" si="5">(C87-D87)/((1+0.045)^A87)</f>
        <v>-457.86497561869015</v>
      </c>
    </row>
    <row r="88" spans="1:5" x14ac:dyDescent="0.3">
      <c r="A88" s="19">
        <v>3</v>
      </c>
      <c r="B88" s="19" t="s">
        <v>0</v>
      </c>
      <c r="C88" s="88">
        <v>0</v>
      </c>
      <c r="D88" s="88">
        <v>500</v>
      </c>
      <c r="E88" s="88">
        <f t="shared" si="5"/>
        <v>-438.14830202745469</v>
      </c>
    </row>
    <row r="89" spans="1:5" x14ac:dyDescent="0.3">
      <c r="A89" s="19">
        <v>4</v>
      </c>
      <c r="B89" s="19" t="s">
        <v>0</v>
      </c>
      <c r="C89" s="88">
        <v>0</v>
      </c>
      <c r="D89" s="88">
        <v>500</v>
      </c>
      <c r="E89" s="88">
        <f t="shared" si="5"/>
        <v>-419.28067179660746</v>
      </c>
    </row>
    <row r="90" spans="1:5" x14ac:dyDescent="0.3">
      <c r="A90" s="19">
        <v>27</v>
      </c>
      <c r="B90" s="19" t="s">
        <v>79</v>
      </c>
      <c r="C90" s="88">
        <f>D37*Inputs!G113</f>
        <v>120</v>
      </c>
      <c r="D90" s="88">
        <v>60</v>
      </c>
      <c r="E90" s="88">
        <f t="shared" si="5"/>
        <v>18.281482384263985</v>
      </c>
    </row>
    <row r="91" spans="1:5" x14ac:dyDescent="0.3">
      <c r="A91" s="19">
        <v>30</v>
      </c>
      <c r="B91" s="19" t="s">
        <v>79</v>
      </c>
      <c r="C91" s="88">
        <f>D38*Inputs!G114</f>
        <v>104</v>
      </c>
      <c r="D91" s="88">
        <v>60</v>
      </c>
      <c r="E91" s="88">
        <f t="shared" si="5"/>
        <v>11.748000682308133</v>
      </c>
    </row>
    <row r="92" spans="1:5" x14ac:dyDescent="0.3">
      <c r="A92" s="19">
        <v>35</v>
      </c>
      <c r="B92" s="19" t="s">
        <v>79</v>
      </c>
      <c r="C92" s="88">
        <f>D39*Inputs!G115</f>
        <v>184</v>
      </c>
      <c r="D92" s="88">
        <v>60</v>
      </c>
      <c r="E92" s="88">
        <f t="shared" si="5"/>
        <v>26.567550790552392</v>
      </c>
    </row>
    <row r="93" spans="1:5" x14ac:dyDescent="0.3">
      <c r="A93" s="19">
        <v>40</v>
      </c>
      <c r="B93" s="19" t="s">
        <v>79</v>
      </c>
      <c r="C93" s="88">
        <f>D40*Inputs!G116</f>
        <v>408</v>
      </c>
      <c r="D93" s="88">
        <v>60</v>
      </c>
      <c r="E93" s="88">
        <f t="shared" si="5"/>
        <v>59.831187978418704</v>
      </c>
    </row>
    <row r="94" spans="1:5" x14ac:dyDescent="0.3">
      <c r="A94" s="19">
        <v>50</v>
      </c>
      <c r="B94" s="19" t="s">
        <v>79</v>
      </c>
      <c r="C94" s="88">
        <f>D41*Inputs!G117</f>
        <v>1580</v>
      </c>
      <c r="D94" s="88">
        <v>60</v>
      </c>
      <c r="E94" s="88">
        <f t="shared" si="5"/>
        <v>168.27866794779126</v>
      </c>
    </row>
    <row r="95" spans="1:5" x14ac:dyDescent="0.3">
      <c r="A95" s="19">
        <v>60</v>
      </c>
      <c r="B95" s="19" t="s">
        <v>79</v>
      </c>
      <c r="C95" s="88">
        <f>D42*Inputs!G118</f>
        <v>1760</v>
      </c>
      <c r="D95" s="88">
        <v>60</v>
      </c>
      <c r="E95" s="88">
        <f t="shared" si="5"/>
        <v>121.19131407725774</v>
      </c>
    </row>
    <row r="96" spans="1:5" x14ac:dyDescent="0.3">
      <c r="A96" s="19">
        <v>70</v>
      </c>
      <c r="B96" s="19" t="s">
        <v>79</v>
      </c>
      <c r="C96" s="88">
        <f>D43*Inputs!G119</f>
        <v>1560</v>
      </c>
      <c r="D96" s="88">
        <v>60</v>
      </c>
      <c r="E96" s="88">
        <f t="shared" si="5"/>
        <v>68.857448784656071</v>
      </c>
    </row>
    <row r="97" spans="1:5" x14ac:dyDescent="0.3">
      <c r="A97" s="19">
        <v>80</v>
      </c>
      <c r="B97" s="19" t="s">
        <v>79</v>
      </c>
      <c r="C97" s="88">
        <f>(D44+C44)*Inputs!G120</f>
        <v>9200</v>
      </c>
      <c r="D97" s="88">
        <v>60</v>
      </c>
      <c r="E97" s="88">
        <f t="shared" si="5"/>
        <v>270.17363127450056</v>
      </c>
    </row>
    <row r="98" spans="1:5" x14ac:dyDescent="0.3">
      <c r="A98" s="193" t="s">
        <v>131</v>
      </c>
      <c r="B98" s="193"/>
      <c r="C98" s="193"/>
      <c r="D98" s="193"/>
      <c r="E98" s="98">
        <f>SUM(E86:E97)</f>
        <v>-3441.1780626521904</v>
      </c>
    </row>
  </sheetData>
  <mergeCells count="9">
    <mergeCell ref="A1:F1"/>
    <mergeCell ref="A10:F10"/>
    <mergeCell ref="A13:A23"/>
    <mergeCell ref="A83:D83"/>
    <mergeCell ref="A98:D98"/>
    <mergeCell ref="A65:D65"/>
    <mergeCell ref="A25:A35"/>
    <mergeCell ref="A37:A44"/>
    <mergeCell ref="A47:F47"/>
  </mergeCells>
  <pageMargins left="0.7" right="0.7" top="0.75" bottom="0.75" header="0.3" footer="0.3"/>
  <pageSetup paperSize="9" scale="1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12" sqref="A12"/>
    </sheetView>
  </sheetViews>
  <sheetFormatPr baseColWidth="10" defaultColWidth="10.88671875" defaultRowHeight="13.8" x14ac:dyDescent="0.25"/>
  <cols>
    <col min="1" max="16384" width="10.88671875" style="102"/>
  </cols>
  <sheetData>
    <row r="1" spans="1:3" x14ac:dyDescent="0.25">
      <c r="B1" s="102" t="s">
        <v>187</v>
      </c>
      <c r="C1" s="102" t="s">
        <v>188</v>
      </c>
    </row>
    <row r="2" spans="1:3" x14ac:dyDescent="0.25">
      <c r="A2" s="102" t="s">
        <v>26</v>
      </c>
      <c r="B2" s="102" t="s">
        <v>189</v>
      </c>
      <c r="C2" s="102" t="s">
        <v>196</v>
      </c>
    </row>
    <row r="3" spans="1:3" x14ac:dyDescent="0.25">
      <c r="A3" s="102" t="s">
        <v>195</v>
      </c>
      <c r="B3" s="102" t="s">
        <v>189</v>
      </c>
      <c r="C3" s="102" t="s">
        <v>191</v>
      </c>
    </row>
    <row r="4" spans="1:3" x14ac:dyDescent="0.25">
      <c r="A4" s="102" t="s">
        <v>25</v>
      </c>
      <c r="B4" s="102" t="s">
        <v>189</v>
      </c>
      <c r="C4" s="102" t="s">
        <v>192</v>
      </c>
    </row>
    <row r="5" spans="1:3" x14ac:dyDescent="0.25">
      <c r="A5" s="102" t="s">
        <v>28</v>
      </c>
      <c r="B5" s="102" t="s">
        <v>189</v>
      </c>
      <c r="C5" s="102" t="s">
        <v>190</v>
      </c>
    </row>
    <row r="6" spans="1:3" x14ac:dyDescent="0.25">
      <c r="A6" s="102" t="s">
        <v>27</v>
      </c>
      <c r="B6" s="102" t="s">
        <v>193</v>
      </c>
      <c r="C6" s="10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10</vt:i4>
      </vt:variant>
    </vt:vector>
  </HeadingPairs>
  <TitlesOfParts>
    <vt:vector size="16" baseType="lpstr">
      <vt:lpstr>1-REA</vt:lpstr>
      <vt:lpstr>VERRA</vt:lpstr>
      <vt:lpstr>VAN </vt:lpstr>
      <vt:lpstr>Inputs</vt:lpstr>
      <vt:lpstr>Inputs - Tables de production</vt:lpstr>
      <vt:lpstr>Lexique</vt:lpstr>
      <vt:lpstr>CF</vt:lpstr>
      <vt:lpstr>ESS</vt:lpstr>
      <vt:lpstr>Rab</vt:lpstr>
      <vt:lpstr>Tc</vt:lpstr>
      <vt:lpstr>TPR</vt:lpstr>
      <vt:lpstr>Vbi</vt:lpstr>
      <vt:lpstr>Vt</vt:lpstr>
      <vt:lpstr>'1-REA'!Zone_d_impression</vt:lpstr>
      <vt:lpstr>Inputs!Zone_d_impression</vt:lpstr>
      <vt:lpstr>'VAN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Lopez</dc:creator>
  <cp:lastModifiedBy>manon Lopez</cp:lastModifiedBy>
  <cp:lastPrinted>2020-04-16T09:25:17Z</cp:lastPrinted>
  <dcterms:created xsi:type="dcterms:W3CDTF">2019-10-04T15:03:08Z</dcterms:created>
  <dcterms:modified xsi:type="dcterms:W3CDTF">2020-06-11T13:15:30Z</dcterms:modified>
</cp:coreProperties>
</file>