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CENTRE (EDL)/2BONI-124/Dossier octobre 2024/"/>
    </mc:Choice>
  </mc:AlternateContent>
  <xr:revisionPtr revIDLastSave="202" documentId="11_832EBC973FF36A9F0A417D33E5FDCA6337D90D96" xr6:coauthVersionLast="47" xr6:coauthVersionMax="47" xr10:uidLastSave="{979EC6BB-FA58-4E13-8EC2-E0225C3F7278}"/>
  <bookViews>
    <workbookView xWindow="-120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U31" i="6" l="1"/>
  <c r="U30" i="6"/>
  <c r="V10" i="6"/>
  <c r="P67" i="6"/>
  <c r="H19" i="2"/>
  <c r="D20" i="2"/>
  <c r="G20" i="2" s="1"/>
  <c r="P40" i="6"/>
  <c r="U33" i="6" l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EA155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CN156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AB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D161" i="2"/>
  <c r="DI161" i="2"/>
  <c r="EY161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ED163" i="2"/>
  <c r="EX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X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EW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D171" i="2"/>
  <c r="EB172" i="2"/>
  <c r="EA172" i="2"/>
  <c r="ED172" i="2" s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HH178" i="2"/>
  <c r="EW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EA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B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HH192" i="2"/>
  <c r="EB192" i="2"/>
  <c r="EW192" i="2"/>
  <c r="HG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AA197" i="2"/>
  <c r="HG197" i="2"/>
  <c r="EW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A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R202" i="2"/>
  <c r="HG202" i="2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AX200" i="2"/>
  <c r="CS116" i="2" l="1" a="1"/>
  <c r="CS116" i="2" s="1"/>
  <c r="CS38" i="2" a="1"/>
  <c r="CS38" i="2" s="1"/>
  <c r="BX107" i="2" a="1"/>
  <c r="BX107" i="2" s="1"/>
  <c r="BC47" i="2" a="1"/>
  <c r="BC47" i="2" s="1"/>
  <c r="BC68" i="2" a="1"/>
  <c r="BC68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72" i="2"/>
  <c r="CD6" i="2"/>
  <c r="CD133" i="2"/>
  <c r="CD177" i="2"/>
  <c r="CD90" i="2"/>
  <c r="CD107" i="2"/>
  <c r="CD144" i="2"/>
  <c r="CD31" i="2"/>
  <c r="CD100" i="2"/>
  <c r="CD57" i="2"/>
  <c r="CD22" i="2"/>
  <c r="CD201" i="2"/>
  <c r="CD19" i="2"/>
  <c r="CD125" i="2"/>
  <c r="CD181" i="2"/>
  <c r="CD203" i="2"/>
  <c r="CD48" i="2"/>
  <c r="CD56" i="2"/>
  <c r="CD75" i="2"/>
  <c r="CD69" i="2"/>
  <c r="CD120" i="2"/>
  <c r="CD150" i="2"/>
  <c r="CD87" i="2"/>
  <c r="CD8" i="2"/>
  <c r="CD47" i="2"/>
  <c r="CD89" i="2"/>
  <c r="CD79" i="2"/>
  <c r="CD65" i="2"/>
  <c r="CD102" i="2"/>
  <c r="CD139" i="2"/>
  <c r="CD74" i="2"/>
  <c r="CD190" i="2"/>
  <c r="CD128" i="2"/>
  <c r="CD192" i="2"/>
  <c r="CD114" i="2"/>
  <c r="CD5" i="2"/>
  <c r="CD27" i="2"/>
  <c r="CD189" i="2"/>
  <c r="CD197" i="2"/>
  <c r="CD104" i="2"/>
  <c r="CD61" i="2"/>
  <c r="CD78" i="2"/>
  <c r="CD168" i="2"/>
  <c r="CD170" i="2"/>
  <c r="CD180" i="2"/>
  <c r="CD82" i="2"/>
  <c r="CD84" i="2"/>
  <c r="CD121" i="2"/>
  <c r="CD52" i="2"/>
  <c r="CD156" i="2"/>
  <c r="CD123" i="2"/>
  <c r="CD4" i="2"/>
  <c r="CD24" i="2"/>
  <c r="CD18" i="2"/>
  <c r="CD110" i="2"/>
  <c r="CD43" i="2"/>
  <c r="CD130" i="2"/>
  <c r="CD50" i="2"/>
  <c r="CD23" i="2"/>
  <c r="CD178" i="2"/>
  <c r="CD96" i="2"/>
  <c r="CD86" i="2"/>
  <c r="CD158" i="2"/>
  <c r="CD164" i="2"/>
  <c r="CD111" i="2"/>
  <c r="CD148" i="2"/>
  <c r="CD37" i="2"/>
  <c r="CD7" i="2"/>
  <c r="CD112" i="2"/>
  <c r="CD25" i="2"/>
  <c r="CD166" i="2"/>
  <c r="CD202" i="2"/>
  <c r="CD29" i="2"/>
  <c r="CD174" i="2"/>
  <c r="CD161" i="2"/>
  <c r="CD73" i="2"/>
  <c r="CD28" i="2"/>
  <c r="CD30" i="2"/>
  <c r="CD11" i="2"/>
  <c r="CD109" i="2"/>
  <c r="CD98" i="2"/>
  <c r="CD138" i="2"/>
  <c r="CD88" i="2"/>
  <c r="CD13" i="2"/>
  <c r="CD17" i="2"/>
  <c r="CD10" i="2"/>
  <c r="CD159" i="2"/>
  <c r="CD99" i="2"/>
  <c r="CD185" i="2"/>
  <c r="CD119" i="2"/>
  <c r="CD62" i="2"/>
  <c r="CD149" i="2"/>
  <c r="CD80" i="2"/>
  <c r="CD92" i="2"/>
  <c r="CD32" i="2"/>
  <c r="CD3" i="2"/>
  <c r="C9" i="4" s="1"/>
  <c r="E9" i="4" s="1"/>
  <c r="F9" i="4" s="1"/>
  <c r="G9" i="4" s="1"/>
  <c r="L9" i="4" s="1"/>
  <c r="CD136" i="2"/>
  <c r="CD63" i="2"/>
  <c r="CD187" i="2"/>
  <c r="CD97" i="2"/>
  <c r="CD81" i="2"/>
  <c r="CD76" i="2"/>
  <c r="CD94" i="2"/>
  <c r="CD129" i="2"/>
  <c r="CD165" i="2"/>
  <c r="CD151" i="2"/>
  <c r="CD193" i="2"/>
  <c r="CD200" i="2"/>
  <c r="CD68" i="2"/>
  <c r="CD41" i="2"/>
  <c r="CD34" i="2"/>
  <c r="CD162" i="2"/>
  <c r="CD140" i="2"/>
  <c r="CD20" i="2"/>
  <c r="CD14" i="2"/>
  <c r="CD122" i="2"/>
  <c r="CD36" i="2"/>
  <c r="CD115" i="2"/>
  <c r="CD195" i="2"/>
  <c r="CD198" i="2"/>
  <c r="CD172" i="2"/>
  <c r="CD199" i="2"/>
  <c r="CD35" i="2"/>
  <c r="CD157" i="2"/>
  <c r="CD169" i="2"/>
  <c r="CD196" i="2"/>
  <c r="CD186" i="2"/>
  <c r="CD9" i="2"/>
  <c r="CD160" i="2"/>
  <c r="CD77" i="2"/>
  <c r="CD40" i="2"/>
  <c r="CD152" i="2"/>
  <c r="CD113" i="2"/>
  <c r="CD153" i="2"/>
  <c r="CD194" i="2"/>
  <c r="CD103" i="2"/>
  <c r="CD85" i="2"/>
  <c r="CD70" i="2"/>
  <c r="CD39" i="2"/>
  <c r="CD93" i="2"/>
  <c r="CD51" i="2"/>
  <c r="CD191" i="2"/>
  <c r="CD58" i="2"/>
  <c r="CD155" i="2"/>
  <c r="CD33" i="2"/>
  <c r="CD135" i="2"/>
  <c r="CD143" i="2"/>
  <c r="CD45" i="2"/>
  <c r="CD167" i="2"/>
  <c r="CD175" i="2"/>
  <c r="CD49" i="2"/>
  <c r="CD12" i="2"/>
  <c r="CD95" i="2"/>
  <c r="CD26" i="2"/>
  <c r="CD55" i="2"/>
  <c r="CD126" i="2"/>
  <c r="CD101" i="2"/>
  <c r="CD142" i="2"/>
  <c r="CD146" i="2"/>
  <c r="CD46" i="2"/>
  <c r="CD105" i="2"/>
  <c r="CD38" i="2"/>
  <c r="CD173" i="2"/>
  <c r="CD182" i="2"/>
  <c r="CD91" i="2"/>
  <c r="CD134" i="2"/>
  <c r="CD116" i="2"/>
  <c r="CD117" i="2"/>
  <c r="CD16" i="2"/>
  <c r="CD15" i="2"/>
  <c r="CD67" i="2"/>
  <c r="CD83" i="2"/>
  <c r="CD145" i="2"/>
  <c r="CD53" i="2"/>
  <c r="CD188" i="2"/>
  <c r="CD137" i="2"/>
  <c r="CD124" i="2"/>
  <c r="CD106" i="2"/>
  <c r="CD42" i="2"/>
  <c r="CD179" i="2"/>
  <c r="CD44" i="2"/>
  <c r="CD108" i="2"/>
  <c r="CD163" i="2"/>
  <c r="CD59" i="2"/>
  <c r="CD132" i="2"/>
  <c r="CD183" i="2"/>
  <c r="CD54" i="2"/>
  <c r="CD141" i="2"/>
  <c r="CD176" i="2"/>
  <c r="CD154" i="2"/>
  <c r="CD147" i="2"/>
  <c r="CD21" i="2"/>
  <c r="CD171" i="2"/>
  <c r="CD184" i="2"/>
  <c r="CD66" i="2"/>
  <c r="CD118" i="2"/>
  <c r="CD71" i="2"/>
  <c r="CD131" i="2"/>
  <c r="CD127" i="2"/>
  <c r="CD6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24" i="2" l="1"/>
  <c r="DT36" i="2"/>
  <c r="DT54" i="2"/>
  <c r="DT49" i="2"/>
  <c r="DT180" i="2"/>
  <c r="DT22" i="2"/>
  <c r="DT186" i="2"/>
  <c r="DT163" i="2"/>
  <c r="DT127" i="2"/>
  <c r="DT30" i="2"/>
  <c r="DT21" i="2"/>
  <c r="DT32" i="2"/>
  <c r="DT95" i="2"/>
  <c r="DT46" i="2"/>
  <c r="DT175" i="2"/>
  <c r="DT52" i="2"/>
  <c r="DT50" i="2"/>
  <c r="DT132" i="2"/>
  <c r="DT192" i="2"/>
  <c r="DT147" i="2"/>
  <c r="DT75" i="2"/>
  <c r="DT110" i="2"/>
  <c r="DT9" i="2"/>
  <c r="DT38" i="2"/>
  <c r="DT100" i="2"/>
  <c r="DT29" i="2"/>
  <c r="DT184" i="2"/>
  <c r="DT24" i="2"/>
  <c r="DT167" i="2"/>
  <c r="DT87" i="2"/>
  <c r="DT201" i="2"/>
  <c r="DT102" i="2"/>
  <c r="DT69" i="2"/>
  <c r="DT34" i="2"/>
  <c r="DT148" i="2"/>
  <c r="DT27" i="2"/>
  <c r="DT6" i="2"/>
  <c r="DT62" i="2"/>
  <c r="DT160" i="2"/>
  <c r="DT7" i="2"/>
  <c r="DT129" i="2"/>
  <c r="DT169" i="2"/>
  <c r="DT198" i="2"/>
  <c r="DT114" i="2"/>
  <c r="DT197" i="2"/>
  <c r="DT44" i="2"/>
  <c r="DT195" i="2"/>
  <c r="DT103" i="2"/>
  <c r="DT92" i="2"/>
  <c r="DT11" i="2"/>
  <c r="DT202" i="2"/>
  <c r="DT15" i="2"/>
  <c r="DT154" i="2"/>
  <c r="DT109" i="2"/>
  <c r="DT72" i="2"/>
  <c r="DT159" i="2"/>
  <c r="DT168" i="2"/>
  <c r="DT145" i="2"/>
  <c r="DT150" i="2"/>
  <c r="DT28" i="2"/>
  <c r="DT155" i="2"/>
  <c r="DT51" i="2"/>
  <c r="DT128" i="2"/>
  <c r="DT89" i="2"/>
  <c r="DT12" i="2"/>
  <c r="DT33" i="2"/>
  <c r="DT94" i="2"/>
  <c r="DT85" i="2"/>
  <c r="DT200" i="2"/>
  <c r="DT178" i="2"/>
  <c r="DT158" i="2"/>
  <c r="DT116" i="2"/>
  <c r="DT108" i="2"/>
  <c r="DT81" i="2"/>
  <c r="DT61" i="2"/>
  <c r="DT173" i="2"/>
  <c r="DT123" i="2"/>
  <c r="DT166" i="2"/>
  <c r="DT84" i="2"/>
  <c r="DT13" i="2"/>
  <c r="DT193" i="2"/>
  <c r="DT189" i="2"/>
  <c r="DT181" i="2"/>
  <c r="DT25" i="2"/>
  <c r="DT135" i="2"/>
  <c r="DT196" i="2"/>
  <c r="DT136" i="2"/>
  <c r="DT152" i="2"/>
  <c r="DT23" i="2"/>
  <c r="DT188" i="2"/>
  <c r="DT119" i="2"/>
  <c r="DT106" i="2"/>
  <c r="DT83" i="2"/>
  <c r="DT172" i="2"/>
  <c r="DT122" i="2"/>
  <c r="DT71" i="2"/>
  <c r="DT170" i="2"/>
  <c r="DT115" i="2"/>
  <c r="DT113" i="2"/>
  <c r="DT111" i="2"/>
  <c r="DT43" i="2"/>
  <c r="DT153" i="2"/>
  <c r="DT17" i="2"/>
  <c r="DT104" i="2"/>
  <c r="DT14" i="2"/>
  <c r="DT64" i="2"/>
  <c r="DT187" i="2"/>
  <c r="DT40" i="2"/>
  <c r="DT10" i="2"/>
  <c r="DT165" i="2"/>
  <c r="DT134" i="2"/>
  <c r="DT185" i="2"/>
  <c r="DT98" i="2"/>
  <c r="DT41" i="2"/>
  <c r="DT91" i="2"/>
  <c r="DT171" i="2"/>
  <c r="DT120" i="2"/>
  <c r="DT118" i="2"/>
  <c r="DT67" i="2"/>
  <c r="DT144" i="2"/>
  <c r="DT164" i="2"/>
  <c r="DT78" i="2"/>
  <c r="DT42" i="2"/>
  <c r="DT4" i="2"/>
  <c r="DT80" i="2"/>
  <c r="DT161" i="2"/>
  <c r="DT112" i="2"/>
  <c r="DT179" i="2"/>
  <c r="DT35" i="2"/>
  <c r="DT16" i="2"/>
  <c r="DT146" i="2"/>
  <c r="DT66" i="2"/>
  <c r="DT82" i="2"/>
  <c r="DT107" i="2"/>
  <c r="DT53" i="2"/>
  <c r="DT18" i="2"/>
  <c r="DT138" i="2"/>
  <c r="DT45" i="2"/>
  <c r="DT55" i="2"/>
  <c r="DT143" i="2"/>
  <c r="DT126" i="2"/>
  <c r="DT76" i="2"/>
  <c r="DT156" i="2"/>
  <c r="DT121" i="2"/>
  <c r="DT141" i="2"/>
  <c r="DT26" i="2"/>
  <c r="DT133" i="2"/>
  <c r="DT96" i="2"/>
  <c r="DT190" i="2"/>
  <c r="DT86" i="2"/>
  <c r="DT183" i="2"/>
  <c r="DT151" i="2"/>
  <c r="DT93" i="2"/>
  <c r="DT176" i="2"/>
  <c r="DT74" i="2"/>
  <c r="DT56" i="2"/>
  <c r="DT47" i="2"/>
  <c r="DT37" i="2"/>
  <c r="DT97" i="2"/>
  <c r="DT117" i="2"/>
  <c r="DT20" i="2"/>
  <c r="DT182" i="2"/>
  <c r="DT73" i="2"/>
  <c r="DT194" i="2"/>
  <c r="DT88" i="2"/>
  <c r="DT177" i="2"/>
  <c r="DT59" i="2"/>
  <c r="DT39" i="2"/>
  <c r="DT105" i="2"/>
  <c r="DT174" i="2"/>
  <c r="DT142" i="2"/>
  <c r="DT31" i="2"/>
  <c r="DT19" i="2"/>
  <c r="DT130" i="2"/>
  <c r="DT8" i="2"/>
  <c r="DT125" i="2"/>
  <c r="DT162" i="2"/>
  <c r="DT68" i="2"/>
  <c r="DT63" i="2"/>
  <c r="DT99" i="2"/>
  <c r="DT137" i="2"/>
  <c r="DT157" i="2"/>
  <c r="DT65" i="2"/>
  <c r="DT140" i="2"/>
  <c r="DT203" i="2"/>
  <c r="DT58" i="2"/>
  <c r="DT5" i="2"/>
  <c r="DT101" i="2"/>
  <c r="DT48" i="2"/>
  <c r="DT90" i="2"/>
  <c r="DT57" i="2"/>
  <c r="DT149" i="2"/>
  <c r="DT199" i="2"/>
  <c r="DT79" i="2"/>
  <c r="DT191" i="2"/>
  <c r="DT131" i="2"/>
  <c r="DT139" i="2"/>
  <c r="DT60" i="2"/>
  <c r="DT77" i="2"/>
  <c r="DT70" i="2"/>
  <c r="DT3" i="2"/>
  <c r="C11" i="4" s="1"/>
  <c r="E11" i="4" s="1"/>
  <c r="F11" i="4" s="1"/>
  <c r="G11" i="4" s="1"/>
  <c r="L11" i="4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tc={4C91F93A-4850-4663-A3C2-6971670EE070}</author>
    <author>tc={21E90E90-8F37-4036-8CF3-2FC2FE4B471C}</author>
    <author>tc={CB823BE7-DD1F-4081-B48B-60B6F5E5ECBE}</author>
    <author>tc={6B940231-2296-481D-B696-1C215BAA35A1}</author>
  </authors>
  <commentList>
    <comment ref="I19" authorId="0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à partir de la 6e année pendant la durée du contrat : frais de gardiennage 20€/ha/an</t>
      </text>
    </comment>
    <comment ref="I20" authorId="1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2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3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</commentList>
</comments>
</file>

<file path=xl/sharedStrings.xml><?xml version="1.0" encoding="utf-8"?>
<sst xmlns="http://schemas.openxmlformats.org/spreadsheetml/2006/main" count="1182" uniqueCount="329">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</sst>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2.2637049036634416</c:v>
                </c:pt>
                <c:pt idx="2">
                  <c:v>3.3052061027801565</c:v>
                </c:pt>
                <c:pt idx="3">
                  <c:v>4.8280420696554494</c:v>
                </c:pt>
                <c:pt idx="4">
                  <c:v>7.0555986163794984</c:v>
                </c:pt>
                <c:pt idx="5">
                  <c:v>10.31533795439733</c:v>
                </c:pt>
                <c:pt idx="6">
                  <c:v>15.087462067497738</c:v>
                </c:pt>
                <c:pt idx="7">
                  <c:v>22.076404249918891</c:v>
                </c:pt>
                <c:pt idx="8">
                  <c:v>32.315889381594552</c:v>
                </c:pt>
                <c:pt idx="9">
                  <c:v>47.323370448485711</c:v>
                </c:pt>
                <c:pt idx="10">
                  <c:v>69.327111856198599</c:v>
                </c:pt>
                <c:pt idx="11">
                  <c:v>93.204049651801071</c:v>
                </c:pt>
                <c:pt idx="12">
                  <c:v>116.92708380106416</c:v>
                </c:pt>
                <c:pt idx="13">
                  <c:v>140.53207608209667</c:v>
                </c:pt>
                <c:pt idx="14">
                  <c:v>164.04172087831677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228.73672473315901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291.44362414058196</c:v>
                </c:pt>
                <c:pt idx="28">
                  <c:v>316.40922168115691</c:v>
                </c:pt>
                <c:pt idx="29">
                  <c:v>341.33118577652459</c:v>
                </c:pt>
                <c:pt idx="30">
                  <c:v>366.21314777307674</c:v>
                </c:pt>
                <c:pt idx="31">
                  <c:v>390.65906037894001</c:v>
                </c:pt>
                <c:pt idx="32">
                  <c:v>415.07179480856411</c:v>
                </c:pt>
                <c:pt idx="33">
                  <c:v>355.85420069797254</c:v>
                </c:pt>
                <c:pt idx="34">
                  <c:v>378.84717412843514</c:v>
                </c:pt>
                <c:pt idx="35">
                  <c:v>401.80978837075327</c:v>
                </c:pt>
                <c:pt idx="36">
                  <c:v>424.74402100690992</c:v>
                </c:pt>
                <c:pt idx="37">
                  <c:v>447.71021690318361</c:v>
                </c:pt>
                <c:pt idx="38">
                  <c:v>470.65120657286815</c:v>
                </c:pt>
                <c:pt idx="39">
                  <c:v>493.56839034547392</c:v>
                </c:pt>
                <c:pt idx="40">
                  <c:v>516.46302801285549</c:v>
                </c:pt>
                <c:pt idx="41">
                  <c:v>418.2781472117818</c:v>
                </c:pt>
                <c:pt idx="42">
                  <c:v>437.67140590849743</c:v>
                </c:pt>
                <c:pt idx="43">
                  <c:v>457.04623689370709</c:v>
                </c:pt>
                <c:pt idx="44">
                  <c:v>476.40353078315326</c:v>
                </c:pt>
                <c:pt idx="45">
                  <c:v>495.74409995793212</c:v>
                </c:pt>
                <c:pt idx="46">
                  <c:v>514.90510130931455</c:v>
                </c:pt>
                <c:pt idx="47">
                  <c:v>534.05105795376937</c:v>
                </c:pt>
                <c:pt idx="48">
                  <c:v>553.18258477172742</c:v>
                </c:pt>
                <c:pt idx="49">
                  <c:v>463.16225665339226</c:v>
                </c:pt>
                <c:pt idx="50">
                  <c:v>479.49319639668943</c:v>
                </c:pt>
                <c:pt idx="51">
                  <c:v>495.81231601956182</c:v>
                </c:pt>
                <c:pt idx="52">
                  <c:v>512.12005917470981</c:v>
                </c:pt>
                <c:pt idx="53">
                  <c:v>528.41683896890106</c:v>
                </c:pt>
                <c:pt idx="54">
                  <c:v>544.70304096270831</c:v>
                </c:pt>
                <c:pt idx="55">
                  <c:v>560.77976859502053</c:v>
                </c:pt>
                <c:pt idx="56">
                  <c:v>576.84685368758062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578.21237779735463</c:v>
                </c:pt>
                <c:pt idx="82">
                  <c:v>585.47186020306481</c:v>
                </c:pt>
                <c:pt idx="83">
                  <c:v>592.72946715943488</c:v>
                </c:pt>
                <c:pt idx="84">
                  <c:v>599.98522487238938</c:v>
                </c:pt>
                <c:pt idx="85">
                  <c:v>607.23915886223881</c:v>
                </c:pt>
                <c:pt idx="86">
                  <c:v>614.49129398976959</c:v>
                </c:pt>
                <c:pt idx="87">
                  <c:v>621.74165448104009</c:v>
                </c:pt>
                <c:pt idx="88">
                  <c:v>628.99026395095916</c:v>
                </c:pt>
                <c:pt idx="89">
                  <c:v>636.23714542572145</c:v>
                </c:pt>
                <c:pt idx="90">
                  <c:v>643.48232136416686</c:v>
                </c:pt>
                <c:pt idx="91">
                  <c:v>595.97569108759797</c:v>
                </c:pt>
                <c:pt idx="92">
                  <c:v>601.89433065861726</c:v>
                </c:pt>
                <c:pt idx="93">
                  <c:v>607.81176092714156</c:v>
                </c:pt>
                <c:pt idx="94">
                  <c:v>613.72799533010232</c:v>
                </c:pt>
                <c:pt idx="95">
                  <c:v>619.64304702417814</c:v>
                </c:pt>
                <c:pt idx="96">
                  <c:v>625.55692889431987</c:v>
                </c:pt>
                <c:pt idx="97">
                  <c:v>631.46965356193266</c:v>
                </c:pt>
                <c:pt idx="98">
                  <c:v>637.38123339273909</c:v>
                </c:pt>
                <c:pt idx="99">
                  <c:v>643.29168050433293</c:v>
                </c:pt>
                <c:pt idx="100">
                  <c:v>649.2010067734426</c:v>
                </c:pt>
                <c:pt idx="101">
                  <c:v>602.65793771360916</c:v>
                </c:pt>
                <c:pt idx="102">
                  <c:v>607.62089481714247</c:v>
                </c:pt>
                <c:pt idx="103">
                  <c:v>612.58301041135417</c:v>
                </c:pt>
                <c:pt idx="104">
                  <c:v>617.54429227660512</c:v>
                </c:pt>
                <c:pt idx="105">
                  <c:v>622.50474805800457</c:v>
                </c:pt>
                <c:pt idx="106">
                  <c:v>627.46438526884492</c:v>
                </c:pt>
                <c:pt idx="107">
                  <c:v>632.42321129392087</c:v>
                </c:pt>
                <c:pt idx="108">
                  <c:v>637.38123339273955</c:v>
                </c:pt>
                <c:pt idx="109">
                  <c:v>642.33845870262564</c:v>
                </c:pt>
                <c:pt idx="110">
                  <c:v>647.29489424172573</c:v>
                </c:pt>
                <c:pt idx="111">
                  <c:v>603.61241826374328</c:v>
                </c:pt>
                <c:pt idx="112">
                  <c:v>607.62089481714304</c:v>
                </c:pt>
                <c:pt idx="113">
                  <c:v>611.62882240036845</c:v>
                </c:pt>
                <c:pt idx="114">
                  <c:v>615.6362051198513</c:v>
                </c:pt>
                <c:pt idx="115">
                  <c:v>619.64304702417905</c:v>
                </c:pt>
                <c:pt idx="116">
                  <c:v>623.64935210528586</c:v>
                </c:pt>
                <c:pt idx="117">
                  <c:v>627.65512429961393</c:v>
                </c:pt>
                <c:pt idx="118">
                  <c:v>631.66036748924091</c:v>
                </c:pt>
                <c:pt idx="119">
                  <c:v>635.66508550297794</c:v>
                </c:pt>
                <c:pt idx="120">
                  <c:v>639.66928211744062</c:v>
                </c:pt>
                <c:pt idx="121">
                  <c:v>599.41246853026712</c:v>
                </c:pt>
                <c:pt idx="122">
                  <c:v>603.03973370008475</c:v>
                </c:pt>
                <c:pt idx="123">
                  <c:v>606.66654558591927</c:v>
                </c:pt>
                <c:pt idx="124">
                  <c:v>610.29290728129433</c:v>
                </c:pt>
                <c:pt idx="125">
                  <c:v>613.91882183995267</c:v>
                </c:pt>
                <c:pt idx="126">
                  <c:v>617.54429227660546</c:v>
                </c:pt>
                <c:pt idx="127">
                  <c:v>621.16932156766291</c:v>
                </c:pt>
                <c:pt idx="128">
                  <c:v>624.79391265194488</c:v>
                </c:pt>
                <c:pt idx="129">
                  <c:v>628.41806843137726</c:v>
                </c:pt>
                <c:pt idx="130">
                  <c:v>632.04179177167009</c:v>
                </c:pt>
                <c:pt idx="131">
                  <c:v>593.49331776439988</c:v>
                </c:pt>
                <c:pt idx="132">
                  <c:v>596.93039273337911</c:v>
                </c:pt>
                <c:pt idx="133">
                  <c:v>600.36705611839989</c:v>
                </c:pt>
                <c:pt idx="134">
                  <c:v>603.80331060916296</c:v>
                </c:pt>
                <c:pt idx="135">
                  <c:v>607.23915886223983</c:v>
                </c:pt>
                <c:pt idx="136">
                  <c:v>610.67460350167278</c:v>
                </c:pt>
                <c:pt idx="137">
                  <c:v>614.10964711955592</c:v>
                </c:pt>
                <c:pt idx="138">
                  <c:v>617.54429227660546</c:v>
                </c:pt>
                <c:pt idx="139">
                  <c:v>620.9785415027161</c:v>
                </c:pt>
                <c:pt idx="140">
                  <c:v>624.41239729750362</c:v>
                </c:pt>
                <c:pt idx="141">
                  <c:v>589.29188544145279</c:v>
                </c:pt>
                <c:pt idx="142">
                  <c:v>592.34753417523757</c:v>
                </c:pt>
                <c:pt idx="143">
                  <c:v>595.40285483221203</c:v>
                </c:pt>
                <c:pt idx="144">
                  <c:v>598.45784933445736</c:v>
                </c:pt>
                <c:pt idx="145">
                  <c:v>601.51251958281853</c:v>
                </c:pt>
                <c:pt idx="146">
                  <c:v>604.56686745724858</c:v>
                </c:pt>
                <c:pt idx="147">
                  <c:v>607.62089481714338</c:v>
                </c:pt>
                <c:pt idx="148">
                  <c:v>610.67460350167323</c:v>
                </c:pt>
                <c:pt idx="149">
                  <c:v>613.72799533010345</c:v>
                </c:pt>
                <c:pt idx="150">
                  <c:v>616.78107210211078</c:v>
                </c:pt>
                <c:pt idx="151">
                  <c:v>1.8280245341344636E-11</c:v>
                </c:pt>
                <c:pt idx="152">
                  <c:v>1.8280245341344636E-11</c:v>
                </c:pt>
                <c:pt idx="153">
                  <c:v>1.8280245341344636E-11</c:v>
                </c:pt>
                <c:pt idx="154">
                  <c:v>1.8280245341344636E-11</c:v>
                </c:pt>
                <c:pt idx="155">
                  <c:v>1.8280245341344636E-11</c:v>
                </c:pt>
                <c:pt idx="156">
                  <c:v>1.8280245341344636E-11</c:v>
                </c:pt>
                <c:pt idx="157">
                  <c:v>1.8280245341344636E-11</c:v>
                </c:pt>
                <c:pt idx="158">
                  <c:v>1.8280245341344636E-11</c:v>
                </c:pt>
                <c:pt idx="159">
                  <c:v>1.8280245341344636E-11</c:v>
                </c:pt>
                <c:pt idx="160">
                  <c:v>1.8280245341344636E-11</c:v>
                </c:pt>
                <c:pt idx="161">
                  <c:v>1.8280245341344636E-11</c:v>
                </c:pt>
                <c:pt idx="162">
                  <c:v>1.8280245341344636E-11</c:v>
                </c:pt>
                <c:pt idx="163">
                  <c:v>1.8280245341344636E-11</c:v>
                </c:pt>
                <c:pt idx="164">
                  <c:v>1.8280245341344636E-11</c:v>
                </c:pt>
                <c:pt idx="165">
                  <c:v>1.8280245341344636E-11</c:v>
                </c:pt>
                <c:pt idx="166">
                  <c:v>1.8280245341344636E-11</c:v>
                </c:pt>
                <c:pt idx="167">
                  <c:v>1.8280245341344636E-11</c:v>
                </c:pt>
                <c:pt idx="168">
                  <c:v>1.8280245341344636E-11</c:v>
                </c:pt>
                <c:pt idx="169">
                  <c:v>1.8280245341344636E-11</c:v>
                </c:pt>
                <c:pt idx="170">
                  <c:v>1.8280245341344636E-11</c:v>
                </c:pt>
                <c:pt idx="171">
                  <c:v>1.8280245341344636E-11</c:v>
                </c:pt>
                <c:pt idx="172">
                  <c:v>1.8280245341344636E-11</c:v>
                </c:pt>
                <c:pt idx="173">
                  <c:v>1.8280245341344636E-11</c:v>
                </c:pt>
                <c:pt idx="174">
                  <c:v>1.8280245341344636E-11</c:v>
                </c:pt>
                <c:pt idx="175">
                  <c:v>1.8280245341344636E-11</c:v>
                </c:pt>
                <c:pt idx="176">
                  <c:v>1.8280245341344636E-11</c:v>
                </c:pt>
                <c:pt idx="177">
                  <c:v>1.8280245341344636E-11</c:v>
                </c:pt>
                <c:pt idx="178">
                  <c:v>1.8280245341344636E-11</c:v>
                </c:pt>
                <c:pt idx="179">
                  <c:v>1.8280245341344636E-11</c:v>
                </c:pt>
                <c:pt idx="180">
                  <c:v>1.8280245341344636E-11</c:v>
                </c:pt>
                <c:pt idx="181">
                  <c:v>1.8280245341344636E-11</c:v>
                </c:pt>
                <c:pt idx="182">
                  <c:v>1.8280245341344636E-11</c:v>
                </c:pt>
                <c:pt idx="183">
                  <c:v>1.8280245341344636E-11</c:v>
                </c:pt>
                <c:pt idx="184">
                  <c:v>1.8280245341344636E-11</c:v>
                </c:pt>
                <c:pt idx="185">
                  <c:v>1.8280245341344636E-11</c:v>
                </c:pt>
                <c:pt idx="186">
                  <c:v>1.8280245341344636E-11</c:v>
                </c:pt>
                <c:pt idx="187">
                  <c:v>1.8280245341344636E-11</c:v>
                </c:pt>
                <c:pt idx="188">
                  <c:v>1.8280245341344636E-11</c:v>
                </c:pt>
                <c:pt idx="189">
                  <c:v>1.8280245341344636E-11</c:v>
                </c:pt>
                <c:pt idx="190">
                  <c:v>1.8280245341344636E-11</c:v>
                </c:pt>
                <c:pt idx="191">
                  <c:v>1.8280245341344636E-11</c:v>
                </c:pt>
                <c:pt idx="192">
                  <c:v>1.8280245341344636E-11</c:v>
                </c:pt>
                <c:pt idx="193">
                  <c:v>1.8280245341344636E-11</c:v>
                </c:pt>
                <c:pt idx="194">
                  <c:v>1.8280245341344636E-11</c:v>
                </c:pt>
                <c:pt idx="195">
                  <c:v>1.8280245341344636E-11</c:v>
                </c:pt>
                <c:pt idx="196">
                  <c:v>1.8280245341344636E-11</c:v>
                </c:pt>
                <c:pt idx="197">
                  <c:v>1.8280245341344636E-11</c:v>
                </c:pt>
                <c:pt idx="198">
                  <c:v>1.8280245341344636E-11</c:v>
                </c:pt>
                <c:pt idx="199">
                  <c:v>1.8280245341344636E-11</c:v>
                </c:pt>
                <c:pt idx="200">
                  <c:v>1.8280245341344636E-11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2.0167076568044338</c:v>
                </c:pt>
                <c:pt idx="2">
                  <c:v>2.6226677194045069</c:v>
                </c:pt>
                <c:pt idx="3">
                  <c:v>3.4114424335686557</c:v>
                </c:pt>
                <c:pt idx="4">
                  <c:v>4.438397050085193</c:v>
                </c:pt>
                <c:pt idx="5">
                  <c:v>5.7757239763457333</c:v>
                </c:pt>
                <c:pt idx="6">
                  <c:v>7.5175739491929692</c:v>
                </c:pt>
                <c:pt idx="7">
                  <c:v>9.786756630854283</c:v>
                </c:pt>
                <c:pt idx="8">
                  <c:v>12.743491985577675</c:v>
                </c:pt>
                <c:pt idx="9">
                  <c:v>16.596841804437762</c:v>
                </c:pt>
                <c:pt idx="10">
                  <c:v>21.619644370227132</c:v>
                </c:pt>
                <c:pt idx="11">
                  <c:v>28.168028580079078</c:v>
                </c:pt>
                <c:pt idx="12">
                  <c:v>36.706915315433839</c:v>
                </c:pt>
                <c:pt idx="13">
                  <c:v>47.843347620996155</c:v>
                </c:pt>
                <c:pt idx="14">
                  <c:v>62.370058958944064</c:v>
                </c:pt>
                <c:pt idx="15">
                  <c:v>81.322431872226531</c:v>
                </c:pt>
                <c:pt idx="16">
                  <c:v>103.74347865389876</c:v>
                </c:pt>
                <c:pt idx="17">
                  <c:v>126.04420374404106</c:v>
                </c:pt>
                <c:pt idx="18">
                  <c:v>148.24899529439116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314.04731362761032</c:v>
                </c:pt>
                <c:pt idx="39">
                  <c:v>333.27093127599187</c:v>
                </c:pt>
                <c:pt idx="40">
                  <c:v>352.47011616693709</c:v>
                </c:pt>
                <c:pt idx="41">
                  <c:v>371.6463858336017</c:v>
                </c:pt>
                <c:pt idx="42">
                  <c:v>391.55626731103797</c:v>
                </c:pt>
                <c:pt idx="43">
                  <c:v>411.44419660187873</c:v>
                </c:pt>
                <c:pt idx="44">
                  <c:v>431.31138347102888</c:v>
                </c:pt>
                <c:pt idx="45">
                  <c:v>451.15891720001287</c:v>
                </c:pt>
                <c:pt idx="46">
                  <c:v>470.98778346710804</c:v>
                </c:pt>
                <c:pt idx="47">
                  <c:v>396.11654522334635</c:v>
                </c:pt>
                <c:pt idx="48">
                  <c:v>413.46254867900205</c:v>
                </c:pt>
                <c:pt idx="49">
                  <c:v>430.79285746668774</c:v>
                </c:pt>
                <c:pt idx="50">
                  <c:v>448.10819157614281</c:v>
                </c:pt>
                <c:pt idx="51">
                  <c:v>465.7499339322967</c:v>
                </c:pt>
                <c:pt idx="52">
                  <c:v>483.37743452647732</c:v>
                </c:pt>
                <c:pt idx="53">
                  <c:v>500.99128555260387</c:v>
                </c:pt>
                <c:pt idx="54">
                  <c:v>518.59203419053381</c:v>
                </c:pt>
                <c:pt idx="55">
                  <c:v>536.18018747064286</c:v>
                </c:pt>
                <c:pt idx="56">
                  <c:v>553.75621646716343</c:v>
                </c:pt>
                <c:pt idx="57">
                  <c:v>493.16473692954213</c:v>
                </c:pt>
                <c:pt idx="58">
                  <c:v>508.63018978749869</c:v>
                </c:pt>
                <c:pt idx="59">
                  <c:v>524.08570796602419</c:v>
                </c:pt>
                <c:pt idx="60">
                  <c:v>539.25044498459079</c:v>
                </c:pt>
                <c:pt idx="61">
                  <c:v>554.40622474279678</c:v>
                </c:pt>
                <c:pt idx="62">
                  <c:v>569.55332648133401</c:v>
                </c:pt>
                <c:pt idx="63">
                  <c:v>584.69201338445407</c:v>
                </c:pt>
                <c:pt idx="64">
                  <c:v>599.82253390364122</c:v>
                </c:pt>
                <c:pt idx="65">
                  <c:v>614.94512294085098</c:v>
                </c:pt>
                <c:pt idx="66">
                  <c:v>630.06000290936356</c:v>
                </c:pt>
                <c:pt idx="67">
                  <c:v>556.70195963944889</c:v>
                </c:pt>
                <c:pt idx="68">
                  <c:v>569.36593148527925</c:v>
                </c:pt>
                <c:pt idx="69">
                  <c:v>581.94267782966506</c:v>
                </c:pt>
                <c:pt idx="70">
                  <c:v>594.51375834194869</c:v>
                </c:pt>
                <c:pt idx="71">
                  <c:v>607.07930967022855</c:v>
                </c:pt>
                <c:pt idx="72">
                  <c:v>619.63946234657328</c:v>
                </c:pt>
                <c:pt idx="73">
                  <c:v>632.19434118177946</c:v>
                </c:pt>
                <c:pt idx="74">
                  <c:v>644.74406562715694</c:v>
                </c:pt>
                <c:pt idx="75">
                  <c:v>657.28875010669174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3.2461506278677086</c:v>
                </c:pt>
                <c:pt idx="2">
                  <c:v>4.0871860337468133</c:v>
                </c:pt>
                <c:pt idx="3">
                  <c:v>5.1469636223544724</c:v>
                </c:pt>
                <c:pt idx="4">
                  <c:v>6.4825811760075345</c:v>
                </c:pt>
                <c:pt idx="5">
                  <c:v>8.1660907766238822</c:v>
                </c:pt>
                <c:pt idx="6">
                  <c:v>10.288427634690128</c:v>
                </c:pt>
                <c:pt idx="7">
                  <c:v>12.964374062746495</c:v>
                </c:pt>
                <c:pt idx="8">
                  <c:v>16.338832040057081</c:v>
                </c:pt>
                <c:pt idx="9">
                  <c:v>20.594750221187006</c:v>
                </c:pt>
                <c:pt idx="10">
                  <c:v>25.963142860893146</c:v>
                </c:pt>
                <c:pt idx="11">
                  <c:v>32.735754069439515</c:v>
                </c:pt>
                <c:pt idx="12">
                  <c:v>41.281067545103369</c:v>
                </c:pt>
                <c:pt idx="13">
                  <c:v>52.064547646636811</c:v>
                </c:pt>
                <c:pt idx="14">
                  <c:v>65.674232743515759</c:v>
                </c:pt>
                <c:pt idx="15">
                  <c:v>82.853099357733484</c:v>
                </c:pt>
                <c:pt idx="16">
                  <c:v>98.492145142414884</c:v>
                </c:pt>
                <c:pt idx="17">
                  <c:v>114.06939797149329</c:v>
                </c:pt>
                <c:pt idx="18">
                  <c:v>129.59450566158588</c:v>
                </c:pt>
                <c:pt idx="19">
                  <c:v>145.07460486529598</c:v>
                </c:pt>
                <c:pt idx="20">
                  <c:v>160.51517972277688</c:v>
                </c:pt>
                <c:pt idx="21">
                  <c:v>137.56094374749907</c:v>
                </c:pt>
                <c:pt idx="22">
                  <c:v>154.34339366624837</c:v>
                </c:pt>
                <c:pt idx="23">
                  <c:v>171.0824408102084</c:v>
                </c:pt>
                <c:pt idx="24">
                  <c:v>187.78293231583086</c:v>
                </c:pt>
                <c:pt idx="25">
                  <c:v>204.44878122951911</c:v>
                </c:pt>
                <c:pt idx="26">
                  <c:v>182.9523003061253</c:v>
                </c:pt>
                <c:pt idx="27">
                  <c:v>200.94289182717037</c:v>
                </c:pt>
                <c:pt idx="28">
                  <c:v>218.89616376079505</c:v>
                </c:pt>
                <c:pt idx="29">
                  <c:v>236.81560804160597</c:v>
                </c:pt>
                <c:pt idx="30">
                  <c:v>254.70414456356775</c:v>
                </c:pt>
                <c:pt idx="31">
                  <c:v>227.64138943591354</c:v>
                </c:pt>
                <c:pt idx="32">
                  <c:v>246.4180109567441</c:v>
                </c:pt>
                <c:pt idx="33">
                  <c:v>265.16214708442078</c:v>
                </c:pt>
                <c:pt idx="34">
                  <c:v>283.87641689700007</c:v>
                </c:pt>
                <c:pt idx="35">
                  <c:v>302.56306586704619</c:v>
                </c:pt>
                <c:pt idx="36">
                  <c:v>271.69365108627807</c:v>
                </c:pt>
                <c:pt idx="37">
                  <c:v>290.8327054448626</c:v>
                </c:pt>
                <c:pt idx="38">
                  <c:v>309.94362938891322</c:v>
                </c:pt>
                <c:pt idx="39">
                  <c:v>329.0284008739373</c:v>
                </c:pt>
                <c:pt idx="40">
                  <c:v>348.08874968614629</c:v>
                </c:pt>
                <c:pt idx="41">
                  <c:v>312.98154497816967</c:v>
                </c:pt>
                <c:pt idx="42">
                  <c:v>332.06232108561721</c:v>
                </c:pt>
                <c:pt idx="43">
                  <c:v>351.11892985232788</c:v>
                </c:pt>
                <c:pt idx="44">
                  <c:v>370.15286693478976</c:v>
                </c:pt>
                <c:pt idx="45">
                  <c:v>389.16546165993623</c:v>
                </c:pt>
                <c:pt idx="46">
                  <c:v>351.98459003420868</c:v>
                </c:pt>
                <c:pt idx="47">
                  <c:v>371.01752931950119</c:v>
                </c:pt>
                <c:pt idx="48">
                  <c:v>390.02918316043605</c:v>
                </c:pt>
                <c:pt idx="49">
                  <c:v>409.02073458605992</c:v>
                </c:pt>
                <c:pt idx="50">
                  <c:v>427.99324784653004</c:v>
                </c:pt>
                <c:pt idx="51">
                  <c:v>388.30169854049694</c:v>
                </c:pt>
                <c:pt idx="52">
                  <c:v>406.86358147421237</c:v>
                </c:pt>
                <c:pt idx="53">
                  <c:v>425.40717182534809</c:v>
                </c:pt>
                <c:pt idx="54">
                  <c:v>443.9333787816492</c:v>
                </c:pt>
                <c:pt idx="55">
                  <c:v>462.44302949249595</c:v>
                </c:pt>
                <c:pt idx="56">
                  <c:v>421.95854377334416</c:v>
                </c:pt>
                <c:pt idx="57">
                  <c:v>439.62646509307001</c:v>
                </c:pt>
                <c:pt idx="58">
                  <c:v>457.27916621968103</c:v>
                </c:pt>
                <c:pt idx="59">
                  <c:v>474.91731712823895</c:v>
                </c:pt>
                <c:pt idx="60">
                  <c:v>492.54153399430999</c:v>
                </c:pt>
                <c:pt idx="61">
                  <c:v>452.11405687747146</c:v>
                </c:pt>
                <c:pt idx="62">
                  <c:v>469.75640033198789</c:v>
                </c:pt>
                <c:pt idx="63">
                  <c:v>487.38463458913134</c:v>
                </c:pt>
                <c:pt idx="64">
                  <c:v>504.99934152830889</c:v>
                </c:pt>
                <c:pt idx="65">
                  <c:v>522.6010591481828</c:v>
                </c:pt>
                <c:pt idx="66">
                  <c:v>480.93687952615483</c:v>
                </c:pt>
                <c:pt idx="67">
                  <c:v>497.26768589837212</c:v>
                </c:pt>
                <c:pt idx="68">
                  <c:v>513.58713617235423</c:v>
                </c:pt>
                <c:pt idx="69">
                  <c:v>529.89564183119762</c:v>
                </c:pt>
                <c:pt idx="70">
                  <c:v>546.19358697705911</c:v>
                </c:pt>
                <c:pt idx="71">
                  <c:v>506.71714576007952</c:v>
                </c:pt>
                <c:pt idx="72">
                  <c:v>523.03021134444577</c:v>
                </c:pt>
                <c:pt idx="73">
                  <c:v>539.33255785122003</c:v>
                </c:pt>
                <c:pt idx="74">
                  <c:v>555.62455474096146</c:v>
                </c:pt>
                <c:pt idx="75">
                  <c:v>571.90654805285931</c:v>
                </c:pt>
                <c:pt idx="76">
                  <c:v>531.18270081556818</c:v>
                </c:pt>
                <c:pt idx="77">
                  <c:v>546.193586977059</c:v>
                </c:pt>
                <c:pt idx="78">
                  <c:v>561.19581932256767</c:v>
                </c:pt>
                <c:pt idx="79">
                  <c:v>576.189661669972</c:v>
                </c:pt>
                <c:pt idx="80">
                  <c:v>591.17536299398319</c:v>
                </c:pt>
                <c:pt idx="81">
                  <c:v>552.19550325198736</c:v>
                </c:pt>
                <c:pt idx="82">
                  <c:v>566.76592657380638</c:v>
                </c:pt>
                <c:pt idx="83">
                  <c:v>581.32852138014994</c:v>
                </c:pt>
                <c:pt idx="84">
                  <c:v>595.88351131434922</c:v>
                </c:pt>
                <c:pt idx="85">
                  <c:v>610.43110820893173</c:v>
                </c:pt>
                <c:pt idx="86">
                  <c:v>572.33488947790306</c:v>
                </c:pt>
                <c:pt idx="87">
                  <c:v>585.61018050264602</c:v>
                </c:pt>
                <c:pt idx="88">
                  <c:v>598.87920239707967</c:v>
                </c:pt>
                <c:pt idx="89">
                  <c:v>612.14211357944725</c:v>
                </c:pt>
                <c:pt idx="90">
                  <c:v>625.39906504645455</c:v>
                </c:pt>
                <c:pt idx="91">
                  <c:v>583.89759543430648</c:v>
                </c:pt>
                <c:pt idx="92">
                  <c:v>591.6034086352571</c:v>
                </c:pt>
                <c:pt idx="93">
                  <c:v>599.30713279218264</c:v>
                </c:pt>
                <c:pt idx="94">
                  <c:v>607.00879854794766</c:v>
                </c:pt>
                <c:pt idx="95">
                  <c:v>614.70843570434783</c:v>
                </c:pt>
                <c:pt idx="96">
                  <c:v>622.40607325566873</c:v>
                </c:pt>
                <c:pt idx="97">
                  <c:v>630.10173942049812</c:v>
                </c:pt>
                <c:pt idx="98">
                  <c:v>637.79546167190335</c:v>
                </c:pt>
                <c:pt idx="99">
                  <c:v>645.48726676607748</c:v>
                </c:pt>
                <c:pt idx="100">
                  <c:v>653.17718076954884</c:v>
                </c:pt>
                <c:pt idx="101">
                  <c:v>615.34998147985232</c:v>
                </c:pt>
                <c:pt idx="102">
                  <c:v>622.40607325566884</c:v>
                </c:pt>
                <c:pt idx="103">
                  <c:v>629.46050852756161</c:v>
                </c:pt>
                <c:pt idx="104">
                  <c:v>636.51330847982479</c:v>
                </c:pt>
                <c:pt idx="105">
                  <c:v>643.56449378897287</c:v>
                </c:pt>
                <c:pt idx="106">
                  <c:v>650.61408464146155</c:v>
                </c:pt>
                <c:pt idx="107">
                  <c:v>657.6621007506036</c:v>
                </c:pt>
                <c:pt idx="108">
                  <c:v>664.70856137271812</c:v>
                </c:pt>
                <c:pt idx="109">
                  <c:v>671.75348532256248</c:v>
                </c:pt>
                <c:pt idx="110">
                  <c:v>678.79689098808205</c:v>
                </c:pt>
                <c:pt idx="111">
                  <c:v>641.85526270661342</c:v>
                </c:pt>
                <c:pt idx="112">
                  <c:v>647.62354258469725</c:v>
                </c:pt>
                <c:pt idx="113">
                  <c:v>653.39076274375418</c:v>
                </c:pt>
                <c:pt idx="114">
                  <c:v>659.1569338581387</c:v>
                </c:pt>
                <c:pt idx="115">
                  <c:v>664.92206640019401</c:v>
                </c:pt>
                <c:pt idx="116">
                  <c:v>670.68617064583157</c:v>
                </c:pt>
                <c:pt idx="117">
                  <c:v>676.44925667990969</c:v>
                </c:pt>
                <c:pt idx="118">
                  <c:v>682.2113344014183</c:v>
                </c:pt>
                <c:pt idx="119">
                  <c:v>687.97241352847914</c:v>
                </c:pt>
                <c:pt idx="120">
                  <c:v>693.73250360317115</c:v>
                </c:pt>
                <c:pt idx="121">
                  <c:v>4.5461092908206203E-12</c:v>
                </c:pt>
                <c:pt idx="122">
                  <c:v>4.5461092908206203E-12</c:v>
                </c:pt>
                <c:pt idx="123">
                  <c:v>4.5461092908206203E-12</c:v>
                </c:pt>
                <c:pt idx="124">
                  <c:v>4.5461092908206203E-12</c:v>
                </c:pt>
                <c:pt idx="125">
                  <c:v>4.5461092908206203E-12</c:v>
                </c:pt>
                <c:pt idx="126">
                  <c:v>4.5461092908206203E-12</c:v>
                </c:pt>
                <c:pt idx="127">
                  <c:v>4.5461092908206203E-12</c:v>
                </c:pt>
                <c:pt idx="128">
                  <c:v>4.5461092908206203E-12</c:v>
                </c:pt>
                <c:pt idx="129">
                  <c:v>4.5461092908206203E-12</c:v>
                </c:pt>
                <c:pt idx="130">
                  <c:v>4.5461092908206203E-12</c:v>
                </c:pt>
                <c:pt idx="131">
                  <c:v>4.5461092908206203E-12</c:v>
                </c:pt>
                <c:pt idx="132">
                  <c:v>4.5461092908206203E-12</c:v>
                </c:pt>
                <c:pt idx="133">
                  <c:v>4.5461092908206203E-12</c:v>
                </c:pt>
                <c:pt idx="134">
                  <c:v>4.5461092908206203E-12</c:v>
                </c:pt>
                <c:pt idx="135">
                  <c:v>4.5461092908206203E-12</c:v>
                </c:pt>
                <c:pt idx="136">
                  <c:v>4.5461092908206203E-12</c:v>
                </c:pt>
                <c:pt idx="137">
                  <c:v>4.5461092908206203E-12</c:v>
                </c:pt>
                <c:pt idx="138">
                  <c:v>4.5461092908206203E-12</c:v>
                </c:pt>
                <c:pt idx="139">
                  <c:v>4.5461092908206203E-12</c:v>
                </c:pt>
                <c:pt idx="140">
                  <c:v>4.5461092908206203E-12</c:v>
                </c:pt>
                <c:pt idx="141">
                  <c:v>4.5461092908206203E-12</c:v>
                </c:pt>
                <c:pt idx="142">
                  <c:v>4.5461092908206203E-12</c:v>
                </c:pt>
                <c:pt idx="143">
                  <c:v>4.5461092908206203E-12</c:v>
                </c:pt>
                <c:pt idx="144">
                  <c:v>4.5461092908206203E-12</c:v>
                </c:pt>
                <c:pt idx="145">
                  <c:v>4.5461092908206203E-12</c:v>
                </c:pt>
                <c:pt idx="146">
                  <c:v>4.5461092908206203E-12</c:v>
                </c:pt>
                <c:pt idx="147">
                  <c:v>4.5461092908206203E-12</c:v>
                </c:pt>
                <c:pt idx="148">
                  <c:v>4.5461092908206203E-12</c:v>
                </c:pt>
                <c:pt idx="149">
                  <c:v>4.5461092908206203E-12</c:v>
                </c:pt>
                <c:pt idx="150">
                  <c:v>4.5461092908206203E-12</c:v>
                </c:pt>
                <c:pt idx="151">
                  <c:v>4.5461092908206203E-12</c:v>
                </c:pt>
                <c:pt idx="152">
                  <c:v>4.5461092908206203E-12</c:v>
                </c:pt>
                <c:pt idx="153">
                  <c:v>4.5461092908206203E-12</c:v>
                </c:pt>
                <c:pt idx="154">
                  <c:v>4.5461092908206203E-12</c:v>
                </c:pt>
                <c:pt idx="155">
                  <c:v>4.5461092908206203E-12</c:v>
                </c:pt>
                <c:pt idx="156">
                  <c:v>4.5461092908206203E-12</c:v>
                </c:pt>
                <c:pt idx="157">
                  <c:v>4.5461092908206203E-12</c:v>
                </c:pt>
                <c:pt idx="158">
                  <c:v>4.5461092908206203E-12</c:v>
                </c:pt>
                <c:pt idx="159">
                  <c:v>4.5461092908206203E-12</c:v>
                </c:pt>
                <c:pt idx="160">
                  <c:v>4.5461092908206203E-12</c:v>
                </c:pt>
                <c:pt idx="161">
                  <c:v>4.5461092908206203E-12</c:v>
                </c:pt>
                <c:pt idx="162">
                  <c:v>4.5461092908206203E-12</c:v>
                </c:pt>
                <c:pt idx="163">
                  <c:v>4.5461092908206203E-12</c:v>
                </c:pt>
                <c:pt idx="164">
                  <c:v>4.5461092908206203E-12</c:v>
                </c:pt>
                <c:pt idx="165">
                  <c:v>4.5461092908206203E-12</c:v>
                </c:pt>
                <c:pt idx="166">
                  <c:v>4.5461092908206203E-12</c:v>
                </c:pt>
                <c:pt idx="167">
                  <c:v>4.5461092908206203E-12</c:v>
                </c:pt>
                <c:pt idx="168">
                  <c:v>4.5461092908206203E-12</c:v>
                </c:pt>
                <c:pt idx="169">
                  <c:v>4.5461092908206203E-12</c:v>
                </c:pt>
                <c:pt idx="170">
                  <c:v>4.5461092908206203E-12</c:v>
                </c:pt>
                <c:pt idx="171">
                  <c:v>4.5461092908206203E-12</c:v>
                </c:pt>
                <c:pt idx="172">
                  <c:v>4.5461092908206203E-12</c:v>
                </c:pt>
                <c:pt idx="173">
                  <c:v>4.5461092908206203E-12</c:v>
                </c:pt>
                <c:pt idx="174">
                  <c:v>4.5461092908206203E-12</c:v>
                </c:pt>
                <c:pt idx="175">
                  <c:v>4.5461092908206203E-12</c:v>
                </c:pt>
                <c:pt idx="176">
                  <c:v>4.5461092908206203E-12</c:v>
                </c:pt>
                <c:pt idx="177">
                  <c:v>4.5461092908206203E-12</c:v>
                </c:pt>
                <c:pt idx="178">
                  <c:v>4.5461092908206203E-12</c:v>
                </c:pt>
                <c:pt idx="179">
                  <c:v>4.5461092908206203E-12</c:v>
                </c:pt>
                <c:pt idx="180">
                  <c:v>4.5461092908206203E-12</c:v>
                </c:pt>
                <c:pt idx="181">
                  <c:v>4.5461092908206203E-12</c:v>
                </c:pt>
                <c:pt idx="182">
                  <c:v>4.5461092908206203E-12</c:v>
                </c:pt>
                <c:pt idx="183">
                  <c:v>4.5461092908206203E-12</c:v>
                </c:pt>
                <c:pt idx="184">
                  <c:v>4.5461092908206203E-12</c:v>
                </c:pt>
                <c:pt idx="185">
                  <c:v>4.5461092908206203E-12</c:v>
                </c:pt>
                <c:pt idx="186">
                  <c:v>4.5461092908206203E-12</c:v>
                </c:pt>
                <c:pt idx="187">
                  <c:v>4.5461092908206203E-12</c:v>
                </c:pt>
                <c:pt idx="188">
                  <c:v>4.5461092908206203E-12</c:v>
                </c:pt>
                <c:pt idx="189">
                  <c:v>4.5461092908206203E-12</c:v>
                </c:pt>
                <c:pt idx="190">
                  <c:v>4.5461092908206203E-12</c:v>
                </c:pt>
                <c:pt idx="191">
                  <c:v>4.5461092908206203E-12</c:v>
                </c:pt>
                <c:pt idx="192">
                  <c:v>4.5461092908206203E-12</c:v>
                </c:pt>
                <c:pt idx="193">
                  <c:v>4.5461092908206203E-12</c:v>
                </c:pt>
                <c:pt idx="194">
                  <c:v>4.5461092908206203E-12</c:v>
                </c:pt>
                <c:pt idx="195">
                  <c:v>4.5461092908206203E-12</c:v>
                </c:pt>
                <c:pt idx="196">
                  <c:v>4.5461092908206203E-12</c:v>
                </c:pt>
                <c:pt idx="197">
                  <c:v>4.5461092908206203E-12</c:v>
                </c:pt>
                <c:pt idx="198">
                  <c:v>4.5461092908206203E-12</c:v>
                </c:pt>
                <c:pt idx="199">
                  <c:v>4.5461092908206203E-12</c:v>
                </c:pt>
                <c:pt idx="200">
                  <c:v>4.5461092908206203E-12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58.082485530805052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456.60380000846527</c:v>
                </c:pt>
                <c:pt idx="97">
                  <c:v>457.71615652908673</c:v>
                </c:pt>
                <c:pt idx="98">
                  <c:v>458.82845530839785</c:v>
                </c:pt>
                <c:pt idx="99">
                  <c:v>459.94069650633179</c:v>
                </c:pt>
                <c:pt idx="100">
                  <c:v>461.05288028198476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157.50460833109042</c:v>
                </c:pt>
                <c:pt idx="22">
                  <c:v>172.3819432826981</c:v>
                </c:pt>
                <c:pt idx="23">
                  <c:v>187.22907852355672</c:v>
                </c:pt>
                <c:pt idx="24">
                  <c:v>202.04874721849876</c:v>
                </c:pt>
                <c:pt idx="25">
                  <c:v>216.84324838446653</c:v>
                </c:pt>
                <c:pt idx="26">
                  <c:v>178.15925645679496</c:v>
                </c:pt>
                <c:pt idx="27">
                  <c:v>197.11175981045631</c:v>
                </c:pt>
                <c:pt idx="28">
                  <c:v>216.02195727183445</c:v>
                </c:pt>
                <c:pt idx="29">
                  <c:v>234.89407374203219</c:v>
                </c:pt>
                <c:pt idx="30">
                  <c:v>253.73159916616927</c:v>
                </c:pt>
                <c:pt idx="31">
                  <c:v>218.48561623496576</c:v>
                </c:pt>
                <c:pt idx="32">
                  <c:v>240.63075098232832</c:v>
                </c:pt>
                <c:pt idx="33">
                  <c:v>262.72949581077319</c:v>
                </c:pt>
                <c:pt idx="34">
                  <c:v>284.78630028501999</c:v>
                </c:pt>
                <c:pt idx="35">
                  <c:v>306.80486817387487</c:v>
                </c:pt>
                <c:pt idx="36">
                  <c:v>272.53746265331614</c:v>
                </c:pt>
                <c:pt idx="37">
                  <c:v>295.39240127979423</c:v>
                </c:pt>
                <c:pt idx="38">
                  <c:v>318.20790325308366</c:v>
                </c:pt>
                <c:pt idx="39">
                  <c:v>340.98719215689346</c:v>
                </c:pt>
                <c:pt idx="40">
                  <c:v>363.73302579033674</c:v>
                </c:pt>
                <c:pt idx="41">
                  <c:v>330.00865771394569</c:v>
                </c:pt>
                <c:pt idx="42">
                  <c:v>353.17646115055004</c:v>
                </c:pt>
                <c:pt idx="43">
                  <c:v>376.31096940375278</c:v>
                </c:pt>
                <c:pt idx="44">
                  <c:v>399.41451566222281</c:v>
                </c:pt>
                <c:pt idx="45">
                  <c:v>422.48914130810203</c:v>
                </c:pt>
                <c:pt idx="46">
                  <c:v>388.06913980682026</c:v>
                </c:pt>
                <c:pt idx="47">
                  <c:v>410.34809118885124</c:v>
                </c:pt>
                <c:pt idx="48">
                  <c:v>432.60093655053015</c:v>
                </c:pt>
                <c:pt idx="49">
                  <c:v>454.82920658695599</c:v>
                </c:pt>
                <c:pt idx="50">
                  <c:v>477.03427027689918</c:v>
                </c:pt>
                <c:pt idx="51">
                  <c:v>441.09091679699787</c:v>
                </c:pt>
                <c:pt idx="52">
                  <c:v>461.69500792288198</c:v>
                </c:pt>
                <c:pt idx="53">
                  <c:v>482.27948576072555</c:v>
                </c:pt>
                <c:pt idx="54">
                  <c:v>502.84530459139</c:v>
                </c:pt>
                <c:pt idx="55">
                  <c:v>523.39333432879232</c:v>
                </c:pt>
                <c:pt idx="56">
                  <c:v>485.9100779318423</c:v>
                </c:pt>
                <c:pt idx="57">
                  <c:v>504.86059041346829</c:v>
                </c:pt>
                <c:pt idx="58">
                  <c:v>523.79606451981545</c:v>
                </c:pt>
                <c:pt idx="59">
                  <c:v>542.71712003460118</c:v>
                </c:pt>
                <c:pt idx="60">
                  <c:v>561.62433003260401</c:v>
                </c:pt>
                <c:pt idx="61">
                  <c:v>522.99059760658679</c:v>
                </c:pt>
                <c:pt idx="62">
                  <c:v>540.70490958838275</c:v>
                </c:pt>
                <c:pt idx="63">
                  <c:v>558.40703591428917</c:v>
                </c:pt>
                <c:pt idx="64">
                  <c:v>576.09741701420523</c:v>
                </c:pt>
                <c:pt idx="65">
                  <c:v>593.77646408241537</c:v>
                </c:pt>
                <c:pt idx="66">
                  <c:v>553.98262212955512</c:v>
                </c:pt>
                <c:pt idx="67">
                  <c:v>570.46990784967431</c:v>
                </c:pt>
                <c:pt idx="68">
                  <c:v>586.94724165778496</c:v>
                </c:pt>
                <c:pt idx="69">
                  <c:v>603.41494210376152</c:v>
                </c:pt>
                <c:pt idx="70">
                  <c:v>619.87330894420177</c:v>
                </c:pt>
                <c:pt idx="71">
                  <c:v>578.91074057866138</c:v>
                </c:pt>
                <c:pt idx="72">
                  <c:v>594.17813194616588</c:v>
                </c:pt>
                <c:pt idx="73">
                  <c:v>609.43736326756471</c:v>
                </c:pt>
                <c:pt idx="74">
                  <c:v>624.68866751882376</c:v>
                </c:pt>
                <c:pt idx="75">
                  <c:v>639.93226537936846</c:v>
                </c:pt>
                <c:pt idx="76">
                  <c:v>598.19450053799278</c:v>
                </c:pt>
                <c:pt idx="77">
                  <c:v>612.64881534392646</c:v>
                </c:pt>
                <c:pt idx="78">
                  <c:v>627.096058227002</c:v>
                </c:pt>
                <c:pt idx="79">
                  <c:v>641.53641497722708</c:v>
                </c:pt>
                <c:pt idx="80">
                  <c:v>655.97006234354421</c:v>
                </c:pt>
                <c:pt idx="81">
                  <c:v>607.43002746232332</c:v>
                </c:pt>
                <c:pt idx="82">
                  <c:v>615.05717512941965</c:v>
                </c:pt>
                <c:pt idx="83">
                  <c:v>622.68236188586945</c:v>
                </c:pt>
                <c:pt idx="84">
                  <c:v>630.30561513176065</c:v>
                </c:pt>
                <c:pt idx="85">
                  <c:v>637.92696155032354</c:v>
                </c:pt>
                <c:pt idx="86">
                  <c:v>645.54642713521264</c:v>
                </c:pt>
                <c:pt idx="87">
                  <c:v>653.16403721642996</c:v>
                </c:pt>
                <c:pt idx="88">
                  <c:v>660.77981648497905</c:v>
                </c:pt>
                <c:pt idx="89">
                  <c:v>668.39378901632199</c:v>
                </c:pt>
                <c:pt idx="90">
                  <c:v>676.00597829271362</c:v>
                </c:pt>
                <c:pt idx="91">
                  <c:v>626.09300205696115</c:v>
                </c:pt>
                <c:pt idx="92">
                  <c:v>632.31141640965518</c:v>
                </c:pt>
                <c:pt idx="93">
                  <c:v>638.52856635382261</c:v>
                </c:pt>
                <c:pt idx="94">
                  <c:v>644.74446593869402</c:v>
                </c:pt>
                <c:pt idx="95">
                  <c:v>650.95912892047807</c:v>
                </c:pt>
                <c:pt idx="96">
                  <c:v>657.17256877127249</c:v>
                </c:pt>
                <c:pt idx="97">
                  <c:v>663.38479868762067</c:v>
                </c:pt>
                <c:pt idx="98">
                  <c:v>669.59583159873125</c:v>
                </c:pt>
                <c:pt idx="99">
                  <c:v>675.80568017437838</c:v>
                </c:pt>
                <c:pt idx="100">
                  <c:v>682.01435683249395</c:v>
                </c:pt>
                <c:pt idx="101">
                  <c:v>633.11370005459332</c:v>
                </c:pt>
                <c:pt idx="102">
                  <c:v>638.32803272102262</c:v>
                </c:pt>
                <c:pt idx="103">
                  <c:v>643.54148553186076</c:v>
                </c:pt>
                <c:pt idx="104">
                  <c:v>648.75406662200669</c:v>
                </c:pt>
                <c:pt idx="105">
                  <c:v>653.96578398494648</c:v>
                </c:pt>
                <c:pt idx="106">
                  <c:v>659.17664547634115</c:v>
                </c:pt>
                <c:pt idx="107">
                  <c:v>664.38665881749921</c:v>
                </c:pt>
                <c:pt idx="108">
                  <c:v>669.59583159873182</c:v>
                </c:pt>
                <c:pt idx="109">
                  <c:v>674.80417128260069</c:v>
                </c:pt>
                <c:pt idx="110">
                  <c:v>680.01168520705846</c:v>
                </c:pt>
                <c:pt idx="111">
                  <c:v>634.11652505400411</c:v>
                </c:pt>
                <c:pt idx="112">
                  <c:v>638.32803272102308</c:v>
                </c:pt>
                <c:pt idx="113">
                  <c:v>642.53896640215191</c:v>
                </c:pt>
                <c:pt idx="114">
                  <c:v>646.7493303909456</c:v>
                </c:pt>
                <c:pt idx="115">
                  <c:v>650.95912892047897</c:v>
                </c:pt>
                <c:pt idx="116">
                  <c:v>655.16836616459352</c:v>
                </c:pt>
                <c:pt idx="117">
                  <c:v>659.37704623910861</c:v>
                </c:pt>
                <c:pt idx="118">
                  <c:v>663.58517320300109</c:v>
                </c:pt>
                <c:pt idx="119">
                  <c:v>667.79275105955696</c:v>
                </c:pt>
                <c:pt idx="120">
                  <c:v>671.99978375748458</c:v>
                </c:pt>
                <c:pt idx="121">
                  <c:v>629.7038490208696</c:v>
                </c:pt>
                <c:pt idx="122">
                  <c:v>633.51483399240954</c:v>
                </c:pt>
                <c:pt idx="123">
                  <c:v>637.3253450245212</c:v>
                </c:pt>
                <c:pt idx="124">
                  <c:v>641.13538535169494</c:v>
                </c:pt>
                <c:pt idx="125">
                  <c:v>644.94495816682786</c:v>
                </c:pt>
                <c:pt idx="126">
                  <c:v>648.75406662200714</c:v>
                </c:pt>
                <c:pt idx="127">
                  <c:v>652.56271382927264</c:v>
                </c:pt>
                <c:pt idx="128">
                  <c:v>656.37090286136242</c:v>
                </c:pt>
                <c:pt idx="129">
                  <c:v>660.17863675243859</c:v>
                </c:pt>
                <c:pt idx="130">
                  <c:v>663.98591849879631</c:v>
                </c:pt>
                <c:pt idx="131">
                  <c:v>623.48490017897393</c:v>
                </c:pt>
                <c:pt idx="132">
                  <c:v>627.09605822700314</c:v>
                </c:pt>
                <c:pt idx="133">
                  <c:v>630.70678593583386</c:v>
                </c:pt>
                <c:pt idx="134">
                  <c:v>634.31708611773149</c:v>
                </c:pt>
                <c:pt idx="135">
                  <c:v>637.92696155032456</c:v>
                </c:pt>
                <c:pt idx="136">
                  <c:v>641.53641497722845</c:v>
                </c:pt>
                <c:pt idx="137">
                  <c:v>645.14544910865436</c:v>
                </c:pt>
                <c:pt idx="138">
                  <c:v>648.75406662200714</c:v>
                </c:pt>
                <c:pt idx="139">
                  <c:v>652.36227016246448</c:v>
                </c:pt>
                <c:pt idx="140">
                  <c:v>655.97006234354569</c:v>
                </c:pt>
                <c:pt idx="141">
                  <c:v>619.07067399707466</c:v>
                </c:pt>
                <c:pt idx="142">
                  <c:v>622.28108470755899</c:v>
                </c:pt>
                <c:pt idx="143">
                  <c:v>625.49115239128344</c:v>
                </c:pt>
                <c:pt idx="144">
                  <c:v>628.70087905791581</c:v>
                </c:pt>
                <c:pt idx="145">
                  <c:v>631.91026669491919</c:v>
                </c:pt>
                <c:pt idx="146">
                  <c:v>635.11931726791306</c:v>
                </c:pt>
                <c:pt idx="147">
                  <c:v>638.32803272102342</c:v>
                </c:pt>
                <c:pt idx="148">
                  <c:v>641.5364149772289</c:v>
                </c:pt>
                <c:pt idx="149">
                  <c:v>644.74446593869527</c:v>
                </c:pt>
                <c:pt idx="150">
                  <c:v>647.95218748710806</c:v>
                </c:pt>
                <c:pt idx="151">
                  <c:v>1.9122070227400184E-11</c:v>
                </c:pt>
                <c:pt idx="152">
                  <c:v>1.9122070227400184E-11</c:v>
                </c:pt>
                <c:pt idx="153">
                  <c:v>1.9122070227400184E-11</c:v>
                </c:pt>
                <c:pt idx="154">
                  <c:v>1.9122070227400184E-11</c:v>
                </c:pt>
                <c:pt idx="155">
                  <c:v>1.9122070227400184E-11</c:v>
                </c:pt>
                <c:pt idx="156">
                  <c:v>1.9122070227400184E-11</c:v>
                </c:pt>
                <c:pt idx="157">
                  <c:v>1.9122070227400184E-11</c:v>
                </c:pt>
                <c:pt idx="158">
                  <c:v>1.9122070227400184E-11</c:v>
                </c:pt>
                <c:pt idx="159">
                  <c:v>1.9122070227400184E-11</c:v>
                </c:pt>
                <c:pt idx="160">
                  <c:v>1.9122070227400184E-11</c:v>
                </c:pt>
                <c:pt idx="161">
                  <c:v>1.9122070227400184E-11</c:v>
                </c:pt>
                <c:pt idx="162">
                  <c:v>1.9122070227400184E-11</c:v>
                </c:pt>
                <c:pt idx="163">
                  <c:v>1.9122070227400184E-11</c:v>
                </c:pt>
                <c:pt idx="164">
                  <c:v>1.9122070227400184E-11</c:v>
                </c:pt>
                <c:pt idx="165">
                  <c:v>1.9122070227400184E-11</c:v>
                </c:pt>
                <c:pt idx="166">
                  <c:v>1.9122070227400184E-11</c:v>
                </c:pt>
                <c:pt idx="167">
                  <c:v>1.9122070227400184E-11</c:v>
                </c:pt>
                <c:pt idx="168">
                  <c:v>1.9122070227400184E-11</c:v>
                </c:pt>
                <c:pt idx="169">
                  <c:v>1.9122070227400184E-11</c:v>
                </c:pt>
                <c:pt idx="170">
                  <c:v>1.9122070227400184E-11</c:v>
                </c:pt>
                <c:pt idx="171">
                  <c:v>1.9122070227400184E-11</c:v>
                </c:pt>
                <c:pt idx="172">
                  <c:v>1.9122070227400184E-11</c:v>
                </c:pt>
                <c:pt idx="173">
                  <c:v>1.9122070227400184E-11</c:v>
                </c:pt>
                <c:pt idx="174">
                  <c:v>1.9122070227400184E-11</c:v>
                </c:pt>
                <c:pt idx="175">
                  <c:v>1.9122070227400184E-11</c:v>
                </c:pt>
                <c:pt idx="176">
                  <c:v>1.9122070227400184E-11</c:v>
                </c:pt>
                <c:pt idx="177">
                  <c:v>1.9122070227400184E-11</c:v>
                </c:pt>
                <c:pt idx="178">
                  <c:v>1.9122070227400184E-11</c:v>
                </c:pt>
                <c:pt idx="179">
                  <c:v>1.9122070227400184E-11</c:v>
                </c:pt>
                <c:pt idx="180">
                  <c:v>1.9122070227400184E-11</c:v>
                </c:pt>
                <c:pt idx="181">
                  <c:v>1.9122070227400184E-11</c:v>
                </c:pt>
                <c:pt idx="182">
                  <c:v>1.9122070227400184E-11</c:v>
                </c:pt>
                <c:pt idx="183">
                  <c:v>1.9122070227400184E-11</c:v>
                </c:pt>
                <c:pt idx="184">
                  <c:v>1.9122070227400184E-11</c:v>
                </c:pt>
                <c:pt idx="185">
                  <c:v>1.9122070227400184E-11</c:v>
                </c:pt>
                <c:pt idx="186">
                  <c:v>1.9122070227400184E-11</c:v>
                </c:pt>
                <c:pt idx="187">
                  <c:v>1.9122070227400184E-11</c:v>
                </c:pt>
                <c:pt idx="188">
                  <c:v>1.9122070227400184E-11</c:v>
                </c:pt>
                <c:pt idx="189">
                  <c:v>1.9122070227400184E-11</c:v>
                </c:pt>
                <c:pt idx="190">
                  <c:v>1.9122070227400184E-11</c:v>
                </c:pt>
                <c:pt idx="191">
                  <c:v>1.9122070227400184E-11</c:v>
                </c:pt>
                <c:pt idx="192">
                  <c:v>1.9122070227400184E-11</c:v>
                </c:pt>
                <c:pt idx="193">
                  <c:v>1.9122070227400184E-11</c:v>
                </c:pt>
                <c:pt idx="194">
                  <c:v>1.9122070227400184E-11</c:v>
                </c:pt>
                <c:pt idx="195">
                  <c:v>1.9122070227400184E-11</c:v>
                </c:pt>
                <c:pt idx="196">
                  <c:v>1.9122070227400184E-11</c:v>
                </c:pt>
                <c:pt idx="197">
                  <c:v>1.9122070227400184E-11</c:v>
                </c:pt>
                <c:pt idx="198">
                  <c:v>1.9122070227400184E-11</c:v>
                </c:pt>
                <c:pt idx="199">
                  <c:v>1.9122070227400184E-11</c:v>
                </c:pt>
                <c:pt idx="200">
                  <c:v>1.9122070227400184E-11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53.349300230420219</c:v>
                </c:pt>
                <c:pt idx="22">
                  <c:v>59.820043288621314</c:v>
                </c:pt>
                <c:pt idx="23">
                  <c:v>66.272536635761469</c:v>
                </c:pt>
                <c:pt idx="24">
                  <c:v>72.708812992429259</c:v>
                </c:pt>
                <c:pt idx="25">
                  <c:v>79.130514295439681</c:v>
                </c:pt>
                <c:pt idx="26">
                  <c:v>86.819205269098731</c:v>
                </c:pt>
                <c:pt idx="27">
                  <c:v>94.490773445625265</c:v>
                </c:pt>
                <c:pt idx="28">
                  <c:v>102.14680795061109</c:v>
                </c:pt>
                <c:pt idx="29">
                  <c:v>109.78863954070187</c:v>
                </c:pt>
                <c:pt idx="30">
                  <c:v>117.41739809202979</c:v>
                </c:pt>
                <c:pt idx="31">
                  <c:v>105.9694243356512</c:v>
                </c:pt>
                <c:pt idx="32">
                  <c:v>113.60458895271091</c:v>
                </c:pt>
                <c:pt idx="33">
                  <c:v>121.22718363614437</c:v>
                </c:pt>
                <c:pt idx="34">
                  <c:v>128.83811164782671</c:v>
                </c:pt>
                <c:pt idx="35">
                  <c:v>136.4381605770578</c:v>
                </c:pt>
                <c:pt idx="36">
                  <c:v>127.99300373621674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161.70140970029561</c:v>
                </c:pt>
                <c:pt idx="41">
                  <c:v>150.76651294924497</c:v>
                </c:pt>
                <c:pt idx="42">
                  <c:v>158.75917749509563</c:v>
                </c:pt>
                <c:pt idx="43">
                  <c:v>166.74230220443391</c:v>
                </c:pt>
                <c:pt idx="44">
                  <c:v>174.71640889684613</c:v>
                </c:pt>
                <c:pt idx="45">
                  <c:v>182.68196779156236</c:v>
                </c:pt>
                <c:pt idx="46">
                  <c:v>171.77959852127819</c:v>
                </c:pt>
                <c:pt idx="47">
                  <c:v>179.74825484800513</c:v>
                </c:pt>
                <c:pt idx="48">
                  <c:v>187.70863707245698</c:v>
                </c:pt>
                <c:pt idx="49">
                  <c:v>195.6611460556276</c:v>
                </c:pt>
                <c:pt idx="50">
                  <c:v>203.60614736350439</c:v>
                </c:pt>
                <c:pt idx="51">
                  <c:v>193.15065517554149</c:v>
                </c:pt>
                <c:pt idx="52">
                  <c:v>201.51606614204607</c:v>
                </c:pt>
                <c:pt idx="53">
                  <c:v>209.87343438827475</c:v>
                </c:pt>
                <c:pt idx="54">
                  <c:v>218.22312573751944</c:v>
                </c:pt>
                <c:pt idx="55">
                  <c:v>226.56547569658809</c:v>
                </c:pt>
                <c:pt idx="56">
                  <c:v>213.63172478455706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237.4000600333236</c:v>
                </c:pt>
                <c:pt idx="60">
                  <c:v>245.31048218883168</c:v>
                </c:pt>
                <c:pt idx="61">
                  <c:v>232.40091885863032</c:v>
                </c:pt>
                <c:pt idx="62">
                  <c:v>240.31511393681538</c:v>
                </c:pt>
                <c:pt idx="63">
                  <c:v>248.22337627734646</c:v>
                </c:pt>
                <c:pt idx="64">
                  <c:v>256.1259217726236</c:v>
                </c:pt>
                <c:pt idx="65">
                  <c:v>264.02295188940849</c:v>
                </c:pt>
                <c:pt idx="66">
                  <c:v>250.71952474895633</c:v>
                </c:pt>
                <c:pt idx="67">
                  <c:v>258.20461441214769</c:v>
                </c:pt>
                <c:pt idx="68">
                  <c:v>265.68479967259981</c:v>
                </c:pt>
                <c:pt idx="69">
                  <c:v>273.16023825041395</c:v>
                </c:pt>
                <c:pt idx="70">
                  <c:v>280.63107851839709</c:v>
                </c:pt>
                <c:pt idx="71">
                  <c:v>266.931031614787</c:v>
                </c:pt>
                <c:pt idx="72">
                  <c:v>273.99055606211817</c:v>
                </c:pt>
                <c:pt idx="73">
                  <c:v>281.04599322042532</c:v>
                </c:pt>
                <c:pt idx="74">
                  <c:v>288.09746029565309</c:v>
                </c:pt>
                <c:pt idx="75">
                  <c:v>295.14506828119102</c:v>
                </c:pt>
                <c:pt idx="76">
                  <c:v>281.46089418692515</c:v>
                </c:pt>
                <c:pt idx="77">
                  <c:v>288.5121312426167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309.64314037802711</c:v>
                </c:pt>
                <c:pt idx="81">
                  <c:v>297.21717518827546</c:v>
                </c:pt>
                <c:pt idx="82">
                  <c:v>303.43157344975288</c:v>
                </c:pt>
                <c:pt idx="83">
                  <c:v>309.64314037802711</c:v>
                </c:pt>
                <c:pt idx="84">
                  <c:v>315.85194085471193</c:v>
                </c:pt>
                <c:pt idx="85">
                  <c:v>322.05803699935797</c:v>
                </c:pt>
                <c:pt idx="86">
                  <c:v>310.05714577566249</c:v>
                </c:pt>
                <c:pt idx="87">
                  <c:v>316.67957526595023</c:v>
                </c:pt>
                <c:pt idx="88">
                  <c:v>323.29893699066059</c:v>
                </c:pt>
                <c:pt idx="89">
                  <c:v>329.91530269151457</c:v>
                </c:pt>
                <c:pt idx="90">
                  <c:v>336.5287409947552</c:v>
                </c:pt>
                <c:pt idx="91">
                  <c:v>322.05803699935785</c:v>
                </c:pt>
                <c:pt idx="92">
                  <c:v>326.19396152047523</c:v>
                </c:pt>
                <c:pt idx="93">
                  <c:v>330.32872765301562</c:v>
                </c:pt>
                <c:pt idx="94">
                  <c:v>334.46235196533485</c:v>
                </c:pt>
                <c:pt idx="95">
                  <c:v>338.59485058221634</c:v>
                </c:pt>
                <c:pt idx="96">
                  <c:v>342.72623920213914</c:v>
                </c:pt>
                <c:pt idx="97">
                  <c:v>346.85653311367014</c:v>
                </c:pt>
                <c:pt idx="98">
                  <c:v>350.98574721103256</c:v>
                </c:pt>
                <c:pt idx="99">
                  <c:v>355.11389600890431</c:v>
                </c:pt>
                <c:pt idx="100">
                  <c:v>359.24099365648931</c:v>
                </c:pt>
                <c:pt idx="101">
                  <c:v>344.79152205649916</c:v>
                </c:pt>
                <c:pt idx="102">
                  <c:v>348.92127422322784</c:v>
                </c:pt>
                <c:pt idx="103">
                  <c:v>353.04995387967386</c:v>
                </c:pt>
                <c:pt idx="104">
                  <c:v>357.17757535606285</c:v>
                </c:pt>
                <c:pt idx="105">
                  <c:v>361.30415262392557</c:v>
                </c:pt>
                <c:pt idx="106">
                  <c:v>365.42969930916382</c:v>
                </c:pt>
                <c:pt idx="107">
                  <c:v>369.55422870449615</c:v>
                </c:pt>
                <c:pt idx="108">
                  <c:v>373.67775378131773</c:v>
                </c:pt>
                <c:pt idx="109">
                  <c:v>377.80028720100796</c:v>
                </c:pt>
                <c:pt idx="110">
                  <c:v>381.92184132571964</c:v>
                </c:pt>
                <c:pt idx="111">
                  <c:v>365.42969930916382</c:v>
                </c:pt>
                <c:pt idx="112">
                  <c:v>369.55422870449615</c:v>
                </c:pt>
                <c:pt idx="113">
                  <c:v>373.67775378131773</c:v>
                </c:pt>
                <c:pt idx="114">
                  <c:v>377.80028720100796</c:v>
                </c:pt>
                <c:pt idx="115">
                  <c:v>381.92184132571964</c:v>
                </c:pt>
                <c:pt idx="116">
                  <c:v>386.04242822867747</c:v>
                </c:pt>
                <c:pt idx="117">
                  <c:v>390.16205970401279</c:v>
                </c:pt>
                <c:pt idx="118">
                  <c:v>394.28074727616109</c:v>
                </c:pt>
                <c:pt idx="119">
                  <c:v>398.39850220884637</c:v>
                </c:pt>
                <c:pt idx="120">
                  <c:v>402.51533551367447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9" dT="2024-11-27T17:08:48.74" personId="{44BC7BF0-8157-4572-8E12-7E0C99523682}" id="{4C91F93A-4850-4663-A3C2-6971670EE070}">
    <text>Toutes les ans à partir de la 6e année pendant la durée du contrat : frais de gardiennage 20€/ha/an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3" zoomScale="80" zoomScaleNormal="80" workbookViewId="0">
      <selection activeCell="A140" sqref="A140:H15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87" t="s">
        <v>190</v>
      </c>
      <c r="D1" s="287"/>
      <c r="E1" s="28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92" t="s">
        <v>192</v>
      </c>
      <c r="C3" s="293"/>
      <c r="D3" s="293"/>
      <c r="E3" s="293"/>
      <c r="F3" s="294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97" t="s">
        <v>231</v>
      </c>
      <c r="B5" s="297"/>
      <c r="C5" s="24">
        <v>8.48</v>
      </c>
      <c r="D5" s="298" t="s">
        <v>229</v>
      </c>
      <c r="E5" s="299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96" t="s">
        <v>226</v>
      </c>
      <c r="B7" s="296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0.53366336633663369</v>
      </c>
      <c r="D9" s="33">
        <f t="shared" ref="D9:D18" si="0">C9*$C$5</f>
        <v>4.5254653465346539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0.15693069306930693</v>
      </c>
      <c r="D10" s="33">
        <f t="shared" si="0"/>
        <v>1.3307722772277228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35</v>
      </c>
      <c r="C11" s="32">
        <v>0.15247524752475247</v>
      </c>
      <c r="D11" s="33">
        <f t="shared" si="0"/>
        <v>1.292990099009901</v>
      </c>
      <c r="E11" s="34">
        <v>76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7.1287128712871281E-2</v>
      </c>
      <c r="D12" s="33">
        <f t="shared" si="0"/>
        <v>0.6045148514851485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13</v>
      </c>
      <c r="C13" s="32">
        <v>3.8118811881188118E-2</v>
      </c>
      <c r="D13" s="33">
        <f t="shared" si="0"/>
        <v>0.32324752475247526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6</v>
      </c>
      <c r="C14" s="32">
        <v>2.3762376237623763E-2</v>
      </c>
      <c r="D14" s="33">
        <f t="shared" si="0"/>
        <v>0.20150495049504952</v>
      </c>
      <c r="E14" s="34">
        <v>150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</v>
      </c>
      <c r="C15" s="32">
        <v>2.3762376237623763E-2</v>
      </c>
      <c r="D15" s="33">
        <f t="shared" si="0"/>
        <v>0.20150495049504952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8.48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95" t="s">
        <v>232</v>
      </c>
      <c r="B22" s="29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96" t="s">
        <v>227</v>
      </c>
      <c r="B30" s="296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90" t="s">
        <v>186</v>
      </c>
      <c r="D34" s="290"/>
      <c r="E34" s="284" t="s">
        <v>187</v>
      </c>
      <c r="F34" s="291"/>
      <c r="G34" s="291"/>
      <c r="H34" s="28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10</v>
      </c>
      <c r="B36" s="258">
        <v>50.823076923076918</v>
      </c>
      <c r="C36" s="258">
        <v>1</v>
      </c>
      <c r="D36" s="259">
        <v>0</v>
      </c>
      <c r="E36" s="260">
        <v>0</v>
      </c>
      <c r="F36" s="260">
        <v>0.2</v>
      </c>
      <c r="G36" s="260">
        <v>0</v>
      </c>
      <c r="H36" s="260">
        <v>0.8</v>
      </c>
      <c r="I36" s="49">
        <f>IFERROR(B36/A36,"")</f>
        <v>5.0823076923076922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15</v>
      </c>
      <c r="B37" s="262">
        <v>141.17692307692306</v>
      </c>
      <c r="C37" s="262">
        <v>2</v>
      </c>
      <c r="D37" s="262">
        <v>49.784615384615385</v>
      </c>
      <c r="E37" s="263">
        <v>0</v>
      </c>
      <c r="F37" s="263">
        <v>0.2</v>
      </c>
      <c r="G37" s="263">
        <v>0</v>
      </c>
      <c r="H37" s="263">
        <v>0.8</v>
      </c>
      <c r="I37" s="53">
        <f t="shared" ref="I37:I55" si="1">IF(A37&lt;&gt;0,(B37-(B36-D36))/(A37-A36),"")</f>
        <v>18.07076923076923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20</v>
      </c>
      <c r="B38" s="262">
        <v>183.7076923076923</v>
      </c>
      <c r="C38" s="262">
        <v>3</v>
      </c>
      <c r="D38" s="262">
        <v>48.723076923076931</v>
      </c>
      <c r="E38" s="263">
        <v>0</v>
      </c>
      <c r="F38" s="263">
        <v>0.2</v>
      </c>
      <c r="G38" s="263">
        <v>0</v>
      </c>
      <c r="H38" s="263">
        <v>0.8</v>
      </c>
      <c r="I38" s="53">
        <f t="shared" si="1"/>
        <v>18.463076923076926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26</v>
      </c>
      <c r="B39" s="262">
        <v>249.41538461538465</v>
      </c>
      <c r="C39" s="262">
        <v>4</v>
      </c>
      <c r="D39" s="262">
        <v>46.984615384615381</v>
      </c>
      <c r="E39" s="263">
        <v>0.1</v>
      </c>
      <c r="F39" s="263">
        <v>0.4</v>
      </c>
      <c r="G39" s="263">
        <v>0</v>
      </c>
      <c r="H39" s="263">
        <v>0.5</v>
      </c>
      <c r="I39" s="49">
        <f t="shared" si="1"/>
        <v>19.071794871794879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30</v>
      </c>
      <c r="B40" s="262">
        <v>280.42307692307691</v>
      </c>
      <c r="C40" s="262">
        <v>5</v>
      </c>
      <c r="D40" s="262">
        <v>0</v>
      </c>
      <c r="E40" s="263">
        <v>0.1</v>
      </c>
      <c r="F40" s="263">
        <v>0.4</v>
      </c>
      <c r="G40" s="263">
        <v>0</v>
      </c>
      <c r="H40" s="263">
        <v>0.5</v>
      </c>
      <c r="I40" s="49">
        <f t="shared" si="1"/>
        <v>19.498076923076908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32</v>
      </c>
      <c r="B41" s="262">
        <v>318.7923076923077</v>
      </c>
      <c r="C41" s="262">
        <v>6</v>
      </c>
      <c r="D41" s="262">
        <v>64.523076923076914</v>
      </c>
      <c r="E41" s="263">
        <v>0.2</v>
      </c>
      <c r="F41" s="263">
        <v>0.5</v>
      </c>
      <c r="G41" s="263">
        <v>0</v>
      </c>
      <c r="H41" s="263">
        <v>0.3</v>
      </c>
      <c r="I41" s="53">
        <f t="shared" si="1"/>
        <v>19.184615384615398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36</v>
      </c>
      <c r="B42" s="262">
        <v>326.39999999999998</v>
      </c>
      <c r="C42" s="262">
        <v>7</v>
      </c>
      <c r="D42" s="262">
        <v>0</v>
      </c>
      <c r="E42" s="263">
        <v>0.2</v>
      </c>
      <c r="F42" s="263">
        <v>0.5</v>
      </c>
      <c r="G42" s="263">
        <v>0</v>
      </c>
      <c r="H42" s="263">
        <v>0.3</v>
      </c>
      <c r="I42" s="53">
        <f t="shared" si="1"/>
        <v>18.032692307692301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40</v>
      </c>
      <c r="B43" s="262">
        <v>398.71538461538466</v>
      </c>
      <c r="C43" s="262">
        <v>8</v>
      </c>
      <c r="D43" s="262">
        <v>92.66153846153847</v>
      </c>
      <c r="E43" s="263">
        <v>0.2</v>
      </c>
      <c r="F43" s="263">
        <v>0.5</v>
      </c>
      <c r="G43" s="263">
        <v>0</v>
      </c>
      <c r="H43" s="263">
        <v>0.3</v>
      </c>
      <c r="I43" s="49">
        <f t="shared" si="1"/>
        <v>18.078846153846172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45</v>
      </c>
      <c r="B44" s="262">
        <v>382.35384615384606</v>
      </c>
      <c r="C44" s="262">
        <v>9</v>
      </c>
      <c r="D44" s="262">
        <v>0</v>
      </c>
      <c r="E44" s="263">
        <v>0.2</v>
      </c>
      <c r="F44" s="263">
        <v>0.5</v>
      </c>
      <c r="G44" s="263">
        <v>0</v>
      </c>
      <c r="H44" s="263">
        <v>0.3</v>
      </c>
      <c r="I44" s="49">
        <f t="shared" si="1"/>
        <v>15.25999999999998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48</v>
      </c>
      <c r="B45" s="262">
        <v>427.74615384615385</v>
      </c>
      <c r="C45" s="262">
        <v>10</v>
      </c>
      <c r="D45" s="262">
        <v>83.969230769230762</v>
      </c>
      <c r="E45" s="263">
        <v>0.2</v>
      </c>
      <c r="F45" s="263">
        <v>0.5</v>
      </c>
      <c r="G45" s="263">
        <v>0</v>
      </c>
      <c r="H45" s="263">
        <v>0.3</v>
      </c>
      <c r="I45" s="49">
        <f t="shared" si="1"/>
        <v>15.130769230769261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54</v>
      </c>
      <c r="B46" s="262">
        <v>421.03846153846155</v>
      </c>
      <c r="C46" s="262">
        <v>11</v>
      </c>
      <c r="D46" s="262">
        <v>0</v>
      </c>
      <c r="E46" s="263">
        <v>0.7</v>
      </c>
      <c r="F46" s="263">
        <v>0.3</v>
      </c>
      <c r="G46" s="263">
        <v>0</v>
      </c>
      <c r="H46" s="263">
        <v>0</v>
      </c>
      <c r="I46" s="49">
        <f t="shared" si="1"/>
        <v>12.876923076923077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56</v>
      </c>
      <c r="B47" s="262">
        <v>446.47692307692301</v>
      </c>
      <c r="C47" s="262">
        <v>12</v>
      </c>
      <c r="D47" s="262">
        <v>446.47692307692301</v>
      </c>
      <c r="E47" s="263">
        <v>0.7</v>
      </c>
      <c r="F47" s="263">
        <v>0.3</v>
      </c>
      <c r="G47" s="263">
        <v>0</v>
      </c>
      <c r="H47" s="263">
        <v>0</v>
      </c>
      <c r="I47" s="49">
        <f t="shared" si="1"/>
        <v>12.719230769230734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90" t="s">
        <v>186</v>
      </c>
      <c r="D60" s="290"/>
      <c r="E60" s="284" t="s">
        <v>187</v>
      </c>
      <c r="F60" s="291"/>
      <c r="G60" s="291"/>
      <c r="H60" s="28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103</v>
      </c>
      <c r="C63" s="60">
        <v>2</v>
      </c>
      <c r="D63" s="60">
        <v>28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121</v>
      </c>
      <c r="C64" s="60">
        <v>3</v>
      </c>
      <c r="D64" s="60">
        <v>28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175</v>
      </c>
      <c r="C66" s="60">
        <v>5</v>
      </c>
      <c r="D66" s="60">
        <v>28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204</v>
      </c>
      <c r="C67" s="60">
        <v>6</v>
      </c>
      <c r="D67" s="60">
        <v>28</v>
      </c>
      <c r="E67" s="51">
        <v>0.3</v>
      </c>
      <c r="F67" s="51">
        <v>0</v>
      </c>
      <c r="G67" s="51">
        <v>0</v>
      </c>
      <c r="H67" s="51">
        <v>0.7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>
        <v>0</v>
      </c>
      <c r="G68" s="51">
        <v>0</v>
      </c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>
        <v>0</v>
      </c>
      <c r="G69" s="51">
        <v>0</v>
      </c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273</v>
      </c>
      <c r="C70" s="50">
        <v>9</v>
      </c>
      <c r="D70" s="50">
        <v>28</v>
      </c>
      <c r="E70" s="51">
        <v>0.3</v>
      </c>
      <c r="F70" s="51">
        <v>0</v>
      </c>
      <c r="G70" s="51">
        <v>0</v>
      </c>
      <c r="H70" s="51">
        <v>0.7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289</v>
      </c>
      <c r="C71" s="50">
        <v>10</v>
      </c>
      <c r="D71" s="50">
        <v>28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50">
        <v>302</v>
      </c>
      <c r="C72" s="50">
        <v>11</v>
      </c>
      <c r="D72" s="50">
        <v>28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50">
        <v>312</v>
      </c>
      <c r="C73" s="50">
        <v>12</v>
      </c>
      <c r="D73" s="50">
        <v>28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90</v>
      </c>
      <c r="B75" s="50">
        <v>330</v>
      </c>
      <c r="C75" s="50">
        <v>14</v>
      </c>
      <c r="D75" s="50">
        <v>28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3.8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100</v>
      </c>
      <c r="B76" s="50">
        <v>333</v>
      </c>
      <c r="C76" s="50">
        <v>15</v>
      </c>
      <c r="D76" s="50">
        <v>27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3.1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110</v>
      </c>
      <c r="B77" s="50">
        <v>332</v>
      </c>
      <c r="C77" s="50">
        <v>16</v>
      </c>
      <c r="D77" s="50">
        <v>25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2.6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120</v>
      </c>
      <c r="B78" s="50">
        <v>328</v>
      </c>
      <c r="C78" s="50">
        <v>17</v>
      </c>
      <c r="D78" s="50">
        <v>23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2.1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130</v>
      </c>
      <c r="B79" s="50">
        <v>324</v>
      </c>
      <c r="C79" s="50">
        <v>18</v>
      </c>
      <c r="D79" s="50">
        <v>22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140</v>
      </c>
      <c r="B80" s="50">
        <v>320</v>
      </c>
      <c r="C80" s="50">
        <v>19</v>
      </c>
      <c r="D80" s="50">
        <v>20</v>
      </c>
      <c r="E80" s="51">
        <v>0.6</v>
      </c>
      <c r="F80" s="51">
        <v>0</v>
      </c>
      <c r="G80" s="51">
        <v>0</v>
      </c>
      <c r="H80" s="51">
        <v>0.4</v>
      </c>
      <c r="I80" s="49">
        <f t="shared" si="2"/>
        <v>1.8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150</v>
      </c>
      <c r="B81" s="50">
        <v>316</v>
      </c>
      <c r="C81" s="50">
        <v>20</v>
      </c>
      <c r="D81" s="50">
        <v>316</v>
      </c>
      <c r="E81" s="51">
        <v>0.6</v>
      </c>
      <c r="F81" s="51">
        <v>0</v>
      </c>
      <c r="G81" s="51">
        <v>0</v>
      </c>
      <c r="H81" s="51">
        <v>0.4</v>
      </c>
      <c r="I81" s="49">
        <f t="shared" si="2"/>
        <v>1.6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90" t="s">
        <v>186</v>
      </c>
      <c r="D86" s="290"/>
      <c r="E86" s="284" t="s">
        <v>187</v>
      </c>
      <c r="F86" s="291"/>
      <c r="G86" s="291"/>
      <c r="H86" s="28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59.88461538461538</v>
      </c>
      <c r="C88" s="60">
        <v>1</v>
      </c>
      <c r="D88" s="60">
        <v>0</v>
      </c>
      <c r="E88" s="51">
        <v>0</v>
      </c>
      <c r="F88" s="51">
        <v>0.2</v>
      </c>
      <c r="G88" s="51">
        <v>0</v>
      </c>
      <c r="H88" s="87">
        <v>0.8</v>
      </c>
      <c r="I88" s="53">
        <f>IFERROR(B88/A88,"")</f>
        <v>3.9923076923076919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19</v>
      </c>
      <c r="B89" s="60">
        <v>127.98461538461538</v>
      </c>
      <c r="C89" s="60">
        <v>2</v>
      </c>
      <c r="D89" s="60">
        <v>46.53846153846154</v>
      </c>
      <c r="E89" s="51">
        <v>0</v>
      </c>
      <c r="F89" s="51">
        <v>0.2</v>
      </c>
      <c r="G89" s="51">
        <v>0</v>
      </c>
      <c r="H89" s="87">
        <v>0.8</v>
      </c>
      <c r="I89" s="53">
        <f t="shared" ref="I89:I107" si="3">IF(A89&lt;&gt;0,(B89-(B88-D88))/(A89-A88),"")</f>
        <v>17.024999999999999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24</v>
      </c>
      <c r="B90" s="60">
        <v>159.94615384615383</v>
      </c>
      <c r="C90" s="60">
        <v>3</v>
      </c>
      <c r="D90" s="60">
        <v>40.41538461538461</v>
      </c>
      <c r="E90" s="87">
        <v>0.1</v>
      </c>
      <c r="F90" s="87">
        <v>0.4</v>
      </c>
      <c r="G90" s="87">
        <v>0</v>
      </c>
      <c r="H90" s="87">
        <v>0.5</v>
      </c>
      <c r="I90" s="53">
        <f t="shared" si="3"/>
        <v>15.7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215.65384615384616</v>
      </c>
      <c r="C91" s="60">
        <v>4</v>
      </c>
      <c r="D91" s="60">
        <v>55.869230769230761</v>
      </c>
      <c r="E91" s="87">
        <v>0.1</v>
      </c>
      <c r="F91" s="87">
        <v>0.4</v>
      </c>
      <c r="G91" s="87">
        <v>0</v>
      </c>
      <c r="H91" s="87">
        <v>0.5</v>
      </c>
      <c r="I91" s="53">
        <f t="shared" si="3"/>
        <v>16.020512820512824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37</v>
      </c>
      <c r="B92" s="60">
        <v>268.16923076923075</v>
      </c>
      <c r="C92" s="60">
        <v>5</v>
      </c>
      <c r="D92" s="60">
        <v>43.623076923076923</v>
      </c>
      <c r="E92" s="87">
        <v>0.2</v>
      </c>
      <c r="F92" s="87">
        <v>0.5</v>
      </c>
      <c r="G92" s="87">
        <v>0</v>
      </c>
      <c r="H92" s="87">
        <v>0.3</v>
      </c>
      <c r="I92" s="53">
        <f t="shared" si="3"/>
        <v>15.48351648351648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41</v>
      </c>
      <c r="B93" s="60">
        <v>284.68461538461537</v>
      </c>
      <c r="C93" s="60">
        <v>6</v>
      </c>
      <c r="D93" s="60">
        <v>0</v>
      </c>
      <c r="E93" s="87">
        <v>0.2</v>
      </c>
      <c r="F93" s="87">
        <v>0.5</v>
      </c>
      <c r="G93" s="87">
        <v>0</v>
      </c>
      <c r="H93" s="87">
        <v>0.3</v>
      </c>
      <c r="I93" s="53">
        <f t="shared" si="3"/>
        <v>15.034615384615385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46</v>
      </c>
      <c r="B94" s="60">
        <v>362.82307692307694</v>
      </c>
      <c r="C94" s="60">
        <v>7</v>
      </c>
      <c r="D94" s="60">
        <v>72.561538461538461</v>
      </c>
      <c r="E94" s="87">
        <v>0.2</v>
      </c>
      <c r="F94" s="87">
        <v>0.5</v>
      </c>
      <c r="G94" s="87">
        <v>0</v>
      </c>
      <c r="H94" s="87">
        <v>0.3</v>
      </c>
      <c r="I94" s="53">
        <f t="shared" si="3"/>
        <v>15.627692307692314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344.7923076923077</v>
      </c>
      <c r="C95" s="60">
        <v>8</v>
      </c>
      <c r="D95" s="60">
        <v>0</v>
      </c>
      <c r="E95" s="87">
        <v>0.2</v>
      </c>
      <c r="F95" s="87">
        <v>0.5</v>
      </c>
      <c r="G95" s="87">
        <v>0</v>
      </c>
      <c r="H95" s="87">
        <v>0.3</v>
      </c>
      <c r="I95" s="53">
        <f t="shared" si="3"/>
        <v>13.632692307692309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56</v>
      </c>
      <c r="B96" s="60">
        <v>428.2</v>
      </c>
      <c r="C96" s="60">
        <v>9</v>
      </c>
      <c r="D96" s="60">
        <v>60.092307692307699</v>
      </c>
      <c r="E96" s="87">
        <v>0.7</v>
      </c>
      <c r="F96" s="87">
        <v>0.3</v>
      </c>
      <c r="G96" s="87">
        <v>0</v>
      </c>
      <c r="H96" s="87">
        <v>0</v>
      </c>
      <c r="I96" s="53">
        <f t="shared" si="3"/>
        <v>13.901282051282047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59</v>
      </c>
      <c r="B97" s="60">
        <v>404.73846153846142</v>
      </c>
      <c r="C97" s="60">
        <v>10</v>
      </c>
      <c r="D97" s="60">
        <v>0</v>
      </c>
      <c r="E97" s="87">
        <v>0.7</v>
      </c>
      <c r="F97" s="87">
        <v>0.3</v>
      </c>
      <c r="G97" s="87">
        <v>0</v>
      </c>
      <c r="H97" s="87">
        <v>0</v>
      </c>
      <c r="I97" s="53">
        <f t="shared" si="3"/>
        <v>12.210256410256383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66</v>
      </c>
      <c r="B98" s="60">
        <v>488.65384615384613</v>
      </c>
      <c r="C98" s="60">
        <v>11</v>
      </c>
      <c r="D98" s="60">
        <v>68.146153846153851</v>
      </c>
      <c r="E98" s="87">
        <v>0.7</v>
      </c>
      <c r="F98" s="87">
        <v>0.3</v>
      </c>
      <c r="G98" s="87">
        <v>0</v>
      </c>
      <c r="H98" s="87">
        <v>0</v>
      </c>
      <c r="I98" s="53">
        <f t="shared" si="3"/>
        <v>11.987912087912102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68</v>
      </c>
      <c r="B99" s="60">
        <v>440.55384615384617</v>
      </c>
      <c r="C99" s="60">
        <v>12</v>
      </c>
      <c r="D99" s="60">
        <v>0</v>
      </c>
      <c r="E99" s="87">
        <v>0.7</v>
      </c>
      <c r="F99" s="87">
        <v>0.3</v>
      </c>
      <c r="G99" s="87">
        <v>0</v>
      </c>
      <c r="H99" s="87">
        <v>0</v>
      </c>
      <c r="I99" s="53">
        <f t="shared" si="3"/>
        <v>10.023076923076928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76</v>
      </c>
      <c r="B100" s="60">
        <v>520.22307692307686</v>
      </c>
      <c r="C100" s="60">
        <v>13</v>
      </c>
      <c r="D100" s="60">
        <v>520.22307692307686</v>
      </c>
      <c r="E100" s="65">
        <v>0.7</v>
      </c>
      <c r="F100" s="65">
        <v>0.3</v>
      </c>
      <c r="G100" s="65">
        <v>0</v>
      </c>
      <c r="H100" s="65">
        <v>0</v>
      </c>
      <c r="I100" s="53">
        <f t="shared" si="3"/>
        <v>9.9586538461538368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90" t="s">
        <v>186</v>
      </c>
      <c r="D112" s="290"/>
      <c r="E112" s="284" t="s">
        <v>187</v>
      </c>
      <c r="F112" s="291"/>
      <c r="G112" s="291"/>
      <c r="H112" s="28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36</v>
      </c>
      <c r="C114" s="50">
        <v>1</v>
      </c>
      <c r="D114" s="60">
        <v>0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2.4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71</v>
      </c>
      <c r="C115" s="50">
        <v>2</v>
      </c>
      <c r="D115" s="60">
        <v>18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91</v>
      </c>
      <c r="C116" s="50">
        <v>3</v>
      </c>
      <c r="D116" s="60">
        <v>18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7.6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114</v>
      </c>
      <c r="C117" s="50">
        <v>4</v>
      </c>
      <c r="D117" s="60">
        <v>21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8.1999999999999993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136</v>
      </c>
      <c r="C118" s="50">
        <v>5</v>
      </c>
      <c r="D118" s="60">
        <v>23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157</v>
      </c>
      <c r="C119" s="50">
        <v>6</v>
      </c>
      <c r="D119" s="60">
        <v>25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8.8000000000000007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176</v>
      </c>
      <c r="C120" s="60">
        <v>7</v>
      </c>
      <c r="D120" s="60">
        <v>26</v>
      </c>
      <c r="E120" s="87">
        <v>0.3</v>
      </c>
      <c r="F120" s="87">
        <v>0</v>
      </c>
      <c r="G120" s="87">
        <v>0</v>
      </c>
      <c r="H120" s="87">
        <v>0.7</v>
      </c>
      <c r="I120" s="53">
        <f t="shared" si="4"/>
        <v>8.8000000000000007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194</v>
      </c>
      <c r="C121" s="60">
        <v>8</v>
      </c>
      <c r="D121" s="60">
        <v>27</v>
      </c>
      <c r="E121" s="87">
        <v>0.3</v>
      </c>
      <c r="F121" s="87">
        <v>0</v>
      </c>
      <c r="G121" s="87">
        <v>0</v>
      </c>
      <c r="H121" s="87">
        <v>0.7</v>
      </c>
      <c r="I121" s="53">
        <f t="shared" si="4"/>
        <v>8.8000000000000007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210</v>
      </c>
      <c r="C122" s="60">
        <v>9</v>
      </c>
      <c r="D122" s="60">
        <v>27</v>
      </c>
      <c r="E122" s="87">
        <v>0.3</v>
      </c>
      <c r="F122" s="87">
        <v>0</v>
      </c>
      <c r="G122" s="87">
        <v>0</v>
      </c>
      <c r="H122" s="87">
        <v>0.7</v>
      </c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224</v>
      </c>
      <c r="C123" s="60">
        <v>10</v>
      </c>
      <c r="D123" s="60">
        <v>27</v>
      </c>
      <c r="E123" s="87">
        <v>0.3</v>
      </c>
      <c r="F123" s="87">
        <v>0</v>
      </c>
      <c r="G123" s="87">
        <v>0</v>
      </c>
      <c r="H123" s="87">
        <v>0.7</v>
      </c>
      <c r="I123" s="53">
        <f t="shared" si="4"/>
        <v>8.1999999999999993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238</v>
      </c>
      <c r="C124" s="60">
        <v>11</v>
      </c>
      <c r="D124" s="60">
        <v>27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8.1999999999999993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v>249</v>
      </c>
      <c r="C125" s="60">
        <v>12</v>
      </c>
      <c r="D125" s="60">
        <v>26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7.6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75</v>
      </c>
      <c r="B126" s="60">
        <v>261</v>
      </c>
      <c r="C126" s="60">
        <v>13</v>
      </c>
      <c r="D126" s="60">
        <v>26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7.6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80</v>
      </c>
      <c r="B127" s="60">
        <v>270</v>
      </c>
      <c r="C127" s="60">
        <v>14</v>
      </c>
      <c r="D127" s="60">
        <v>25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85</v>
      </c>
      <c r="B128" s="50">
        <v>279</v>
      </c>
      <c r="C128" s="50">
        <v>15</v>
      </c>
      <c r="D128" s="50">
        <v>24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6.8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90</v>
      </c>
      <c r="B129" s="50">
        <v>286</v>
      </c>
      <c r="C129" s="50">
        <v>16</v>
      </c>
      <c r="D129" s="50">
        <v>23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6.2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100</v>
      </c>
      <c r="B130" s="50">
        <v>299</v>
      </c>
      <c r="C130" s="50">
        <v>17</v>
      </c>
      <c r="D130" s="50">
        <v>21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110</v>
      </c>
      <c r="B131" s="50">
        <v>311</v>
      </c>
      <c r="C131" s="50">
        <v>18</v>
      </c>
      <c r="D131" s="50">
        <v>20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3.3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>
        <v>120</v>
      </c>
      <c r="B132" s="50">
        <v>318</v>
      </c>
      <c r="C132" s="50">
        <v>19</v>
      </c>
      <c r="D132" s="50">
        <v>318</v>
      </c>
      <c r="E132" s="54">
        <v>0.6</v>
      </c>
      <c r="F132" s="54">
        <v>0</v>
      </c>
      <c r="G132" s="54">
        <v>0</v>
      </c>
      <c r="H132" s="54">
        <v>0.4</v>
      </c>
      <c r="I132" s="53">
        <f t="shared" si="4"/>
        <v>2.7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rouge d'Amérique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90" t="s">
        <v>186</v>
      </c>
      <c r="D138" s="290"/>
      <c r="E138" s="284" t="s">
        <v>187</v>
      </c>
      <c r="F138" s="291"/>
      <c r="G138" s="291"/>
      <c r="H138" s="28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28.999999999999996</v>
      </c>
      <c r="C140" s="50">
        <v>1</v>
      </c>
      <c r="D140" s="60">
        <v>0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2.8999999999999995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73</v>
      </c>
      <c r="C141" s="50">
        <v>2</v>
      </c>
      <c r="D141" s="60">
        <v>0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8.8000000000000007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129</v>
      </c>
      <c r="C142" s="50">
        <v>3</v>
      </c>
      <c r="D142" s="60">
        <v>54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11.2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126</v>
      </c>
      <c r="C143" s="50">
        <v>4</v>
      </c>
      <c r="D143" s="60">
        <v>26.000000000000004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10.199999999999999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149</v>
      </c>
      <c r="C144" s="50">
        <v>5</v>
      </c>
      <c r="D144" s="60">
        <v>27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9.8000000000000007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168</v>
      </c>
      <c r="C145" s="50">
        <v>6</v>
      </c>
      <c r="D145" s="60">
        <v>27</v>
      </c>
      <c r="E145" s="51">
        <v>0.6</v>
      </c>
      <c r="F145" s="51">
        <v>0.2</v>
      </c>
      <c r="G145" s="51">
        <v>0</v>
      </c>
      <c r="H145" s="51">
        <v>0.2</v>
      </c>
      <c r="I145" s="57">
        <f t="shared" si="5"/>
        <v>9.1999999999999993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185</v>
      </c>
      <c r="C146" s="50">
        <v>7</v>
      </c>
      <c r="D146" s="60">
        <v>27</v>
      </c>
      <c r="E146" s="51">
        <v>0.6</v>
      </c>
      <c r="F146" s="51">
        <v>0.2</v>
      </c>
      <c r="G146" s="51">
        <v>0</v>
      </c>
      <c r="H146" s="51">
        <v>0.2</v>
      </c>
      <c r="I146" s="57">
        <f t="shared" si="5"/>
        <v>8.8000000000000007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198</v>
      </c>
      <c r="C147" s="50">
        <v>8</v>
      </c>
      <c r="D147" s="60">
        <v>26.000000000000004</v>
      </c>
      <c r="E147" s="51">
        <v>0.6</v>
      </c>
      <c r="F147" s="51">
        <v>0.3</v>
      </c>
      <c r="G147" s="51">
        <v>0</v>
      </c>
      <c r="H147" s="51">
        <v>0.1</v>
      </c>
      <c r="I147" s="57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209</v>
      </c>
      <c r="C148" s="50">
        <v>9</v>
      </c>
      <c r="D148" s="60">
        <v>24</v>
      </c>
      <c r="E148" s="51">
        <v>0.6</v>
      </c>
      <c r="F148" s="51">
        <v>0.3</v>
      </c>
      <c r="G148" s="51">
        <v>0</v>
      </c>
      <c r="H148" s="51">
        <v>0.1</v>
      </c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218</v>
      </c>
      <c r="C149" s="50">
        <v>10</v>
      </c>
      <c r="D149" s="60">
        <v>23</v>
      </c>
      <c r="E149" s="51">
        <v>0.6</v>
      </c>
      <c r="F149" s="51">
        <v>0.3</v>
      </c>
      <c r="G149" s="51">
        <v>0</v>
      </c>
      <c r="H149" s="51">
        <v>0.1</v>
      </c>
      <c r="I149" s="57">
        <f t="shared" si="5"/>
        <v>6.6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225</v>
      </c>
      <c r="C150" s="50">
        <v>11</v>
      </c>
      <c r="D150" s="60">
        <v>21</v>
      </c>
      <c r="E150" s="51">
        <v>0.6</v>
      </c>
      <c r="F150" s="51">
        <v>0.3</v>
      </c>
      <c r="G150" s="51">
        <v>0</v>
      </c>
      <c r="H150" s="51">
        <v>0.1</v>
      </c>
      <c r="I150" s="57">
        <f t="shared" si="5"/>
        <v>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231.99999999999997</v>
      </c>
      <c r="C151" s="50">
        <v>12</v>
      </c>
      <c r="D151" s="60">
        <v>20</v>
      </c>
      <c r="E151" s="51">
        <v>0.6</v>
      </c>
      <c r="F151" s="51">
        <v>0.3</v>
      </c>
      <c r="G151" s="51">
        <v>0</v>
      </c>
      <c r="H151" s="51">
        <v>0.1</v>
      </c>
      <c r="I151" s="57">
        <f t="shared" si="5"/>
        <v>5.5999999999999943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237</v>
      </c>
      <c r="C152" s="50">
        <v>13</v>
      </c>
      <c r="D152" s="60">
        <v>18</v>
      </c>
      <c r="E152" s="54">
        <v>0.6</v>
      </c>
      <c r="F152" s="54">
        <v>0.3</v>
      </c>
      <c r="G152" s="54">
        <v>0</v>
      </c>
      <c r="H152" s="54">
        <v>0.1</v>
      </c>
      <c r="I152" s="57">
        <f t="shared" si="5"/>
        <v>5.0000000000000053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241</v>
      </c>
      <c r="C153" s="50">
        <v>14</v>
      </c>
      <c r="D153" s="60">
        <v>16</v>
      </c>
      <c r="E153" s="54">
        <v>0.6</v>
      </c>
      <c r="F153" s="54">
        <v>0.3</v>
      </c>
      <c r="G153" s="54">
        <v>0</v>
      </c>
      <c r="H153" s="54">
        <v>0.1</v>
      </c>
      <c r="I153" s="57">
        <f t="shared" si="5"/>
        <v>4.4000000000000004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245</v>
      </c>
      <c r="C154" s="50">
        <v>15</v>
      </c>
      <c r="D154" s="50">
        <v>15</v>
      </c>
      <c r="E154" s="54">
        <v>0.6</v>
      </c>
      <c r="F154" s="54">
        <v>0.3</v>
      </c>
      <c r="G154" s="54">
        <v>0</v>
      </c>
      <c r="H154" s="54">
        <v>0.1</v>
      </c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85</v>
      </c>
      <c r="B155" s="56">
        <v>248</v>
      </c>
      <c r="C155" s="50">
        <v>16</v>
      </c>
      <c r="D155" s="50">
        <v>14</v>
      </c>
      <c r="E155" s="54">
        <v>0.6</v>
      </c>
      <c r="F155" s="54">
        <v>0.3</v>
      </c>
      <c r="G155" s="54">
        <v>0</v>
      </c>
      <c r="H155" s="54">
        <v>0.1</v>
      </c>
      <c r="I155" s="57">
        <f t="shared" si="5"/>
        <v>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90</v>
      </c>
      <c r="B156" s="56">
        <v>248.99999999999997</v>
      </c>
      <c r="C156" s="50">
        <v>17</v>
      </c>
      <c r="D156" s="50">
        <v>12</v>
      </c>
      <c r="E156" s="54">
        <v>0.6</v>
      </c>
      <c r="F156" s="54">
        <v>0.3</v>
      </c>
      <c r="G156" s="54">
        <v>0</v>
      </c>
      <c r="H156" s="54">
        <v>0.1</v>
      </c>
      <c r="I156" s="57">
        <f t="shared" si="5"/>
        <v>2.9999999999999942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95</v>
      </c>
      <c r="B157" s="56">
        <v>252</v>
      </c>
      <c r="C157" s="50">
        <v>18</v>
      </c>
      <c r="D157" s="50">
        <v>12</v>
      </c>
      <c r="E157" s="54">
        <v>0.6</v>
      </c>
      <c r="F157" s="54">
        <v>0.3</v>
      </c>
      <c r="G157" s="54">
        <v>0</v>
      </c>
      <c r="H157" s="54">
        <v>0.1</v>
      </c>
      <c r="I157" s="57">
        <f t="shared" si="5"/>
        <v>3.0000000000000058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100</v>
      </c>
      <c r="B158" s="56">
        <v>243</v>
      </c>
      <c r="C158" s="50">
        <v>19</v>
      </c>
      <c r="D158" s="50">
        <v>243</v>
      </c>
      <c r="E158" s="54">
        <v>0.6</v>
      </c>
      <c r="F158" s="54">
        <v>0.3</v>
      </c>
      <c r="G158" s="54">
        <v>0</v>
      </c>
      <c r="H158" s="54">
        <v>0.1</v>
      </c>
      <c r="I158" s="57">
        <f t="shared" si="5"/>
        <v>0.6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Charme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90" t="s">
        <v>186</v>
      </c>
      <c r="D164" s="290"/>
      <c r="E164" s="284" t="s">
        <v>187</v>
      </c>
      <c r="F164" s="291"/>
      <c r="G164" s="291"/>
      <c r="H164" s="28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73</v>
      </c>
      <c r="C166" s="60">
        <v>1</v>
      </c>
      <c r="D166" s="60">
        <v>6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3.65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103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7.2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121</v>
      </c>
      <c r="C168" s="60">
        <v>3</v>
      </c>
      <c r="D168" s="60">
        <v>28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9.1999999999999993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147</v>
      </c>
      <c r="C169" s="60">
        <v>4</v>
      </c>
      <c r="D169" s="60">
        <v>28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10.8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175</v>
      </c>
      <c r="C170" s="60">
        <v>5</v>
      </c>
      <c r="D170" s="60">
        <v>28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11.2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204</v>
      </c>
      <c r="C171" s="60">
        <v>6</v>
      </c>
      <c r="D171" s="60">
        <v>28</v>
      </c>
      <c r="E171" s="51">
        <v>0.3</v>
      </c>
      <c r="F171" s="51">
        <v>0</v>
      </c>
      <c r="G171" s="51">
        <v>0</v>
      </c>
      <c r="H171" s="51">
        <v>0.7</v>
      </c>
      <c r="I171" s="49">
        <f t="shared" si="6"/>
        <v>11.4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231</v>
      </c>
      <c r="C172" s="60">
        <v>7</v>
      </c>
      <c r="D172" s="60">
        <v>28</v>
      </c>
      <c r="E172" s="51">
        <v>0.3</v>
      </c>
      <c r="F172" s="51">
        <v>0</v>
      </c>
      <c r="G172" s="51">
        <v>0</v>
      </c>
      <c r="H172" s="51">
        <v>0.7</v>
      </c>
      <c r="I172" s="49">
        <f t="shared" si="6"/>
        <v>11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254</v>
      </c>
      <c r="C173" s="50">
        <v>8</v>
      </c>
      <c r="D173" s="50">
        <v>28</v>
      </c>
      <c r="E173" s="51">
        <v>0.3</v>
      </c>
      <c r="F173" s="51">
        <v>0</v>
      </c>
      <c r="G173" s="51">
        <v>0</v>
      </c>
      <c r="H173" s="51">
        <v>0.7</v>
      </c>
      <c r="I173" s="49">
        <f t="shared" si="6"/>
        <v>10.199999999999999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273</v>
      </c>
      <c r="C174" s="50">
        <v>9</v>
      </c>
      <c r="D174" s="50">
        <v>28</v>
      </c>
      <c r="E174" s="51">
        <v>0.3</v>
      </c>
      <c r="F174" s="51">
        <v>0</v>
      </c>
      <c r="G174" s="51">
        <v>0</v>
      </c>
      <c r="H174" s="51">
        <v>0.7</v>
      </c>
      <c r="I174" s="49">
        <f t="shared" si="6"/>
        <v>9.4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289</v>
      </c>
      <c r="C175" s="50">
        <v>10</v>
      </c>
      <c r="D175" s="50">
        <v>28</v>
      </c>
      <c r="E175" s="51">
        <v>0.6</v>
      </c>
      <c r="F175" s="51">
        <v>0</v>
      </c>
      <c r="G175" s="51">
        <v>0</v>
      </c>
      <c r="H175" s="51">
        <v>0.4</v>
      </c>
      <c r="I175" s="49">
        <f t="shared" si="6"/>
        <v>8.8000000000000007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302</v>
      </c>
      <c r="C176" s="50">
        <v>11</v>
      </c>
      <c r="D176" s="50">
        <v>28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6"/>
        <v>8.1999999999999993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312</v>
      </c>
      <c r="C177" s="50">
        <v>12</v>
      </c>
      <c r="D177" s="50">
        <v>28</v>
      </c>
      <c r="E177" s="51">
        <v>0.6</v>
      </c>
      <c r="F177" s="51">
        <v>0</v>
      </c>
      <c r="G177" s="51">
        <v>0</v>
      </c>
      <c r="H177" s="51">
        <v>0.4</v>
      </c>
      <c r="I177" s="49">
        <f t="shared" si="6"/>
        <v>7.6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320</v>
      </c>
      <c r="C178" s="50">
        <v>13</v>
      </c>
      <c r="D178" s="50">
        <v>28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6"/>
        <v>7.2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90</v>
      </c>
      <c r="B179" s="50">
        <v>330</v>
      </c>
      <c r="C179" s="50">
        <v>14</v>
      </c>
      <c r="D179" s="50">
        <v>28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6"/>
        <v>3.8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100</v>
      </c>
      <c r="B180" s="50">
        <v>333</v>
      </c>
      <c r="C180" s="50">
        <v>15</v>
      </c>
      <c r="D180" s="50">
        <v>27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6"/>
        <v>3.1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110</v>
      </c>
      <c r="B181" s="50">
        <v>332</v>
      </c>
      <c r="C181" s="50">
        <v>16</v>
      </c>
      <c r="D181" s="50">
        <v>25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6"/>
        <v>2.6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120</v>
      </c>
      <c r="B182" s="50">
        <v>328</v>
      </c>
      <c r="C182" s="50">
        <v>17</v>
      </c>
      <c r="D182" s="50">
        <v>23</v>
      </c>
      <c r="E182" s="51">
        <v>0.6</v>
      </c>
      <c r="F182" s="51">
        <v>0</v>
      </c>
      <c r="G182" s="51">
        <v>0</v>
      </c>
      <c r="H182" s="51">
        <v>0.4</v>
      </c>
      <c r="I182" s="49">
        <f t="shared" si="6"/>
        <v>2.1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130</v>
      </c>
      <c r="B183" s="50">
        <v>324</v>
      </c>
      <c r="C183" s="50">
        <v>18</v>
      </c>
      <c r="D183" s="50">
        <v>22</v>
      </c>
      <c r="E183" s="51">
        <v>0.6</v>
      </c>
      <c r="F183" s="51">
        <v>0</v>
      </c>
      <c r="G183" s="51">
        <v>0</v>
      </c>
      <c r="H183" s="51">
        <v>0.4</v>
      </c>
      <c r="I183" s="49">
        <f t="shared" si="6"/>
        <v>1.9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140</v>
      </c>
      <c r="B184" s="50">
        <v>320</v>
      </c>
      <c r="C184" s="50">
        <v>19</v>
      </c>
      <c r="D184" s="50">
        <v>20</v>
      </c>
      <c r="E184" s="51">
        <v>0.6</v>
      </c>
      <c r="F184" s="51">
        <v>0</v>
      </c>
      <c r="G184" s="51">
        <v>0</v>
      </c>
      <c r="H184" s="51">
        <v>0.4</v>
      </c>
      <c r="I184" s="49">
        <f t="shared" si="6"/>
        <v>1.8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>
        <v>150</v>
      </c>
      <c r="B185" s="50">
        <v>316</v>
      </c>
      <c r="C185" s="50">
        <v>20</v>
      </c>
      <c r="D185" s="50">
        <v>316</v>
      </c>
      <c r="E185" s="51">
        <v>0.6</v>
      </c>
      <c r="F185" s="51">
        <v>0</v>
      </c>
      <c r="G185" s="51">
        <v>0</v>
      </c>
      <c r="H185" s="51">
        <v>0.4</v>
      </c>
      <c r="I185" s="49">
        <f t="shared" si="6"/>
        <v>1.6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90" t="s">
        <v>186</v>
      </c>
      <c r="D190" s="290"/>
      <c r="E190" s="284" t="s">
        <v>187</v>
      </c>
      <c r="F190" s="291"/>
      <c r="G190" s="291"/>
      <c r="H190" s="28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60">
        <v>21</v>
      </c>
      <c r="C192" s="60">
        <v>1</v>
      </c>
      <c r="D192" s="60">
        <v>0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1.05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25</v>
      </c>
      <c r="B193" s="60">
        <v>36</v>
      </c>
      <c r="C193" s="60">
        <v>2</v>
      </c>
      <c r="D193" s="60">
        <v>0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54</v>
      </c>
      <c r="C194" s="60">
        <v>3</v>
      </c>
      <c r="D194" s="60">
        <v>9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3.6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35</v>
      </c>
      <c r="B195" s="60">
        <v>63</v>
      </c>
      <c r="C195" s="60">
        <v>4</v>
      </c>
      <c r="D195" s="60">
        <v>8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3.6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40</v>
      </c>
      <c r="B196" s="60">
        <v>75</v>
      </c>
      <c r="C196" s="60">
        <v>5</v>
      </c>
      <c r="D196" s="60">
        <v>9</v>
      </c>
      <c r="E196" s="51">
        <v>0</v>
      </c>
      <c r="F196" s="51">
        <v>0</v>
      </c>
      <c r="G196" s="51">
        <v>0</v>
      </c>
      <c r="H196" s="51">
        <v>1</v>
      </c>
      <c r="I196" s="49">
        <f t="shared" si="7"/>
        <v>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45</v>
      </c>
      <c r="B197" s="60">
        <v>85</v>
      </c>
      <c r="C197" s="60">
        <v>6</v>
      </c>
      <c r="D197" s="60">
        <v>9</v>
      </c>
      <c r="E197" s="51">
        <v>0.3</v>
      </c>
      <c r="F197" s="51">
        <v>0</v>
      </c>
      <c r="G197" s="51">
        <v>0</v>
      </c>
      <c r="H197" s="51">
        <v>0.7</v>
      </c>
      <c r="I197" s="49">
        <f t="shared" si="7"/>
        <v>3.8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50</v>
      </c>
      <c r="B198" s="60">
        <v>95</v>
      </c>
      <c r="C198" s="60">
        <v>7</v>
      </c>
      <c r="D198" s="60">
        <v>9</v>
      </c>
      <c r="E198" s="51">
        <v>0.3</v>
      </c>
      <c r="F198" s="51">
        <v>0</v>
      </c>
      <c r="G198" s="51">
        <v>0</v>
      </c>
      <c r="H198" s="51">
        <v>0.7</v>
      </c>
      <c r="I198" s="49">
        <f t="shared" si="7"/>
        <v>3.8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55</v>
      </c>
      <c r="B199" s="50">
        <v>106</v>
      </c>
      <c r="C199" s="50">
        <v>8</v>
      </c>
      <c r="D199" s="50">
        <v>10</v>
      </c>
      <c r="E199" s="51">
        <v>0.3</v>
      </c>
      <c r="F199" s="51">
        <v>0</v>
      </c>
      <c r="G199" s="51">
        <v>0</v>
      </c>
      <c r="H199" s="51">
        <v>0.7</v>
      </c>
      <c r="I199" s="49">
        <f t="shared" si="7"/>
        <v>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60</v>
      </c>
      <c r="B200" s="50">
        <v>115</v>
      </c>
      <c r="C200" s="50">
        <v>9</v>
      </c>
      <c r="D200" s="50">
        <v>10</v>
      </c>
      <c r="E200" s="51">
        <v>0.3</v>
      </c>
      <c r="F200" s="51">
        <v>0</v>
      </c>
      <c r="G200" s="51">
        <v>0</v>
      </c>
      <c r="H200" s="51">
        <v>0.7</v>
      </c>
      <c r="I200" s="49">
        <f t="shared" si="7"/>
        <v>3.8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65</v>
      </c>
      <c r="B201" s="50">
        <v>124</v>
      </c>
      <c r="C201" s="50">
        <v>10</v>
      </c>
      <c r="D201" s="50">
        <v>10</v>
      </c>
      <c r="E201" s="51">
        <v>0.6</v>
      </c>
      <c r="F201" s="51">
        <v>0</v>
      </c>
      <c r="G201" s="51">
        <v>0</v>
      </c>
      <c r="H201" s="51">
        <v>0.4</v>
      </c>
      <c r="I201" s="49">
        <f t="shared" si="7"/>
        <v>3.8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70</v>
      </c>
      <c r="B202" s="50">
        <v>132</v>
      </c>
      <c r="C202" s="50">
        <v>11</v>
      </c>
      <c r="D202" s="50">
        <v>10</v>
      </c>
      <c r="E202" s="51">
        <v>0.6</v>
      </c>
      <c r="F202" s="51">
        <v>0</v>
      </c>
      <c r="G202" s="51">
        <v>0</v>
      </c>
      <c r="H202" s="51">
        <v>0.4</v>
      </c>
      <c r="I202" s="49">
        <f t="shared" si="7"/>
        <v>3.6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75</v>
      </c>
      <c r="B203" s="50">
        <v>139</v>
      </c>
      <c r="C203" s="50">
        <v>12</v>
      </c>
      <c r="D203" s="50">
        <v>10</v>
      </c>
      <c r="E203" s="51">
        <v>0.6</v>
      </c>
      <c r="F203" s="51">
        <v>0</v>
      </c>
      <c r="G203" s="51">
        <v>0</v>
      </c>
      <c r="H203" s="51">
        <v>0.4</v>
      </c>
      <c r="I203" s="49">
        <f t="shared" si="7"/>
        <v>3.4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80</v>
      </c>
      <c r="B204" s="50">
        <v>146</v>
      </c>
      <c r="C204" s="50">
        <v>13</v>
      </c>
      <c r="D204" s="50">
        <v>9</v>
      </c>
      <c r="E204" s="51">
        <v>0.6</v>
      </c>
      <c r="F204" s="51">
        <v>0</v>
      </c>
      <c r="G204" s="51">
        <v>0</v>
      </c>
      <c r="H204" s="51">
        <v>0.4</v>
      </c>
      <c r="I204" s="49">
        <f t="shared" si="7"/>
        <v>3.4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85</v>
      </c>
      <c r="B205" s="50">
        <v>152</v>
      </c>
      <c r="C205" s="50">
        <v>14</v>
      </c>
      <c r="D205" s="50">
        <v>9</v>
      </c>
      <c r="E205" s="51">
        <v>0.6</v>
      </c>
      <c r="F205" s="51">
        <v>0</v>
      </c>
      <c r="G205" s="51">
        <v>0</v>
      </c>
      <c r="H205" s="51">
        <v>0.4</v>
      </c>
      <c r="I205" s="49">
        <f t="shared" si="7"/>
        <v>3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90</v>
      </c>
      <c r="B206" s="50">
        <v>159</v>
      </c>
      <c r="C206" s="50">
        <v>15</v>
      </c>
      <c r="D206" s="50">
        <v>9</v>
      </c>
      <c r="E206" s="51">
        <v>0.6</v>
      </c>
      <c r="F206" s="51">
        <v>0</v>
      </c>
      <c r="G206" s="51">
        <v>0</v>
      </c>
      <c r="H206" s="51">
        <v>0.4</v>
      </c>
      <c r="I206" s="49">
        <f t="shared" si="7"/>
        <v>3.2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100</v>
      </c>
      <c r="B207" s="50">
        <v>170</v>
      </c>
      <c r="C207" s="50">
        <v>16</v>
      </c>
      <c r="D207" s="50">
        <v>9</v>
      </c>
      <c r="E207" s="51">
        <v>0.6</v>
      </c>
      <c r="F207" s="51">
        <v>0</v>
      </c>
      <c r="G207" s="51">
        <v>0</v>
      </c>
      <c r="H207" s="51">
        <v>0.4</v>
      </c>
      <c r="I207" s="49">
        <f t="shared" si="7"/>
        <v>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110</v>
      </c>
      <c r="B208" s="50">
        <v>181</v>
      </c>
      <c r="C208" s="50">
        <v>17</v>
      </c>
      <c r="D208" s="50">
        <v>10</v>
      </c>
      <c r="E208" s="51">
        <v>0.6</v>
      </c>
      <c r="F208" s="51">
        <v>0</v>
      </c>
      <c r="G208" s="51">
        <v>0</v>
      </c>
      <c r="H208" s="51">
        <v>0.4</v>
      </c>
      <c r="I208" s="49">
        <f t="shared" si="7"/>
        <v>2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>
        <v>120</v>
      </c>
      <c r="B209" s="50">
        <v>191</v>
      </c>
      <c r="C209" s="50">
        <v>18</v>
      </c>
      <c r="D209" s="50">
        <v>191</v>
      </c>
      <c r="E209" s="51">
        <v>0.6</v>
      </c>
      <c r="F209" s="51">
        <v>0</v>
      </c>
      <c r="G209" s="51">
        <v>0</v>
      </c>
      <c r="H209" s="51">
        <v>0.4</v>
      </c>
      <c r="I209" s="49">
        <f t="shared" si="7"/>
        <v>2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90" t="s">
        <v>186</v>
      </c>
      <c r="D216" s="290"/>
      <c r="E216" s="284" t="s">
        <v>187</v>
      </c>
      <c r="F216" s="291"/>
      <c r="G216" s="291"/>
      <c r="H216" s="28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90" t="s">
        <v>186</v>
      </c>
      <c r="D242" s="290"/>
      <c r="E242" s="284" t="s">
        <v>187</v>
      </c>
      <c r="F242" s="291"/>
      <c r="G242" s="291"/>
      <c r="H242" s="28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90" t="s">
        <v>186</v>
      </c>
      <c r="D268" s="290"/>
      <c r="E268" s="284" t="s">
        <v>187</v>
      </c>
      <c r="F268" s="291"/>
      <c r="G268" s="291"/>
      <c r="H268" s="28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300"/>
      <c r="C4" s="300"/>
      <c r="D4" s="300"/>
      <c r="E4" s="300"/>
      <c r="F4" s="300"/>
      <c r="G4" s="30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0.85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0.26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1.1099999999999999</v>
      </c>
      <c r="C19" s="104" t="str">
        <f>IF(SUM(B16:B18)=B8,"OK","ERREUR : corrigez ; le total n'est pas égal à celui de la cellule B8")</f>
        <v>ERREUR : corrigez ; le total n'est pas égal à celui de la cellule B8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304" t="s">
        <v>176</v>
      </c>
      <c r="C1" s="305"/>
      <c r="D1" s="305"/>
      <c r="E1" s="305"/>
      <c r="F1" s="305"/>
      <c r="G1" s="305"/>
      <c r="H1" s="306"/>
      <c r="I1" s="301" t="str">
        <f>IF('Données projet'!$B$9="","",'Données projet'!$B$9)</f>
        <v>Pin maritime</v>
      </c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3"/>
      <c r="AD1" s="302" t="str">
        <f>IF('Données projet'!$B$10="","",'Données projet'!$B$10)</f>
        <v>Chêne sessile</v>
      </c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3"/>
      <c r="AY1" s="301" t="str">
        <f>IF('Données projet'!$B$11="","",'Données projet'!$B$11)</f>
        <v>Pin laricio</v>
      </c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3"/>
      <c r="BT1" s="301" t="str">
        <f>IF('Données projet'!$B$12="","",'Données projet'!$B$12)</f>
        <v>Chêne pubescent</v>
      </c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3"/>
      <c r="CO1" s="301" t="str">
        <f>IF('Données projet'!$B$13="","",'Données projet'!$B$13)</f>
        <v>Chêne rouge d'Amérique</v>
      </c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3"/>
      <c r="DJ1" s="301" t="str">
        <f>IF('Données projet'!$B$14="","",'Données projet'!$B$14)</f>
        <v>Charme</v>
      </c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  <c r="DX1" s="302"/>
      <c r="DY1" s="302"/>
      <c r="DZ1" s="302"/>
      <c r="EA1" s="302"/>
      <c r="EB1" s="302"/>
      <c r="EC1" s="302"/>
      <c r="ED1" s="303"/>
      <c r="EE1" s="301" t="str">
        <f>IF('Données projet'!$B$15="","",'Données projet'!$B$15)</f>
        <v>Alisier torminal</v>
      </c>
      <c r="EF1" s="302"/>
      <c r="EG1" s="302"/>
      <c r="EH1" s="302"/>
      <c r="EI1" s="302"/>
      <c r="EJ1" s="302"/>
      <c r="EK1" s="302"/>
      <c r="EL1" s="302"/>
      <c r="EM1" s="302"/>
      <c r="EN1" s="302"/>
      <c r="EO1" s="302"/>
      <c r="EP1" s="302"/>
      <c r="EQ1" s="302"/>
      <c r="ER1" s="302"/>
      <c r="ES1" s="302"/>
      <c r="ET1" s="302"/>
      <c r="EU1" s="302"/>
      <c r="EV1" s="302"/>
      <c r="EW1" s="302"/>
      <c r="EX1" s="302"/>
      <c r="EY1" s="303"/>
      <c r="EZ1" s="301" t="str">
        <f>IF('Données projet'!$B$16="","",'Données projet'!$B$16)</f>
        <v/>
      </c>
      <c r="FA1" s="302"/>
      <c r="FB1" s="302"/>
      <c r="FC1" s="302"/>
      <c r="FD1" s="302"/>
      <c r="FE1" s="302"/>
      <c r="FF1" s="302"/>
      <c r="FG1" s="302"/>
      <c r="FH1" s="302"/>
      <c r="FI1" s="302"/>
      <c r="FJ1" s="302"/>
      <c r="FK1" s="302"/>
      <c r="FL1" s="302"/>
      <c r="FM1" s="302"/>
      <c r="FN1" s="302"/>
      <c r="FO1" s="302"/>
      <c r="FP1" s="302"/>
      <c r="FQ1" s="302"/>
      <c r="FR1" s="302"/>
      <c r="FS1" s="302"/>
      <c r="FT1" s="303"/>
      <c r="FU1" s="301" t="str">
        <f>IF('Données projet'!$B$17="","",'Données projet'!$B$17)</f>
        <v/>
      </c>
      <c r="FV1" s="302"/>
      <c r="FW1" s="302"/>
      <c r="FX1" s="302"/>
      <c r="FY1" s="302"/>
      <c r="FZ1" s="302"/>
      <c r="GA1" s="302"/>
      <c r="GB1" s="302"/>
      <c r="GC1" s="302"/>
      <c r="GD1" s="302"/>
      <c r="GE1" s="302"/>
      <c r="GF1" s="302"/>
      <c r="GG1" s="302"/>
      <c r="GH1" s="302"/>
      <c r="GI1" s="302"/>
      <c r="GJ1" s="302"/>
      <c r="GK1" s="302"/>
      <c r="GL1" s="302"/>
      <c r="GM1" s="302"/>
      <c r="GN1" s="302"/>
      <c r="GO1" s="303"/>
      <c r="GP1" s="301" t="str">
        <f>IF('Données projet'!$B$18="","",'Données projet'!$B$18)</f>
        <v/>
      </c>
      <c r="GQ1" s="302"/>
      <c r="GR1" s="302"/>
      <c r="GS1" s="302"/>
      <c r="GT1" s="302"/>
      <c r="GU1" s="302"/>
      <c r="GV1" s="302"/>
      <c r="GW1" s="302"/>
      <c r="GX1" s="302"/>
      <c r="GY1" s="302"/>
      <c r="GZ1" s="302"/>
      <c r="HA1" s="302"/>
      <c r="HB1" s="302"/>
      <c r="HC1" s="302"/>
      <c r="HD1" s="302"/>
      <c r="HE1" s="302"/>
      <c r="HF1" s="302"/>
      <c r="HG1" s="302"/>
      <c r="HH1" s="302"/>
      <c r="HI1" s="302"/>
      <c r="HJ1" s="303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4.25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15.583333333333334</v>
      </c>
      <c r="H3" s="67">
        <f>(B3+E3+F3)*44/12+(C3+D3)*0.475*44/12</f>
        <v>222.56666666666669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206.98333333333335</v>
      </c>
      <c r="S3" s="59">
        <f ca="1">AVERAGE(OFFSET($R$3,0,0,'Données projet'!$E$9+1,1))-AVERAGE(OFFSET($H$3,0,0,'Données projet'!$E$9+1,1))</f>
        <v>341.11752883785607</v>
      </c>
      <c r="T3" s="59">
        <f>IF('Données projet'!E9&gt;30,$R$33-$H$33,LOOKUP('Données projet'!$E$9,$A$3:$A$203,R3:R203)-LOOKUP('Données projet'!$E$9,$A$3:$A$203,$H$3:$H$203))</f>
        <v>423.15445896616234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206.98333333333335</v>
      </c>
      <c r="AN3" s="59">
        <f ca="1">AVERAGE(OFFSET($AM$3,0,0,'Données projet'!$E$10+1,1))-AVERAGE(OFFSET($H$3,0,0,'Données projet'!$E$10+1,1))</f>
        <v>521.72266623522626</v>
      </c>
      <c r="AO3" s="59">
        <f>IF('Données projet'!E10&gt;30,$AM$33-$H$33,LOOKUP('Données projet'!$E$10,$A$3:$A$203,AM3:AM203)-LOOKUP('Données projet'!$E$10,$A$3:$A$203,$H$3:$H$203))</f>
        <v>298.49205684341825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206.98333333333335</v>
      </c>
      <c r="BI3" s="59">
        <f ca="1">AVERAGE(OFFSET($BH$3,0,0,'Données projet'!$E$11+1,1))-AVERAGE(OFFSET($H$3,0,0,'Données projet'!$E$11+1,1))</f>
        <v>376.5647919688821</v>
      </c>
      <c r="BJ3" s="59">
        <f>IF('Données projet'!E11&gt;30,$BH$33-$H$33,LOOKUP('Données projet'!$E$11,$A$3:$A$203,BH3:BH203)-LOOKUP('Données projet'!$E$11,$A$3:$A$203,$H$3:$H$203))</f>
        <v>340.34037344565581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206.98333333333335</v>
      </c>
      <c r="CD3" s="59">
        <f ca="1">AVERAGE(OFFSET($CC$3,0,0,'Données projet'!$E$12+1,1))-AVERAGE(OFFSET($H$3,0,0,'Données projet'!$E$12+1,1))</f>
        <v>473.09076714002885</v>
      </c>
      <c r="CE3" s="59">
        <f>IF('Données projet'!E12&gt;30,$CC$33-$H$33,LOOKUP('Données projet'!$E$12,$A$3:$A$203,CC3:CC203)-LOOKUP('Données projet'!$E$12,$A$3:$A$203,$H$3:$H$203))</f>
        <v>311.6454557566534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206.98333333333335</v>
      </c>
      <c r="CY3" s="59">
        <f ca="1">AVERAGE(OFFSET($CX$3,0,0,'Données projet'!$E$13+1,1))-AVERAGE(OFFSET($H$3,0,0,'Données projet'!$E$13+1,1))</f>
        <v>379.66247682099424</v>
      </c>
      <c r="CZ3" s="59">
        <f>IF('Données projet'!E13&gt;30,$CX$33-$H$33,LOOKUP('Données projet'!$E$13,$A$3:$A$203,CX3:CX203)-LOOKUP('Données projet'!$E$13,$A$3:$A$203,$H$3:$H$203))</f>
        <v>342.92507939604081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206.98333333333335</v>
      </c>
      <c r="DT3" s="59">
        <f ca="1">AVERAGE(OFFSET($DS$3,0,0,'Données projet'!$E$14+1,1))-AVERAGE(OFFSET($H$3,0,0,'Données projet'!$E$14+1,1))</f>
        <v>544.64394576312384</v>
      </c>
      <c r="DU3" s="59">
        <f>IF('Données projet'!E14&gt;30,$DS$33-$H$33,LOOKUP('Données projet'!$E$14,$A$3:$A$203,DS3:DS203)-LOOKUP('Données projet'!$E$14,$A$3:$A$203,$H$3:$H$203))</f>
        <v>310.67291035925484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206.98333333333335</v>
      </c>
      <c r="EO3" s="59">
        <f ca="1">AVERAGE(OFFSET($EN$3,0,0,'Données projet'!$E$15+1,1))-AVERAGE(OFFSET($H$3,0,0,'Données projet'!$E$15+1,1))</f>
        <v>276.72865583771579</v>
      </c>
      <c r="EP3" s="59">
        <f>IF('Données projet'!E15&gt;30,$EN$33-$H$33,LOOKUP('Données projet'!$E$15,$A$3:$A$203,EN3:EN203)-LOOKUP('Données projet'!$E$15,$A$3:$A$203,$H$3:$H$203))</f>
        <v>174.3587092851154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4.25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15.583333333333334</v>
      </c>
      <c r="H4" s="67">
        <f t="shared" ref="H4:H67" si="1">(B4+E4+F4)*44/12+(C4+D4)*0.475*44/12</f>
        <v>222.56666666666669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5.0823076923076922</v>
      </c>
      <c r="N4" s="13">
        <f>IF('Données projet'!$A$36&gt;35,N3+M4-V3,IF(A4&lt;'Données projet'!$A$36,$K$205^A4,IF(A4='Données projet'!$A$36,'Données projet'!$B$36,N3+M4-V3)))</f>
        <v>1.4811740527139541</v>
      </c>
      <c r="O4" s="13">
        <f>N4*VLOOKUP('Données projet'!$B$9,Paramètres!$A$1:$I$89,3,0)*VLOOKUP('Données projet'!$B$9,Paramètres!$A$1:$I$89,5,0)</f>
        <v>0.88574208352294459</v>
      </c>
      <c r="P4" s="13">
        <f>EXP(-1.0587+0.8836*LN(O4)+0.284)</f>
        <v>0.41399278939386408</v>
      </c>
      <c r="Q4" s="20">
        <f t="shared" ref="Q4:Q34" si="2">(O4+P4)*0.475*44/12</f>
        <v>2.2637049036634416</v>
      </c>
      <c r="R4" s="59">
        <f t="shared" si="0"/>
        <v>211.95538487475974</v>
      </c>
      <c r="S4" s="59">
        <f ca="1">AVERAGE(OFFSET($R$3,0,0,'Données projet'!$E$9+1,1))-AVERAGE(OFFSET($H$3,0,0,'Données projet'!$E$9+1,1))</f>
        <v>341.11752883785607</v>
      </c>
      <c r="T4" s="59">
        <f>$T$3</f>
        <v>423.15445896616234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9">
        <f t="shared" ref="AM4:AM67" si="5">AL4+(AD4+AE4)*44/12</f>
        <v>212.53266974326931</v>
      </c>
      <c r="AN4" s="59">
        <f ca="1">AVERAGE(OFFSET($AM$3,0,0,'Données projet'!$E$10+1,1))-AVERAGE(OFFSET($H$3,0,0,'Données projet'!$E$10+1,1))</f>
        <v>521.72266623522626</v>
      </c>
      <c r="AO4" s="59">
        <f>$AO$3</f>
        <v>298.49205684341825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3.9923076923076919</v>
      </c>
      <c r="BD4" s="12">
        <f>IF('Données projet'!$A$88&gt;35,BD3+BC4-BL3,IF(A4&lt;'Données projet'!$A$88,$BA$205^A4,IF(A4='Données projet'!$A$88,'Données projet'!$B$88,BD3+BC4-BL3)))</f>
        <v>1.3136742413466562</v>
      </c>
      <c r="BE4" s="13">
        <f>BD4*VLOOKUP('Données projet'!$B$11,Paramètres!$A$1:$I$89,3,0)*VLOOKUP('Données projet'!$B$11,Paramètres!$A$1:$I$89,5,0)</f>
        <v>0.78557719632530054</v>
      </c>
      <c r="BF4" s="13">
        <f>EXP(-1.0587+0.8836*LN(BE4)+0.284)</f>
        <v>0.37234107552413531</v>
      </c>
      <c r="BG4" s="20">
        <f t="shared" ref="BG4:BG67" si="7">(BE4+BF4)*0.475*44/12</f>
        <v>2.0167076568044338</v>
      </c>
      <c r="BH4" s="59">
        <f t="shared" ref="BH4:BH67" si="8">BG4+(AY4+AZ4)*44/12</f>
        <v>211.70838762790075</v>
      </c>
      <c r="BI4" s="59">
        <f ca="1">AVERAGE(OFFSET($BH$3,0,0,'Données projet'!$E$11+1,1))-AVERAGE(OFFSET($H$3,0,0,'Données projet'!$E$11+1,1))</f>
        <v>376.5647919688821</v>
      </c>
      <c r="BJ4" s="59">
        <f>$BJ$3</f>
        <v>340.34037344565581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</v>
      </c>
      <c r="BY4" s="12">
        <f>IF('Données projet'!$A$114&gt;35,BY3+BX4-CG3,IF(A4&lt;'Données projet'!$A$114,$BV$205^A4,IF(A4='Données projet'!$A$114,'Données projet'!$B$114,BY3+BX4-CG3)))</f>
        <v>1.2698531483493882</v>
      </c>
      <c r="BZ4" s="13">
        <f>BY4*VLOOKUP('Données projet'!$B$12,Paramètres!$A$1:$I$89,3,0)*VLOOKUP('Données projet'!$B$12,Paramètres!$A$1:$I$89,5,0)</f>
        <v>1.2876310924262797</v>
      </c>
      <c r="CA4" s="13">
        <f>EXP(-1.0587+0.8836*LN(BZ4)+0.284)</f>
        <v>0.57618744989010817</v>
      </c>
      <c r="CB4" s="20">
        <f t="shared" ref="CB4:CB67" si="10">(BZ4+CA4)*0.475*44/12</f>
        <v>3.2461506278677086</v>
      </c>
      <c r="CC4" s="59">
        <f t="shared" ref="CC4:CC67" si="11">CB4+(BT4+BU4)*44/12</f>
        <v>212.93783059896401</v>
      </c>
      <c r="CD4" s="59">
        <f ca="1">AVERAGE(OFFSET($CC$3,0,0,'Données projet'!$E$12+1,1))-AVERAGE(OFFSET($H$3,0,0,'Données projet'!$E$12+1,1))</f>
        <v>473.09076714002885</v>
      </c>
      <c r="CE4" s="59">
        <f>$CE$3</f>
        <v>311.6454557566534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2.8999999999999995</v>
      </c>
      <c r="CT4" s="12">
        <f>IF('Données projet'!$A$140&gt;35,CT3+CS4-DB3,IF(A4&lt;'Données projet'!$A$140,$CQ$205^A4,IF(A4='Données projet'!$A$140,'Données projet'!$B$140,CT3+CS4-DB3)))</f>
        <v>1.4003603312913959</v>
      </c>
      <c r="CU4" s="17">
        <f>CT4*VLOOKUP('Données projet'!$B$13,Paramètres!$A$1:$I$89,3,0)*VLOOKUP('Données projet'!$B$13,Paramètres!$A$1:$I$89,5,0)</f>
        <v>1.2233547854161635</v>
      </c>
      <c r="CV4" s="13">
        <f>EXP(-1.0587+0.8836*LN(CU4)+0.284)</f>
        <v>0.55069785861405296</v>
      </c>
      <c r="CW4" s="20">
        <f t="shared" ref="CW4:CW67" si="13">(CU4+CV4)*0.475*44/12</f>
        <v>3.0898083550192936</v>
      </c>
      <c r="CX4" s="59">
        <f t="shared" ref="CX4:CX67" si="14">CW4+(CO4+CP4)*44/12</f>
        <v>212.78148832611561</v>
      </c>
      <c r="CY4" s="59">
        <f ca="1">AVERAGE(OFFSET($CX$3,0,0,'Données projet'!$E$13+1,1))-AVERAGE(OFFSET($H$3,0,0,'Données projet'!$E$13+1,1))</f>
        <v>379.66247682099424</v>
      </c>
      <c r="CZ4" s="59">
        <f>$CZ$3</f>
        <v>342.92507939604081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3.65</v>
      </c>
      <c r="DO4" s="12">
        <f>IF('Données projet'!$A$166&gt;35,DO3+DN4-DW3,IF(A4&lt;'Données projet'!$A$166,$DL$205^A4,IF(A4='Données projet'!$A$166,'Données projet'!$B$166,DO3+DN4-DW3)))</f>
        <v>1.2392705892426346</v>
      </c>
      <c r="DP4" s="17">
        <f>DO4*VLOOKUP('Données projet'!$B$14,Paramètres!$A$1:$I$89,3,0)*VLOOKUP('Données projet'!$B$14,Paramètres!$A$1:$I$89,5,0)</f>
        <v>1.1792898927232911</v>
      </c>
      <c r="DQ4" s="13">
        <f>EXP(-1.0587+0.8836*LN(DP4)+0.284)</f>
        <v>0.53313354102797472</v>
      </c>
      <c r="DR4" s="20">
        <f t="shared" ref="DR4:DR67" si="16">(DP4+DQ4)*0.475*44/12</f>
        <v>2.9824708137834541</v>
      </c>
      <c r="DS4" s="59">
        <f t="shared" ref="DS4:DS67" si="17">DR4+(DJ4+DK4)*44/12</f>
        <v>212.67415078487977</v>
      </c>
      <c r="DT4" s="59">
        <f ca="1">AVERAGE(OFFSET($DS$3,0,0,'Données projet'!$E$14+1,1))-AVERAGE(OFFSET($H$3,0,0,'Données projet'!$E$14+1,1))</f>
        <v>544.64394576312384</v>
      </c>
      <c r="DU4" s="59">
        <f>$DU$3</f>
        <v>310.67291035925484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1.05</v>
      </c>
      <c r="EJ4" s="12">
        <f>IF('Données projet'!$A$192&gt;35,EJ3+EI4-ER3,IF(A4&lt;'Données projet'!$A$192,$EG$205^A4,IF(A4='Données projet'!$A$192,'Données projet'!$B$192,EJ3+EI4-ER3)))</f>
        <v>1.1644235083052243</v>
      </c>
      <c r="EK4" s="17">
        <f>EJ4*VLOOKUP('Données projet'!$B$15,Paramètres!$A$1:$I$89,3,0)*VLOOKUP('Données projet'!$B$15,Paramètres!$A$1:$I$89,5,0)</f>
        <v>1.126230417232813</v>
      </c>
      <c r="EL4" s="13">
        <f>EXP(-1.0587+0.8836*LN(EK4)+0.284)</f>
        <v>0.51188205554259503</v>
      </c>
      <c r="EM4" s="20">
        <f t="shared" ref="EM4:EM67" si="19">(EK4+EL4)*0.475*44/12</f>
        <v>2.8530458900838358</v>
      </c>
      <c r="EN4" s="59">
        <f t="shared" ref="EN4:EN67" si="20">EM4+(EE4+EF4)*44/12</f>
        <v>212.54472586118015</v>
      </c>
      <c r="EO4" s="59">
        <f ca="1">AVERAGE(OFFSET($EN$3,0,0,'Données projet'!$E$15+1,1))-AVERAGE(OFFSET($H$3,0,0,'Données projet'!$E$15+1,1))</f>
        <v>276.72865583771579</v>
      </c>
      <c r="EP4" s="59">
        <f>$EP$3</f>
        <v>174.3587092851154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56.818639992117184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0.36999999999999994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4.25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15.583333333333334</v>
      </c>
      <c r="H5" s="67">
        <f t="shared" si="1"/>
        <v>222.56666666666669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5.0823076923076922</v>
      </c>
      <c r="N5" s="13">
        <f>IF('Données projet'!$A$36&gt;35,N4+M5-V4,IF(A5&lt;'Données projet'!$A$36,$K$205^A5,IF(A5='Données projet'!$A$36,'Données projet'!$B$36,N4+M5-V4)))</f>
        <v>2.1938765744330793</v>
      </c>
      <c r="O5" s="13">
        <f>N5*VLOOKUP('Données projet'!$B$9,Paramètres!$A$1:$I$89,3,0)*VLOOKUP('Données projet'!$B$9,Paramètres!$A$1:$I$89,5,0)</f>
        <v>1.3119381915109816</v>
      </c>
      <c r="P5" s="13">
        <f t="shared" ref="P5:P68" si="33">EXP(-1.0587+0.8836*LN(O5)+0.284)</f>
        <v>0.5857878005159024</v>
      </c>
      <c r="Q5" s="20">
        <f t="shared" si="2"/>
        <v>3.3052061027801565</v>
      </c>
      <c r="R5" s="59">
        <f t="shared" si="0"/>
        <v>215.68178408604476</v>
      </c>
      <c r="S5" s="59">
        <f ca="1">AVERAGE(OFFSET($R$3,0,0,'Données projet'!$E$9+1,1))-AVERAGE(OFFSET($H$3,0,0,'Données projet'!$E$9+1,1))</f>
        <v>341.11752883785607</v>
      </c>
      <c r="T5" s="59">
        <f t="shared" ref="T5:T68" si="34">$T$3</f>
        <v>423.15445896616234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9">
        <f t="shared" si="5"/>
        <v>215.87019176003028</v>
      </c>
      <c r="AN5" s="59">
        <f ca="1">AVERAGE(OFFSET($AM$3,0,0,'Données projet'!$E$10+1,1))-AVERAGE(OFFSET($H$3,0,0,'Données projet'!$E$10+1,1))</f>
        <v>521.72266623522626</v>
      </c>
      <c r="AO5" s="59">
        <f t="shared" ref="AO5:AO68" si="36">$AO$3</f>
        <v>298.49205684341825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3.9923076923076919</v>
      </c>
      <c r="BD5" s="12">
        <f>IF('Données projet'!$A$88&gt;35,BD4+BC5-BL4,IF(A5&lt;'Données projet'!$A$88,$BA$205^A5,IF(A5='Données projet'!$A$88,'Données projet'!$B$88,BD4+BC5-BL4)))</f>
        <v>1.7257400123777127</v>
      </c>
      <c r="BE5" s="13">
        <f>BD5*VLOOKUP('Données projet'!$B$11,Paramètres!$A$1:$I$89,3,0)*VLOOKUP('Données projet'!$B$11,Paramètres!$A$1:$I$89,5,0)</f>
        <v>1.0319925274018724</v>
      </c>
      <c r="BF5" s="13">
        <f t="shared" ref="BF5:BF68" si="37">EXP(-1.0587+0.8836*LN(BE5)+0.284)</f>
        <v>0.47384539761506927</v>
      </c>
      <c r="BG5" s="20">
        <f t="shared" si="7"/>
        <v>2.6226677194045069</v>
      </c>
      <c r="BH5" s="59">
        <f t="shared" si="8"/>
        <v>214.99924570266913</v>
      </c>
      <c r="BI5" s="59">
        <f ca="1">AVERAGE(OFFSET($BH$3,0,0,'Données projet'!$E$11+1,1))-AVERAGE(OFFSET($H$3,0,0,'Données projet'!$E$11+1,1))</f>
        <v>376.5647919688821</v>
      </c>
      <c r="BJ5" s="59">
        <f t="shared" ref="BJ5:BJ68" si="38">$BJ$3</f>
        <v>340.34037344565581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</v>
      </c>
      <c r="BY5" s="12">
        <f>IF('Données projet'!$A$114&gt;35,BY4+BX5-CG4,IF(A5&lt;'Données projet'!$A$114,$BV$205^A5,IF(A5='Données projet'!$A$114,'Données projet'!$B$114,BY4+BX5-CG4)))</f>
        <v>1.6125270183728533</v>
      </c>
      <c r="BZ5" s="13">
        <f>BY5*VLOOKUP('Données projet'!$B$12,Paramètres!$A$1:$I$89,3,0)*VLOOKUP('Données projet'!$B$12,Paramètres!$A$1:$I$89,5,0)</f>
        <v>1.6351023966300735</v>
      </c>
      <c r="CA5" s="13">
        <f t="shared" ref="CA5:CA68" si="39">EXP(-1.0587+0.8836*LN(BZ5)+0.284)</f>
        <v>0.71160728781785787</v>
      </c>
      <c r="CB5" s="20">
        <f t="shared" si="10"/>
        <v>4.0871860337468133</v>
      </c>
      <c r="CC5" s="59">
        <f t="shared" si="11"/>
        <v>216.46376401701141</v>
      </c>
      <c r="CD5" s="59">
        <f ca="1">AVERAGE(OFFSET($CC$3,0,0,'Données projet'!$E$12+1,1))-AVERAGE(OFFSET($H$3,0,0,'Données projet'!$E$12+1,1))</f>
        <v>473.09076714002885</v>
      </c>
      <c r="CE5" s="59">
        <f t="shared" ref="CE5:CE68" si="40">$CE$3</f>
        <v>311.6454557566534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2.8999999999999995</v>
      </c>
      <c r="CT5" s="12">
        <f>IF('Données projet'!$A$140&gt;35,CT4+CS5-DB4,IF(A5&lt;'Données projet'!$A$140,$CQ$205^A5,IF(A5='Données projet'!$A$140,'Données projet'!$B$140,CT4+CS5-DB4)))</f>
        <v>1.9610090574545482</v>
      </c>
      <c r="CU5" s="17">
        <f>CT5*VLOOKUP('Données projet'!$B$13,Paramètres!$A$1:$I$89,3,0)*VLOOKUP('Données projet'!$B$13,Paramètres!$A$1:$I$89,5,0)</f>
        <v>1.7131375125922934</v>
      </c>
      <c r="CV5" s="13">
        <f t="shared" ref="CV5:CV68" si="41">EXP(-1.0587+0.8836*LN(CU5)+0.284)</f>
        <v>0.74153366912094132</v>
      </c>
      <c r="CW5" s="20">
        <f t="shared" si="13"/>
        <v>4.2752189748172169</v>
      </c>
      <c r="CX5" s="59">
        <f t="shared" si="14"/>
        <v>216.65179695808183</v>
      </c>
      <c r="CY5" s="59">
        <f ca="1">AVERAGE(OFFSET($CX$3,0,0,'Données projet'!$E$13+1,1))-AVERAGE(OFFSET($H$3,0,0,'Données projet'!$E$13+1,1))</f>
        <v>379.66247682099424</v>
      </c>
      <c r="CZ5" s="59">
        <f t="shared" ref="CZ5:CZ68" si="42">$CZ$3</f>
        <v>342.92507939604081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3.65</v>
      </c>
      <c r="DO5" s="12">
        <f>IF('Données projet'!$A$166&gt;35,DO4+DN5-DW4,IF(A5&lt;'Données projet'!$A$166,$DL$205^A5,IF(A5='Données projet'!$A$166,'Données projet'!$B$166,DO4+DN5-DW4)))</f>
        <v>1.5357915933617867</v>
      </c>
      <c r="DP5" s="17">
        <f>DO5*VLOOKUP('Données projet'!$B$14,Paramètres!$A$1:$I$89,3,0)*VLOOKUP('Données projet'!$B$14,Paramètres!$A$1:$I$89,5,0)</f>
        <v>1.4614592802430761</v>
      </c>
      <c r="DQ5" s="13">
        <f t="shared" ref="DQ5:DQ68" si="43">EXP(-1.0587+0.8836*LN(DP5)+0.284)</f>
        <v>0.64440308385463263</v>
      </c>
      <c r="DR5" s="20">
        <f t="shared" si="16"/>
        <v>3.6677102841368421</v>
      </c>
      <c r="DS5" s="59">
        <f t="shared" si="17"/>
        <v>216.04428826740144</v>
      </c>
      <c r="DT5" s="59">
        <f ca="1">AVERAGE(OFFSET($DS$3,0,0,'Données projet'!$E$14+1,1))-AVERAGE(OFFSET($H$3,0,0,'Données projet'!$E$14+1,1))</f>
        <v>544.64394576312384</v>
      </c>
      <c r="DU5" s="59">
        <f t="shared" ref="DU5:DU68" si="44">$DU$3</f>
        <v>310.67291035925484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1.05</v>
      </c>
      <c r="EJ5" s="12">
        <f>IF('Données projet'!$A$192&gt;35,EJ4+EI5-ER4,IF(A5&lt;'Données projet'!$A$192,$EG$205^A5,IF(A5='Données projet'!$A$192,'Données projet'!$B$192,EJ4+EI5-ER4)))</f>
        <v>1.3558821066938469</v>
      </c>
      <c r="EK5" s="17">
        <f>EJ5*VLOOKUP('Données projet'!$B$15,Paramètres!$A$1:$I$89,3,0)*VLOOKUP('Données projet'!$B$15,Paramètres!$A$1:$I$89,5,0)</f>
        <v>1.3114091735942888</v>
      </c>
      <c r="EL5" s="13">
        <f t="shared" ref="EL5:EL68" si="45">EXP(-1.0587+0.8836*LN(EK5)+0.284)</f>
        <v>0.58557908091788968</v>
      </c>
      <c r="EM5" s="20">
        <f t="shared" si="19"/>
        <v>3.3039212099420436</v>
      </c>
      <c r="EN5" s="59">
        <f t="shared" si="20"/>
        <v>215.68049919320666</v>
      </c>
      <c r="EO5" s="59">
        <f ca="1">AVERAGE(OFFSET($EN$3,0,0,'Données projet'!$E$15+1,1))-AVERAGE(OFFSET($H$3,0,0,'Données projet'!$E$15+1,1))</f>
        <v>276.72865583771579</v>
      </c>
      <c r="EP5" s="59">
        <f t="shared" ref="EP5:EP68" si="46">$EP$3</f>
        <v>174.3587092851154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57.180884904526707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0.73999999999999988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4.25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15.583333333333334</v>
      </c>
      <c r="H6" s="67">
        <f t="shared" si="1"/>
        <v>222.56666666666669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5.0823076923076922</v>
      </c>
      <c r="N6" s="13">
        <f>IF('Données projet'!$A$36&gt;35,N5+M6-V5,IF(A6&lt;'Données projet'!$A$36,$K$205^A6,IF(A6='Données projet'!$A$36,'Données projet'!$B$36,N5+M6-V5)))</f>
        <v>3.2495130569072508</v>
      </c>
      <c r="O6" s="13">
        <f>N6*VLOOKUP('Données projet'!$B$9,Paramètres!$A$1:$I$89,3,0)*VLOOKUP('Données projet'!$B$9,Paramètres!$A$1:$I$89,5,0)</f>
        <v>1.9432088080305361</v>
      </c>
      <c r="P6" s="13">
        <f t="shared" si="33"/>
        <v>0.82887276306350222</v>
      </c>
      <c r="Q6" s="20">
        <f t="shared" si="2"/>
        <v>4.8280420696554494</v>
      </c>
      <c r="R6" s="59">
        <f t="shared" si="0"/>
        <v>219.86647622072425</v>
      </c>
      <c r="S6" s="59">
        <f ca="1">AVERAGE(OFFSET($R$3,0,0,'Données projet'!$E$9+1,1))-AVERAGE(OFFSET($H$3,0,0,'Données projet'!$E$9+1,1))</f>
        <v>341.11752883785607</v>
      </c>
      <c r="T6" s="59">
        <f t="shared" si="34"/>
        <v>423.15445896616234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9">
        <f t="shared" si="5"/>
        <v>219.33516104207465</v>
      </c>
      <c r="AN6" s="59">
        <f ca="1">AVERAGE(OFFSET($AM$3,0,0,'Données projet'!$E$10+1,1))-AVERAGE(OFFSET($H$3,0,0,'Données projet'!$E$10+1,1))</f>
        <v>521.72266623522626</v>
      </c>
      <c r="AO6" s="59">
        <f t="shared" si="36"/>
        <v>298.49205684341825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3.9923076923076919</v>
      </c>
      <c r="BD6" s="12">
        <f>IF('Données projet'!$A$88&gt;35,BD5+BC6-BL5,IF(A6&lt;'Données projet'!$A$88,$BA$205^A6,IF(A6='Données projet'!$A$88,'Données projet'!$B$88,BD5+BC6-BL5)))</f>
        <v>2.2670602015218608</v>
      </c>
      <c r="BE6" s="13">
        <f>BD6*VLOOKUP('Données projet'!$B$11,Paramètres!$A$1:$I$89,3,0)*VLOOKUP('Données projet'!$B$11,Paramètres!$A$1:$I$89,5,0)</f>
        <v>1.3557020005100728</v>
      </c>
      <c r="BF6" s="13">
        <f t="shared" si="37"/>
        <v>0.60302092785470529</v>
      </c>
      <c r="BG6" s="20">
        <f t="shared" si="7"/>
        <v>3.4114424335686557</v>
      </c>
      <c r="BH6" s="59">
        <f t="shared" si="8"/>
        <v>218.44987658463745</v>
      </c>
      <c r="BI6" s="59">
        <f ca="1">AVERAGE(OFFSET($BH$3,0,0,'Données projet'!$E$11+1,1))-AVERAGE(OFFSET($H$3,0,0,'Données projet'!$E$11+1,1))</f>
        <v>376.5647919688821</v>
      </c>
      <c r="BJ6" s="59">
        <f t="shared" si="38"/>
        <v>340.34037344565581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</v>
      </c>
      <c r="BY6" s="12">
        <f>IF('Données projet'!$A$114&gt;35,BY5+BX6-CG5,IF(A6&lt;'Données projet'!$A$114,$BV$205^A6,IF(A6='Données projet'!$A$114,'Données projet'!$B$114,BY5+BX6-CG5)))</f>
        <v>2.0476725110792193</v>
      </c>
      <c r="BZ6" s="13">
        <f>BY6*VLOOKUP('Données projet'!$B$12,Paramètres!$A$1:$I$89,3,0)*VLOOKUP('Données projet'!$B$12,Paramètres!$A$1:$I$89,5,0)</f>
        <v>2.0763399262343283</v>
      </c>
      <c r="CA6" s="13">
        <f t="shared" si="39"/>
        <v>0.87885449808402882</v>
      </c>
      <c r="CB6" s="20">
        <f t="shared" si="10"/>
        <v>5.1469636223544724</v>
      </c>
      <c r="CC6" s="59">
        <f t="shared" si="11"/>
        <v>220.18539777342326</v>
      </c>
      <c r="CD6" s="59">
        <f ca="1">AVERAGE(OFFSET($CC$3,0,0,'Données projet'!$E$12+1,1))-AVERAGE(OFFSET($H$3,0,0,'Données projet'!$E$12+1,1))</f>
        <v>473.09076714002885</v>
      </c>
      <c r="CE6" s="59">
        <f t="shared" si="40"/>
        <v>311.6454557566534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2.8999999999999995</v>
      </c>
      <c r="CT6" s="12">
        <f>IF('Données projet'!$A$140&gt;35,CT5+CS6-DB5,IF(A6&lt;'Données projet'!$A$140,$CQ$205^A6,IF(A6='Données projet'!$A$140,'Données projet'!$B$140,CT5+CS6-DB5)))</f>
        <v>2.7461192933624794</v>
      </c>
      <c r="CU6" s="17">
        <f>CT6*VLOOKUP('Données projet'!$B$13,Paramètres!$A$1:$I$89,3,0)*VLOOKUP('Données projet'!$B$13,Paramètres!$A$1:$I$89,5,0)</f>
        <v>2.3990098146814622</v>
      </c>
      <c r="CV6" s="13">
        <f t="shared" si="41"/>
        <v>0.99850067298942213</v>
      </c>
      <c r="CW6" s="20">
        <f t="shared" si="13"/>
        <v>5.9173307660267902</v>
      </c>
      <c r="CX6" s="59">
        <f t="shared" si="14"/>
        <v>220.95576491709559</v>
      </c>
      <c r="CY6" s="59">
        <f ca="1">AVERAGE(OFFSET($CX$3,0,0,'Données projet'!$E$13+1,1))-AVERAGE(OFFSET($H$3,0,0,'Données projet'!$E$13+1,1))</f>
        <v>379.66247682099424</v>
      </c>
      <c r="CZ6" s="59">
        <f t="shared" si="42"/>
        <v>342.92507939604081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3.65</v>
      </c>
      <c r="DO6" s="12">
        <f>IF('Données projet'!$A$166&gt;35,DO5+DN6-DW5,IF(A6&lt;'Données projet'!$A$166,$DL$205^A6,IF(A6='Données projet'!$A$166,'Données projet'!$B$166,DO5+DN6-DW5)))</f>
        <v>1.9032613528593461</v>
      </c>
      <c r="DP6" s="17">
        <f>DO6*VLOOKUP('Données projet'!$B$14,Paramètres!$A$1:$I$89,3,0)*VLOOKUP('Données projet'!$B$14,Paramètres!$A$1:$I$89,5,0)</f>
        <v>1.8111435033809535</v>
      </c>
      <c r="DQ6" s="13">
        <f t="shared" si="43"/>
        <v>0.77889553465474304</v>
      </c>
      <c r="DR6" s="20">
        <f t="shared" si="16"/>
        <v>4.5109846579121706</v>
      </c>
      <c r="DS6" s="59">
        <f t="shared" si="17"/>
        <v>219.54941880898096</v>
      </c>
      <c r="DT6" s="59">
        <f ca="1">AVERAGE(OFFSET($DS$3,0,0,'Données projet'!$E$14+1,1))-AVERAGE(OFFSET($H$3,0,0,'Données projet'!$E$14+1,1))</f>
        <v>544.64394576312384</v>
      </c>
      <c r="DU6" s="59">
        <f t="shared" si="44"/>
        <v>310.67291035925484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1.05</v>
      </c>
      <c r="EJ6" s="12">
        <f>IF('Données projet'!$A$192&gt;35,EJ5+EI6-ER5,IF(A6&lt;'Données projet'!$A$192,$EG$205^A6,IF(A6='Données projet'!$A$192,'Données projet'!$B$192,EJ5+EI6-ER5)))</f>
        <v>1.5788209995247278</v>
      </c>
      <c r="EK6" s="17">
        <f>EJ6*VLOOKUP('Données projet'!$B$15,Paramètres!$A$1:$I$89,3,0)*VLOOKUP('Données projet'!$B$15,Paramètres!$A$1:$I$89,5,0)</f>
        <v>1.5270356707403168</v>
      </c>
      <c r="EL6" s="13">
        <f t="shared" si="45"/>
        <v>0.66988646367992577</v>
      </c>
      <c r="EM6" s="20">
        <f t="shared" si="19"/>
        <v>3.8263060507819229</v>
      </c>
      <c r="EN6" s="59">
        <f t="shared" si="20"/>
        <v>218.86474020185071</v>
      </c>
      <c r="EO6" s="59">
        <f ca="1">AVERAGE(OFFSET($EN$3,0,0,'Données projet'!$E$15+1,1))-AVERAGE(OFFSET($H$3,0,0,'Données projet'!$E$15+1,1))</f>
        <v>276.72865583771579</v>
      </c>
      <c r="EP6" s="59">
        <f t="shared" si="46"/>
        <v>174.3587092851154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57.536845677564216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1.1099999999999999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4.25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15.583333333333334</v>
      </c>
      <c r="H7" s="67">
        <f t="shared" si="1"/>
        <v>222.56666666666669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5.0823076923076922</v>
      </c>
      <c r="N7" s="13">
        <f>IF('Données projet'!$A$36&gt;35,N6+M7-V6,IF(A7&lt;'Données projet'!$A$36,$K$205^A7,IF(A7='Données projet'!$A$36,'Données projet'!$B$36,N6+M7-V6)))</f>
        <v>4.8130944238462225</v>
      </c>
      <c r="O7" s="13">
        <f>N7*VLOOKUP('Données projet'!$B$9,Paramètres!$A$1:$I$89,3,0)*VLOOKUP('Données projet'!$B$9,Paramètres!$A$1:$I$89,5,0)</f>
        <v>2.8782304654600415</v>
      </c>
      <c r="P7" s="13">
        <f t="shared" si="33"/>
        <v>1.1728309410736422</v>
      </c>
      <c r="Q7" s="20">
        <f t="shared" si="2"/>
        <v>7.0555986163794984</v>
      </c>
      <c r="R7" s="59">
        <f t="shared" si="0"/>
        <v>224.73324681537434</v>
      </c>
      <c r="S7" s="59">
        <f ca="1">AVERAGE(OFFSET($R$3,0,0,'Données projet'!$E$9+1,1))-AVERAGE(OFFSET($H$3,0,0,'Données projet'!$E$9+1,1))</f>
        <v>341.11752883785607</v>
      </c>
      <c r="T7" s="59">
        <f t="shared" si="34"/>
        <v>423.15445896616234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9">
        <f t="shared" si="5"/>
        <v>222.9628026769463</v>
      </c>
      <c r="AN7" s="59">
        <f ca="1">AVERAGE(OFFSET($AM$3,0,0,'Données projet'!$E$10+1,1))-AVERAGE(OFFSET($H$3,0,0,'Données projet'!$E$10+1,1))</f>
        <v>521.72266623522626</v>
      </c>
      <c r="AO7" s="59">
        <f t="shared" si="36"/>
        <v>298.49205684341825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3.9923076923076919</v>
      </c>
      <c r="BD7" s="12">
        <f>IF('Données projet'!$A$88&gt;35,BD6+BC7-BL6,IF(A7&lt;'Données projet'!$A$88,$BA$205^A7,IF(A7='Données projet'!$A$88,'Données projet'!$B$88,BD6+BC7-BL6)))</f>
        <v>2.978178590321428</v>
      </c>
      <c r="BE7" s="13">
        <f>BD7*VLOOKUP('Données projet'!$B$11,Paramètres!$A$1:$I$89,3,0)*VLOOKUP('Données projet'!$B$11,Paramètres!$A$1:$I$89,5,0)</f>
        <v>1.780950797012214</v>
      </c>
      <c r="BF7" s="13">
        <f t="shared" si="37"/>
        <v>0.76741114562043289</v>
      </c>
      <c r="BG7" s="20">
        <f t="shared" si="7"/>
        <v>4.438397050085193</v>
      </c>
      <c r="BH7" s="59">
        <f t="shared" si="8"/>
        <v>222.11604524908003</v>
      </c>
      <c r="BI7" s="59">
        <f ca="1">AVERAGE(OFFSET($BH$3,0,0,'Données projet'!$E$11+1,1))-AVERAGE(OFFSET($H$3,0,0,'Données projet'!$E$11+1,1))</f>
        <v>376.5647919688821</v>
      </c>
      <c r="BJ7" s="59">
        <f t="shared" si="38"/>
        <v>340.34037344565581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</v>
      </c>
      <c r="BY7" s="12">
        <f>IF('Données projet'!$A$114&gt;35,BY6+BX7-CG6,IF(A7&lt;'Données projet'!$A$114,$BV$205^A7,IF(A7='Données projet'!$A$114,'Données projet'!$B$114,BY6+BX7-CG6)))</f>
        <v>2.6002433849824445</v>
      </c>
      <c r="BZ7" s="13">
        <f>BY7*VLOOKUP('Données projet'!$B$12,Paramètres!$A$1:$I$89,3,0)*VLOOKUP('Données projet'!$B$12,Paramètres!$A$1:$I$89,5,0)</f>
        <v>2.6366467923721988</v>
      </c>
      <c r="CA7" s="13">
        <f t="shared" si="39"/>
        <v>1.085409385239783</v>
      </c>
      <c r="CB7" s="20">
        <f t="shared" si="10"/>
        <v>6.4825811760075345</v>
      </c>
      <c r="CC7" s="59">
        <f t="shared" si="11"/>
        <v>224.16022937500236</v>
      </c>
      <c r="CD7" s="59">
        <f ca="1">AVERAGE(OFFSET($CC$3,0,0,'Données projet'!$E$12+1,1))-AVERAGE(OFFSET($H$3,0,0,'Données projet'!$E$12+1,1))</f>
        <v>473.09076714002885</v>
      </c>
      <c r="CE7" s="59">
        <f t="shared" si="40"/>
        <v>311.6454557566534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2.8999999999999995</v>
      </c>
      <c r="CT7" s="12">
        <f>IF('Données projet'!$A$140&gt;35,CT6+CS7-DB6,IF(A7&lt;'Données projet'!$A$140,$CQ$205^A7,IF(A7='Données projet'!$A$140,'Données projet'!$B$140,CT6+CS7-DB6)))</f>
        <v>3.8455565234187756</v>
      </c>
      <c r="CU7" s="17">
        <f>CT7*VLOOKUP('Données projet'!$B$13,Paramètres!$A$1:$I$89,3,0)*VLOOKUP('Données projet'!$B$13,Paramètres!$A$1:$I$89,5,0)</f>
        <v>3.3594781788586427</v>
      </c>
      <c r="CV7" s="13">
        <f t="shared" si="41"/>
        <v>1.3445156106562728</v>
      </c>
      <c r="CW7" s="20">
        <f t="shared" si="13"/>
        <v>8.1927891834051447</v>
      </c>
      <c r="CX7" s="59">
        <f t="shared" si="14"/>
        <v>225.87043738239998</v>
      </c>
      <c r="CY7" s="59">
        <f ca="1">AVERAGE(OFFSET($CX$3,0,0,'Données projet'!$E$13+1,1))-AVERAGE(OFFSET($H$3,0,0,'Données projet'!$E$13+1,1))</f>
        <v>379.66247682099424</v>
      </c>
      <c r="CZ7" s="59">
        <f t="shared" si="42"/>
        <v>342.92507939604081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3.65</v>
      </c>
      <c r="DO7" s="12">
        <f>IF('Données projet'!$A$166&gt;35,DO6+DN7-DW6,IF(A7&lt;'Données projet'!$A$166,$DL$205^A7,IF(A7='Données projet'!$A$166,'Données projet'!$B$166,DO6+DN7-DW6)))</f>
        <v>2.3586558182407358</v>
      </c>
      <c r="DP7" s="17">
        <f>DO7*VLOOKUP('Données projet'!$B$14,Paramètres!$A$1:$I$89,3,0)*VLOOKUP('Données projet'!$B$14,Paramètres!$A$1:$I$89,5,0)</f>
        <v>2.2444968766378843</v>
      </c>
      <c r="DQ7" s="13">
        <f t="shared" si="43"/>
        <v>0.94145771351081142</v>
      </c>
      <c r="DR7" s="20">
        <f t="shared" si="16"/>
        <v>5.5488709111756451</v>
      </c>
      <c r="DS7" s="59">
        <f t="shared" si="17"/>
        <v>223.22651911017047</v>
      </c>
      <c r="DT7" s="59">
        <f ca="1">AVERAGE(OFFSET($DS$3,0,0,'Données projet'!$E$14+1,1))-AVERAGE(OFFSET($H$3,0,0,'Données projet'!$E$14+1,1))</f>
        <v>544.64394576312384</v>
      </c>
      <c r="DU7" s="59">
        <f t="shared" si="44"/>
        <v>310.67291035925484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1.05</v>
      </c>
      <c r="EJ7" s="12">
        <f>IF('Données projet'!$A$192&gt;35,EJ6+EI7-ER6,IF(A7&lt;'Données projet'!$A$192,$EG$205^A7,IF(A7='Données projet'!$A$192,'Données projet'!$B$192,EJ6+EI7-ER6)))</f>
        <v>1.8384162872525445</v>
      </c>
      <c r="EK7" s="17">
        <f>EJ7*VLOOKUP('Données projet'!$B$15,Paramètres!$A$1:$I$89,3,0)*VLOOKUP('Données projet'!$B$15,Paramètres!$A$1:$I$89,5,0)</f>
        <v>1.778116233030661</v>
      </c>
      <c r="EL7" s="13">
        <f t="shared" si="45"/>
        <v>0.76633180529295619</v>
      </c>
      <c r="EM7" s="20">
        <f t="shared" si="19"/>
        <v>4.431580333413633</v>
      </c>
      <c r="EN7" s="59">
        <f t="shared" si="20"/>
        <v>222.10922853240845</v>
      </c>
      <c r="EO7" s="59">
        <f ca="1">AVERAGE(OFFSET($EN$3,0,0,'Données projet'!$E$15+1,1))-AVERAGE(OFFSET($H$3,0,0,'Données projet'!$E$15+1,1))</f>
        <v>276.72865583771579</v>
      </c>
      <c r="EP7" s="59">
        <f t="shared" si="46"/>
        <v>174.3587092851154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57.886631326998597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1.4799999999999998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4.25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15.583333333333334</v>
      </c>
      <c r="H8" s="67">
        <f t="shared" si="1"/>
        <v>222.56666666666669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5.0823076923076922</v>
      </c>
      <c r="N8" s="13">
        <f>IF('Données projet'!$A$36&gt;35,N7+M8-V7,IF(A8&lt;'Données projet'!$A$36,$K$205^A8,IF(A8='Données projet'!$A$36,'Données projet'!$B$36,N7+M8-V7)))</f>
        <v>7.1290305738632433</v>
      </c>
      <c r="O8" s="13">
        <f>N8*VLOOKUP('Données projet'!$B$9,Paramètres!$A$1:$I$89,3,0)*VLOOKUP('Données projet'!$B$9,Paramètres!$A$1:$I$89,5,0)</f>
        <v>4.2631602831702198</v>
      </c>
      <c r="P8" s="13">
        <f t="shared" si="33"/>
        <v>1.6595217959095871</v>
      </c>
      <c r="Q8" s="20">
        <f t="shared" si="2"/>
        <v>10.31533795439733</v>
      </c>
      <c r="R8" s="59">
        <f t="shared" si="0"/>
        <v>230.60995087159981</v>
      </c>
      <c r="S8" s="59">
        <f ca="1">AVERAGE(OFFSET($R$3,0,0,'Données projet'!$E$9+1,1))-AVERAGE(OFFSET($H$3,0,0,'Données projet'!$E$9+1,1))</f>
        <v>341.11752883785607</v>
      </c>
      <c r="T8" s="59">
        <f t="shared" si="34"/>
        <v>423.15445896616234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9">
        <f t="shared" si="5"/>
        <v>226.79642075626793</v>
      </c>
      <c r="AN8" s="59">
        <f ca="1">AVERAGE(OFFSET($AM$3,0,0,'Données projet'!$E$10+1,1))-AVERAGE(OFFSET($H$3,0,0,'Données projet'!$E$10+1,1))</f>
        <v>521.72266623522626</v>
      </c>
      <c r="AO8" s="59">
        <f t="shared" si="36"/>
        <v>298.49205684341825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3.9923076923076919</v>
      </c>
      <c r="BD8" s="12">
        <f>IF('Données projet'!$A$88&gt;35,BD7+BC8-BL7,IF(A8&lt;'Données projet'!$A$88,$BA$205^A8,IF(A8='Données projet'!$A$88,'Données projet'!$B$88,BD7+BC8-BL7)))</f>
        <v>3.9123565002353557</v>
      </c>
      <c r="BE8" s="13">
        <f>BD8*VLOOKUP('Données projet'!$B$11,Paramètres!$A$1:$I$89,3,0)*VLOOKUP('Données projet'!$B$11,Paramètres!$A$1:$I$89,5,0)</f>
        <v>2.339589187140743</v>
      </c>
      <c r="BF8" s="13">
        <f t="shared" si="37"/>
        <v>0.97661596674197404</v>
      </c>
      <c r="BG8" s="20">
        <f t="shared" si="7"/>
        <v>5.7757239763457333</v>
      </c>
      <c r="BH8" s="59">
        <f t="shared" si="8"/>
        <v>226.07033689354822</v>
      </c>
      <c r="BI8" s="59">
        <f ca="1">AVERAGE(OFFSET($BH$3,0,0,'Données projet'!$E$11+1,1))-AVERAGE(OFFSET($H$3,0,0,'Données projet'!$E$11+1,1))</f>
        <v>376.5647919688821</v>
      </c>
      <c r="BJ8" s="59">
        <f t="shared" si="38"/>
        <v>340.34037344565581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</v>
      </c>
      <c r="BY8" s="12">
        <f>IF('Données projet'!$A$114&gt;35,BY7+BX8-CG7,IF(A8&lt;'Données projet'!$A$114,$BV$205^A8,IF(A8='Données projet'!$A$114,'Données projet'!$B$114,BY7+BX8-CG7)))</f>
        <v>3.3019272488946276</v>
      </c>
      <c r="BZ8" s="13">
        <f>BY8*VLOOKUP('Données projet'!$B$12,Paramètres!$A$1:$I$89,3,0)*VLOOKUP('Données projet'!$B$12,Paramètres!$A$1:$I$89,5,0)</f>
        <v>3.3481542303791527</v>
      </c>
      <c r="CA8" s="13">
        <f t="shared" si="39"/>
        <v>1.3405103303618322</v>
      </c>
      <c r="CB8" s="20">
        <f t="shared" si="10"/>
        <v>8.1660907766238822</v>
      </c>
      <c r="CC8" s="59">
        <f t="shared" si="11"/>
        <v>228.46070369382636</v>
      </c>
      <c r="CD8" s="59">
        <f ca="1">AVERAGE(OFFSET($CC$3,0,0,'Données projet'!$E$12+1,1))-AVERAGE(OFFSET($H$3,0,0,'Données projet'!$E$12+1,1))</f>
        <v>473.09076714002885</v>
      </c>
      <c r="CE8" s="59">
        <f t="shared" si="40"/>
        <v>311.6454557566534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2.8999999999999995</v>
      </c>
      <c r="CT8" s="12">
        <f>IF('Données projet'!$A$140&gt;35,CT7+CS8-DB7,IF(A8&lt;'Données projet'!$A$140,$CQ$205^A8,IF(A8='Données projet'!$A$140,'Données projet'!$B$140,CT7+CS8-DB7)))</f>
        <v>5.3851648071345055</v>
      </c>
      <c r="CU8" s="17">
        <f>CT8*VLOOKUP('Données projet'!$B$13,Paramètres!$A$1:$I$89,3,0)*VLOOKUP('Données projet'!$B$13,Paramètres!$A$1:$I$89,5,0)</f>
        <v>4.7044799755127045</v>
      </c>
      <c r="CV8" s="13">
        <f t="shared" si="41"/>
        <v>1.8104366638895204</v>
      </c>
      <c r="CW8" s="20">
        <f t="shared" si="13"/>
        <v>11.346813146958874</v>
      </c>
      <c r="CX8" s="59">
        <f t="shared" si="14"/>
        <v>231.64142606416135</v>
      </c>
      <c r="CY8" s="59">
        <f ca="1">AVERAGE(OFFSET($CX$3,0,0,'Données projet'!$E$13+1,1))-AVERAGE(OFFSET($H$3,0,0,'Données projet'!$E$13+1,1))</f>
        <v>379.66247682099424</v>
      </c>
      <c r="CZ8" s="59">
        <f t="shared" si="42"/>
        <v>342.92507939604081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3.65</v>
      </c>
      <c r="DO8" s="12">
        <f>IF('Données projet'!$A$166&gt;35,DO7+DN8-DW7,IF(A8&lt;'Données projet'!$A$166,$DL$205^A8,IF(A8='Données projet'!$A$166,'Données projet'!$B$166,DO7+DN8-DW7)))</f>
        <v>2.9230127856917649</v>
      </c>
      <c r="DP8" s="17">
        <f>DO8*VLOOKUP('Données projet'!$B$14,Paramètres!$A$1:$I$89,3,0)*VLOOKUP('Données projet'!$B$14,Paramètres!$A$1:$I$89,5,0)</f>
        <v>2.7815389668642836</v>
      </c>
      <c r="DQ8" s="13">
        <f t="shared" si="43"/>
        <v>1.1379480134288988</v>
      </c>
      <c r="DR8" s="20">
        <f t="shared" si="16"/>
        <v>6.8264398240106265</v>
      </c>
      <c r="DS8" s="59">
        <f t="shared" si="17"/>
        <v>227.12105274121311</v>
      </c>
      <c r="DT8" s="59">
        <f ca="1">AVERAGE(OFFSET($DS$3,0,0,'Données projet'!$E$14+1,1))-AVERAGE(OFFSET($H$3,0,0,'Données projet'!$E$14+1,1))</f>
        <v>544.64394576312384</v>
      </c>
      <c r="DU8" s="59">
        <f t="shared" si="44"/>
        <v>310.67291035925484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1.05</v>
      </c>
      <c r="EJ8" s="12">
        <f>IF('Données projet'!$A$192&gt;35,EJ7+EI8-ER7,IF(A8&lt;'Données projet'!$A$192,$EG$205^A8,IF(A8='Données projet'!$A$192,'Données projet'!$B$192,EJ7+EI8-ER7)))</f>
        <v>2.1406951429280729</v>
      </c>
      <c r="EK8" s="17">
        <f>EJ8*VLOOKUP('Données projet'!$B$15,Paramètres!$A$1:$I$89,3,0)*VLOOKUP('Données projet'!$B$15,Paramètres!$A$1:$I$89,5,0)</f>
        <v>2.0704803422400322</v>
      </c>
      <c r="EL8" s="13">
        <f t="shared" si="45"/>
        <v>0.87666264008009354</v>
      </c>
      <c r="EM8" s="20">
        <f t="shared" si="19"/>
        <v>5.1329406942075515</v>
      </c>
      <c r="EN8" s="59">
        <f t="shared" si="20"/>
        <v>225.42755361141002</v>
      </c>
      <c r="EO8" s="59">
        <f ca="1">AVERAGE(OFFSET($EN$3,0,0,'Données projet'!$E$15+1,1))-AVERAGE(OFFSET($H$3,0,0,'Données projet'!$E$15+1,1))</f>
        <v>276.72865583771579</v>
      </c>
      <c r="EP8" s="59">
        <f t="shared" si="46"/>
        <v>174.3587092851154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58.230348977418856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1.8499999999999994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4.25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15.583333333333334</v>
      </c>
      <c r="H9" s="67">
        <f t="shared" si="1"/>
        <v>222.56666666666669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5.0823076923076922</v>
      </c>
      <c r="N9" s="13">
        <f>IF('Données projet'!$A$36&gt;35,N8+M9-V8,IF(A9&lt;'Données projet'!$A$36,$K$205^A9,IF(A9='Données projet'!$A$36,'Données projet'!$B$36,N8+M9-V8)))</f>
        <v>10.559335107010707</v>
      </c>
      <c r="O9" s="13">
        <f>N9*VLOOKUP('Données projet'!$B$9,Paramètres!$A$1:$I$89,3,0)*VLOOKUP('Données projet'!$B$9,Paramètres!$A$1:$I$89,5,0)</f>
        <v>6.3144823939924031</v>
      </c>
      <c r="P9" s="13">
        <f t="shared" si="33"/>
        <v>2.3481752524177799</v>
      </c>
      <c r="Q9" s="20">
        <f t="shared" si="2"/>
        <v>15.087462067497738</v>
      </c>
      <c r="R9" s="59">
        <f t="shared" si="0"/>
        <v>237.97717634931789</v>
      </c>
      <c r="S9" s="59">
        <f ca="1">AVERAGE(OFFSET($R$3,0,0,'Données projet'!$E$9+1,1))-AVERAGE(OFFSET($H$3,0,0,'Données projet'!$E$9+1,1))</f>
        <v>341.11752883785607</v>
      </c>
      <c r="T9" s="59">
        <f t="shared" si="34"/>
        <v>423.15445896616234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9">
        <f t="shared" si="5"/>
        <v>230.88928172512291</v>
      </c>
      <c r="AN9" s="59">
        <f ca="1">AVERAGE(OFFSET($AM$3,0,0,'Données projet'!$E$10+1,1))-AVERAGE(OFFSET($H$3,0,0,'Données projet'!$E$10+1,1))</f>
        <v>521.72266623522626</v>
      </c>
      <c r="AO9" s="59">
        <f t="shared" si="36"/>
        <v>298.49205684341825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3.9923076923076919</v>
      </c>
      <c r="BD9" s="12">
        <f>IF('Données projet'!$A$88&gt;35,BD8+BC9-BL8,IF(A9&lt;'Données projet'!$A$88,$BA$205^A9,IF(A9='Données projet'!$A$88,'Données projet'!$B$88,BD8+BC9-BL8)))</f>
        <v>5.1395619573243403</v>
      </c>
      <c r="BE9" s="13">
        <f>BD9*VLOOKUP('Données projet'!$B$11,Paramètres!$A$1:$I$89,3,0)*VLOOKUP('Données projet'!$B$11,Paramètres!$A$1:$I$89,5,0)</f>
        <v>3.0734580504799558</v>
      </c>
      <c r="BF9" s="13">
        <f t="shared" si="37"/>
        <v>1.2428523509705534</v>
      </c>
      <c r="BG9" s="20">
        <f t="shared" si="7"/>
        <v>7.5175739491929692</v>
      </c>
      <c r="BH9" s="59">
        <f t="shared" si="8"/>
        <v>230.40728823101313</v>
      </c>
      <c r="BI9" s="59">
        <f ca="1">AVERAGE(OFFSET($BH$3,0,0,'Données projet'!$E$11+1,1))-AVERAGE(OFFSET($H$3,0,0,'Données projet'!$E$11+1,1))</f>
        <v>376.5647919688821</v>
      </c>
      <c r="BJ9" s="59">
        <f t="shared" si="38"/>
        <v>340.34037344565581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</v>
      </c>
      <c r="BY9" s="12">
        <f>IF('Données projet'!$A$114&gt;35,BY8+BX9-CG8,IF(A9&lt;'Données projet'!$A$114,$BV$205^A9,IF(A9='Données projet'!$A$114,'Données projet'!$B$114,BY8+BX9-CG8)))</f>
        <v>4.1929627126294768</v>
      </c>
      <c r="BZ9" s="13">
        <f>BY9*VLOOKUP('Données projet'!$B$12,Paramètres!$A$1:$I$89,3,0)*VLOOKUP('Données projet'!$B$12,Paramètres!$A$1:$I$89,5,0)</f>
        <v>4.2516641906062898</v>
      </c>
      <c r="CA9" s="13">
        <f t="shared" si="39"/>
        <v>1.6555669872062251</v>
      </c>
      <c r="CB9" s="20">
        <f t="shared" si="10"/>
        <v>10.288427634690128</v>
      </c>
      <c r="CC9" s="59">
        <f t="shared" si="11"/>
        <v>233.17814191651027</v>
      </c>
      <c r="CD9" s="59">
        <f ca="1">AVERAGE(OFFSET($CC$3,0,0,'Données projet'!$E$12+1,1))-AVERAGE(OFFSET($H$3,0,0,'Données projet'!$E$12+1,1))</f>
        <v>473.09076714002885</v>
      </c>
      <c r="CE9" s="59">
        <f t="shared" si="40"/>
        <v>311.6454557566534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2.8999999999999995</v>
      </c>
      <c r="CT9" s="12">
        <f>IF('Données projet'!$A$140&gt;35,CT8+CS9-DB8,IF(A9&lt;'Données projet'!$A$140,$CQ$205^A9,IF(A9='Données projet'!$A$140,'Données projet'!$B$140,CT8+CS9-DB8)))</f>
        <v>7.5411711733776423</v>
      </c>
      <c r="CU9" s="17">
        <f>CT9*VLOOKUP('Données projet'!$B$13,Paramètres!$A$1:$I$89,3,0)*VLOOKUP('Données projet'!$B$13,Paramètres!$A$1:$I$89,5,0)</f>
        <v>6.5879671370627086</v>
      </c>
      <c r="CV9" s="13">
        <f t="shared" si="41"/>
        <v>2.4378154392387783</v>
      </c>
      <c r="CW9" s="20">
        <f t="shared" si="13"/>
        <v>15.71990465372509</v>
      </c>
      <c r="CX9" s="59">
        <f t="shared" si="14"/>
        <v>238.60961893554523</v>
      </c>
      <c r="CY9" s="59">
        <f ca="1">AVERAGE(OFFSET($CX$3,0,0,'Données projet'!$E$13+1,1))-AVERAGE(OFFSET($H$3,0,0,'Données projet'!$E$13+1,1))</f>
        <v>379.66247682099424</v>
      </c>
      <c r="CZ9" s="59">
        <f t="shared" si="42"/>
        <v>342.92507939604081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3.65</v>
      </c>
      <c r="DO9" s="12">
        <f>IF('Données projet'!$A$166&gt;35,DO8+DN9-DW8,IF(A9&lt;'Données projet'!$A$166,$DL$205^A9,IF(A9='Données projet'!$A$166,'Données projet'!$B$166,DO8+DN9-DW8)))</f>
        <v>3.6224037772879885</v>
      </c>
      <c r="DP9" s="17">
        <f>DO9*VLOOKUP('Données projet'!$B$14,Paramètres!$A$1:$I$89,3,0)*VLOOKUP('Données projet'!$B$14,Paramètres!$A$1:$I$89,5,0)</f>
        <v>3.4470794344672502</v>
      </c>
      <c r="DQ9" s="13">
        <f t="shared" si="43"/>
        <v>1.3754475242842723</v>
      </c>
      <c r="DR9" s="20">
        <f t="shared" si="16"/>
        <v>8.3992344531589023</v>
      </c>
      <c r="DS9" s="59">
        <f t="shared" si="17"/>
        <v>231.28894873497904</v>
      </c>
      <c r="DT9" s="59">
        <f ca="1">AVERAGE(OFFSET($DS$3,0,0,'Données projet'!$E$14+1,1))-AVERAGE(OFFSET($H$3,0,0,'Données projet'!$E$14+1,1))</f>
        <v>544.64394576312384</v>
      </c>
      <c r="DU9" s="59">
        <f t="shared" si="44"/>
        <v>310.67291035925484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1.05</v>
      </c>
      <c r="EJ9" s="12">
        <f>IF('Données projet'!$A$192&gt;35,EJ8+EI9-ER8,IF(A9&lt;'Données projet'!$A$192,$EG$205^A9,IF(A9='Données projet'!$A$192,'Données projet'!$B$192,EJ8+EI9-ER8)))</f>
        <v>2.4926757485402602</v>
      </c>
      <c r="EK9" s="17">
        <f>EJ9*VLOOKUP('Données projet'!$B$15,Paramètres!$A$1:$I$89,3,0)*VLOOKUP('Données projet'!$B$15,Paramètres!$A$1:$I$89,5,0)</f>
        <v>2.41091598398814</v>
      </c>
      <c r="EL9" s="13">
        <f t="shared" si="45"/>
        <v>1.0028780995438396</v>
      </c>
      <c r="EM9" s="20">
        <f t="shared" si="19"/>
        <v>5.945691362151531</v>
      </c>
      <c r="EN9" s="59">
        <f t="shared" si="20"/>
        <v>228.83540564397168</v>
      </c>
      <c r="EO9" s="59">
        <f ca="1">AVERAGE(OFFSET($EN$3,0,0,'Données projet'!$E$15+1,1))-AVERAGE(OFFSET($H$3,0,0,'Données projet'!$E$15+1,1))</f>
        <v>276.72865583771579</v>
      </c>
      <c r="EP9" s="59">
        <f t="shared" si="46"/>
        <v>174.3587092851154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58.568103895041858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2.2199999999999998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4.25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15.583333333333334</v>
      </c>
      <c r="H10" s="67">
        <f t="shared" si="1"/>
        <v>222.56666666666669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5.0823076923076922</v>
      </c>
      <c r="N10" s="13">
        <f>IF('Données projet'!$A$36&gt;35,N9+M10-V9,IF(A10&lt;'Données projet'!$A$36,$K$205^A10,IF(A10='Données projet'!$A$36,'Données projet'!$B$36,N9+M10-V9)))</f>
        <v>15.640213174415782</v>
      </c>
      <c r="O10" s="13">
        <f>N10*VLOOKUP('Données projet'!$B$9,Paramètres!$A$1:$I$89,3,0)*VLOOKUP('Données projet'!$B$9,Paramètres!$A$1:$I$89,5,0)</f>
        <v>9.3528474783006388</v>
      </c>
      <c r="P10" s="13">
        <f t="shared" si="33"/>
        <v>3.322599937920736</v>
      </c>
      <c r="Q10" s="20">
        <f t="shared" si="2"/>
        <v>22.076404249918891</v>
      </c>
      <c r="R10" s="59">
        <f t="shared" si="0"/>
        <v>247.53973582307239</v>
      </c>
      <c r="S10" s="59">
        <f ca="1">AVERAGE(OFFSET($R$3,0,0,'Données projet'!$E$9+1,1))-AVERAGE(OFFSET($H$3,0,0,'Données projet'!$E$9+1,1))</f>
        <v>341.11752883785607</v>
      </c>
      <c r="T10" s="59">
        <f t="shared" si="34"/>
        <v>423.15445896616234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9">
        <f t="shared" si="5"/>
        <v>235.30693758257632</v>
      </c>
      <c r="AN10" s="59">
        <f ca="1">AVERAGE(OFFSET($AM$3,0,0,'Données projet'!$E$10+1,1))-AVERAGE(OFFSET($H$3,0,0,'Données projet'!$E$10+1,1))</f>
        <v>521.72266623522626</v>
      </c>
      <c r="AO10" s="59">
        <f t="shared" si="36"/>
        <v>298.49205684341825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3.9923076923076919</v>
      </c>
      <c r="BD10" s="12">
        <f>IF('Données projet'!$A$88&gt;35,BD9+BC10-BL9,IF(A10&lt;'Données projet'!$A$88,$BA$205^A10,IF(A10='Données projet'!$A$88,'Données projet'!$B$88,BD9+BC10-BL9)))</f>
        <v>6.7517101551421881</v>
      </c>
      <c r="BE10" s="13">
        <f>BD10*VLOOKUP('Données projet'!$B$11,Paramètres!$A$1:$I$89,3,0)*VLOOKUP('Données projet'!$B$11,Paramètres!$A$1:$I$89,5,0)</f>
        <v>4.0375226727750286</v>
      </c>
      <c r="BF10" s="13">
        <f t="shared" si="37"/>
        <v>1.5816677372848467</v>
      </c>
      <c r="BG10" s="20">
        <f t="shared" si="7"/>
        <v>9.786756630854283</v>
      </c>
      <c r="BH10" s="59">
        <f t="shared" si="8"/>
        <v>235.2500882040078</v>
      </c>
      <c r="BI10" s="59">
        <f ca="1">AVERAGE(OFFSET($BH$3,0,0,'Données projet'!$E$11+1,1))-AVERAGE(OFFSET($H$3,0,0,'Données projet'!$E$11+1,1))</f>
        <v>376.5647919688821</v>
      </c>
      <c r="BJ10" s="59">
        <f t="shared" si="38"/>
        <v>340.34037344565581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</v>
      </c>
      <c r="BY10" s="12">
        <f>IF('Données projet'!$A$114&gt;35,BY9+BX10-CG9,IF(A10&lt;'Données projet'!$A$114,$BV$205^A10,IF(A10='Données projet'!$A$114,'Données projet'!$B$114,BY9+BX10-CG9)))</f>
        <v>5.3244469015441309</v>
      </c>
      <c r="BZ10" s="13">
        <f>BY10*VLOOKUP('Données projet'!$B$12,Paramètres!$A$1:$I$89,3,0)*VLOOKUP('Données projet'!$B$12,Paramètres!$A$1:$I$89,5,0)</f>
        <v>5.3989891581657492</v>
      </c>
      <c r="CA10" s="13">
        <f t="shared" si="39"/>
        <v>2.0446705907796083</v>
      </c>
      <c r="CB10" s="20">
        <f t="shared" si="10"/>
        <v>12.964374062746495</v>
      </c>
      <c r="CC10" s="59">
        <f t="shared" si="11"/>
        <v>238.4277056359</v>
      </c>
      <c r="CD10" s="59">
        <f ca="1">AVERAGE(OFFSET($CC$3,0,0,'Données projet'!$E$12+1,1))-AVERAGE(OFFSET($H$3,0,0,'Données projet'!$E$12+1,1))</f>
        <v>473.09076714002885</v>
      </c>
      <c r="CE10" s="59">
        <f t="shared" si="40"/>
        <v>311.6454557566534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2.8999999999999995</v>
      </c>
      <c r="CT10" s="12">
        <f>IF('Données projet'!$A$140&gt;35,CT9+CS10-DB9,IF(A10&lt;'Données projet'!$A$140,$CQ$205^A10,IF(A10='Données projet'!$A$140,'Données projet'!$B$140,CT9+CS10-DB9)))</f>
        <v>10.560356962676241</v>
      </c>
      <c r="CU10" s="17">
        <f>CT10*VLOOKUP('Données projet'!$B$13,Paramètres!$A$1:$I$89,3,0)*VLOOKUP('Données projet'!$B$13,Paramètres!$A$1:$I$89,5,0)</f>
        <v>9.2255278425939657</v>
      </c>
      <c r="CV10" s="13">
        <f t="shared" si="41"/>
        <v>3.282602608711652</v>
      </c>
      <c r="CW10" s="20">
        <f t="shared" si="13"/>
        <v>21.784993869357283</v>
      </c>
      <c r="CX10" s="59">
        <f t="shared" si="14"/>
        <v>247.2483254425108</v>
      </c>
      <c r="CY10" s="59">
        <f ca="1">AVERAGE(OFFSET($CX$3,0,0,'Données projet'!$E$13+1,1))-AVERAGE(OFFSET($H$3,0,0,'Données projet'!$E$13+1,1))</f>
        <v>379.66247682099424</v>
      </c>
      <c r="CZ10" s="59">
        <f t="shared" si="42"/>
        <v>342.92507939604081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3.65</v>
      </c>
      <c r="DO10" s="12">
        <f>IF('Données projet'!$A$166&gt;35,DO9+DN10-DW9,IF(A10&lt;'Données projet'!$A$166,$DL$205^A10,IF(A10='Données projet'!$A$166,'Données projet'!$B$166,DO9+DN10-DW9)))</f>
        <v>4.4891384635544309</v>
      </c>
      <c r="DP10" s="17">
        <f>DO10*VLOOKUP('Données projet'!$B$14,Paramètres!$A$1:$I$89,3,0)*VLOOKUP('Données projet'!$B$14,Paramètres!$A$1:$I$89,5,0)</f>
        <v>4.2718641619183968</v>
      </c>
      <c r="DQ10" s="13">
        <f t="shared" si="43"/>
        <v>1.6625152201453717</v>
      </c>
      <c r="DR10" s="20">
        <f t="shared" si="16"/>
        <v>10.335710757094397</v>
      </c>
      <c r="DS10" s="59">
        <f t="shared" si="17"/>
        <v>235.79904233024791</v>
      </c>
      <c r="DT10" s="59">
        <f ca="1">AVERAGE(OFFSET($DS$3,0,0,'Données projet'!$E$14+1,1))-AVERAGE(OFFSET($H$3,0,0,'Données projet'!$E$14+1,1))</f>
        <v>544.64394576312384</v>
      </c>
      <c r="DU10" s="59">
        <f t="shared" si="44"/>
        <v>310.67291035925484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1.05</v>
      </c>
      <c r="EJ10" s="12">
        <f>IF('Données projet'!$A$192&gt;35,EJ9+EI10-ER9,IF(A10&lt;'Données projet'!$A$192,$EG$205^A10,IF(A10='Données projet'!$A$192,'Données projet'!$B$192,EJ9+EI10-ER9)))</f>
        <v>2.9025302401826014</v>
      </c>
      <c r="EK10" s="17">
        <f>EJ10*VLOOKUP('Données projet'!$B$15,Paramètres!$A$1:$I$89,3,0)*VLOOKUP('Données projet'!$B$15,Paramètres!$A$1:$I$89,5,0)</f>
        <v>2.8073272483046123</v>
      </c>
      <c r="EL10" s="13">
        <f t="shared" si="45"/>
        <v>1.1472651354833312</v>
      </c>
      <c r="EM10" s="20">
        <f t="shared" si="19"/>
        <v>6.887581735097335</v>
      </c>
      <c r="EN10" s="59">
        <f t="shared" si="20"/>
        <v>232.35091330825085</v>
      </c>
      <c r="EO10" s="59">
        <f ca="1">AVERAGE(OFFSET($EN$3,0,0,'Données projet'!$E$15+1,1))-AVERAGE(OFFSET($H$3,0,0,'Données projet'!$E$15+1,1))</f>
        <v>276.72865583771579</v>
      </c>
      <c r="EP10" s="59">
        <f t="shared" si="46"/>
        <v>174.3587092851154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58.899999519950967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2.5899999999999994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4.25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15.583333333333334</v>
      </c>
      <c r="H11" s="67">
        <f t="shared" si="1"/>
        <v>222.56666666666669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5.0823076923076922</v>
      </c>
      <c r="N11" s="13">
        <f>IF('Données projet'!$A$36&gt;35,N10+M11-V10,IF(A11&lt;'Données projet'!$A$36,$K$205^A11,IF(A11='Données projet'!$A$36,'Données projet'!$B$36,N10+M11-V10)))</f>
        <v>23.165877932859601</v>
      </c>
      <c r="O11" s="13">
        <f>N11*VLOOKUP('Données projet'!$B$9,Paramètres!$A$1:$I$89,3,0)*VLOOKUP('Données projet'!$B$9,Paramètres!$A$1:$I$89,5,0)</f>
        <v>13.853195003850043</v>
      </c>
      <c r="P11" s="13">
        <f t="shared" si="33"/>
        <v>4.7013826315152487</v>
      </c>
      <c r="Q11" s="20">
        <f t="shared" si="2"/>
        <v>32.315889381594552</v>
      </c>
      <c r="R11" s="59">
        <f t="shared" si="0"/>
        <v>260.33172687343762</v>
      </c>
      <c r="S11" s="59">
        <f ca="1">AVERAGE(OFFSET($R$3,0,0,'Données projet'!$E$9+1,1))-AVERAGE(OFFSET($H$3,0,0,'Données projet'!$E$9+1,1))</f>
        <v>341.11752883785607</v>
      </c>
      <c r="T11" s="59">
        <f t="shared" si="34"/>
        <v>423.15445896616234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9">
        <f t="shared" si="5"/>
        <v>240.13009193408894</v>
      </c>
      <c r="AN11" s="59">
        <f ca="1">AVERAGE(OFFSET($AM$3,0,0,'Données projet'!$E$10+1,1))-AVERAGE(OFFSET($H$3,0,0,'Données projet'!$E$10+1,1))</f>
        <v>521.72266623522626</v>
      </c>
      <c r="AO11" s="59">
        <f t="shared" si="36"/>
        <v>298.49205684341825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3.9923076923076919</v>
      </c>
      <c r="BD11" s="12">
        <f>IF('Données projet'!$A$88&gt;35,BD10+BC11-BL10,IF(A11&lt;'Données projet'!$A$88,$BA$205^A11,IF(A11='Données projet'!$A$88,'Données projet'!$B$88,BD10+BC11-BL10)))</f>
        <v>8.8695477158489275</v>
      </c>
      <c r="BE11" s="13">
        <f>BD11*VLOOKUP('Données projet'!$B$11,Paramètres!$A$1:$I$89,3,0)*VLOOKUP('Données projet'!$B$11,Paramètres!$A$1:$I$89,5,0)</f>
        <v>5.3039895340776599</v>
      </c>
      <c r="BF11" s="13">
        <f t="shared" si="37"/>
        <v>2.0128479696033015</v>
      </c>
      <c r="BG11" s="20">
        <f t="shared" si="7"/>
        <v>12.743491985577675</v>
      </c>
      <c r="BH11" s="59">
        <f t="shared" si="8"/>
        <v>240.75932947742072</v>
      </c>
      <c r="BI11" s="59">
        <f ca="1">AVERAGE(OFFSET($BH$3,0,0,'Données projet'!$E$11+1,1))-AVERAGE(OFFSET($H$3,0,0,'Données projet'!$E$11+1,1))</f>
        <v>376.5647919688821</v>
      </c>
      <c r="BJ11" s="59">
        <f t="shared" si="38"/>
        <v>340.34037344565581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</v>
      </c>
      <c r="BY11" s="12">
        <f>IF('Données projet'!$A$114&gt;35,BY10+BX11-CG10,IF(A11&lt;'Données projet'!$A$114,$BV$205^A11,IF(A11='Données projet'!$A$114,'Données projet'!$B$114,BY10+BX11-CG10)))</f>
        <v>6.7612656611449609</v>
      </c>
      <c r="BZ11" s="13">
        <f>BY11*VLOOKUP('Données projet'!$B$12,Paramètres!$A$1:$I$89,3,0)*VLOOKUP('Données projet'!$B$12,Paramètres!$A$1:$I$89,5,0)</f>
        <v>6.8559233804009914</v>
      </c>
      <c r="CA11" s="13">
        <f t="shared" si="39"/>
        <v>2.5252242024069012</v>
      </c>
      <c r="CB11" s="20">
        <f t="shared" si="10"/>
        <v>16.338832040057081</v>
      </c>
      <c r="CC11" s="59">
        <f t="shared" si="11"/>
        <v>244.35466953190013</v>
      </c>
      <c r="CD11" s="59">
        <f ca="1">AVERAGE(OFFSET($CC$3,0,0,'Données projet'!$E$12+1,1))-AVERAGE(OFFSET($H$3,0,0,'Données projet'!$E$12+1,1))</f>
        <v>473.09076714002885</v>
      </c>
      <c r="CE11" s="59">
        <f t="shared" si="40"/>
        <v>311.6454557566534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2.8999999999999995</v>
      </c>
      <c r="CT11" s="12">
        <f>IF('Données projet'!$A$140&gt;35,CT10+CS11-DB10,IF(A11&lt;'Données projet'!$A$140,$CQ$205^A11,IF(A11='Données projet'!$A$140,'Données projet'!$B$140,CT10+CS11-DB10)))</f>
        <v>14.7883049748087</v>
      </c>
      <c r="CU11" s="17">
        <f>CT11*VLOOKUP('Données projet'!$B$13,Paramètres!$A$1:$I$89,3,0)*VLOOKUP('Données projet'!$B$13,Paramètres!$A$1:$I$89,5,0)</f>
        <v>12.919063225992881</v>
      </c>
      <c r="CV11" s="13">
        <f t="shared" si="41"/>
        <v>4.4201376828121335</v>
      </c>
      <c r="CW11" s="20">
        <f t="shared" si="13"/>
        <v>30.199108249502064</v>
      </c>
      <c r="CX11" s="59">
        <f t="shared" si="14"/>
        <v>258.2149457413451</v>
      </c>
      <c r="CY11" s="59">
        <f ca="1">AVERAGE(OFFSET($CX$3,0,0,'Données projet'!$E$13+1,1))-AVERAGE(OFFSET($H$3,0,0,'Données projet'!$E$13+1,1))</f>
        <v>379.66247682099424</v>
      </c>
      <c r="CZ11" s="59">
        <f t="shared" si="42"/>
        <v>342.92507939604081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3.65</v>
      </c>
      <c r="DO11" s="12">
        <f>IF('Données projet'!$A$166&gt;35,DO10+DN11-DW10,IF(A11&lt;'Données projet'!$A$166,$DL$205^A11,IF(A11='Données projet'!$A$166,'Données projet'!$B$166,DO10+DN11-DW10)))</f>
        <v>5.563257268920875</v>
      </c>
      <c r="DP11" s="17">
        <f>DO11*VLOOKUP('Données projet'!$B$14,Paramètres!$A$1:$I$89,3,0)*VLOOKUP('Données projet'!$B$14,Paramètres!$A$1:$I$89,5,0)</f>
        <v>5.2939956171051046</v>
      </c>
      <c r="DQ11" s="13">
        <f t="shared" si="43"/>
        <v>2.0094964063810909</v>
      </c>
      <c r="DR11" s="20">
        <f t="shared" si="16"/>
        <v>12.72024860757179</v>
      </c>
      <c r="DS11" s="59">
        <f t="shared" si="17"/>
        <v>240.73608609941485</v>
      </c>
      <c r="DT11" s="59">
        <f ca="1">AVERAGE(OFFSET($DS$3,0,0,'Données projet'!$E$14+1,1))-AVERAGE(OFFSET($H$3,0,0,'Données projet'!$E$14+1,1))</f>
        <v>544.64394576312384</v>
      </c>
      <c r="DU11" s="59">
        <f t="shared" si="44"/>
        <v>310.67291035925484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1.05</v>
      </c>
      <c r="EJ11" s="12">
        <f>IF('Données projet'!$A$192&gt;35,EJ10+EI11-ER10,IF(A11&lt;'Données projet'!$A$192,$EG$205^A11,IF(A11='Données projet'!$A$192,'Données projet'!$B$192,EJ10+EI11-ER10)))</f>
        <v>3.3797744452354301</v>
      </c>
      <c r="EK11" s="17">
        <f>EJ11*VLOOKUP('Données projet'!$B$15,Paramètres!$A$1:$I$89,3,0)*VLOOKUP('Données projet'!$B$15,Paramètres!$A$1:$I$89,5,0)</f>
        <v>3.2689178434317077</v>
      </c>
      <c r="EL11" s="13">
        <f t="shared" si="45"/>
        <v>1.3124399582504287</v>
      </c>
      <c r="EM11" s="20">
        <f t="shared" si="19"/>
        <v>7.9791981712630529</v>
      </c>
      <c r="EN11" s="59">
        <f t="shared" si="20"/>
        <v>235.99503566310611</v>
      </c>
      <c r="EO11" s="59">
        <f ca="1">AVERAGE(OFFSET($EN$3,0,0,'Données projet'!$E$15+1,1))-AVERAGE(OFFSET($H$3,0,0,'Données projet'!$E$15+1,1))</f>
        <v>276.72865583771579</v>
      </c>
      <c r="EP11" s="59">
        <f t="shared" si="46"/>
        <v>174.3587092851154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59.226137497775383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2.9599999999999995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4.25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15.583333333333334</v>
      </c>
      <c r="H12" s="67">
        <f t="shared" si="1"/>
        <v>222.56666666666669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5.0823076923076922</v>
      </c>
      <c r="N12" s="13">
        <f>IF('Données projet'!$A$36&gt;35,N11+M12-V11,IF(A12&lt;'Données projet'!$A$36,$K$205^A12,IF(A12='Données projet'!$A$36,'Données projet'!$B$36,N11+M12-V11)))</f>
        <v>34.312697302490413</v>
      </c>
      <c r="O12" s="13">
        <f>N12*VLOOKUP('Données projet'!$B$9,Paramètres!$A$1:$I$89,3,0)*VLOOKUP('Données projet'!$B$9,Paramètres!$A$1:$I$89,5,0)</f>
        <v>20.51899298688927</v>
      </c>
      <c r="P12" s="13">
        <f t="shared" si="33"/>
        <v>6.6523201892747759</v>
      </c>
      <c r="Q12" s="20">
        <f t="shared" si="2"/>
        <v>47.323370448485711</v>
      </c>
      <c r="R12" s="59">
        <f t="shared" si="0"/>
        <v>277.87096872149169</v>
      </c>
      <c r="S12" s="59">
        <f ca="1">AVERAGE(OFFSET($R$3,0,0,'Données projet'!$E$9+1,1))-AVERAGE(OFFSET($H$3,0,0,'Données projet'!$E$9+1,1))</f>
        <v>341.11752883785607</v>
      </c>
      <c r="T12" s="59">
        <f t="shared" si="34"/>
        <v>423.15445896616234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9">
        <f t="shared" si="5"/>
        <v>245.45813607344022</v>
      </c>
      <c r="AN12" s="59">
        <f ca="1">AVERAGE(OFFSET($AM$3,0,0,'Données projet'!$E$10+1,1))-AVERAGE(OFFSET($H$3,0,0,'Données projet'!$E$10+1,1))</f>
        <v>521.72266623522626</v>
      </c>
      <c r="AO12" s="59">
        <f t="shared" si="36"/>
        <v>298.49205684341825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3.9923076923076919</v>
      </c>
      <c r="BD12" s="12">
        <f>IF('Données projet'!$A$88&gt;35,BD11+BC12-BL11,IF(A12&lt;'Données projet'!$A$88,$BA$205^A12,IF(A12='Données projet'!$A$88,'Données projet'!$B$88,BD11+BC12-BL11)))</f>
        <v>11.651696366705808</v>
      </c>
      <c r="BE12" s="13">
        <f>BD12*VLOOKUP('Données projet'!$B$11,Paramètres!$A$1:$I$89,3,0)*VLOOKUP('Données projet'!$B$11,Paramètres!$A$1:$I$89,5,0)</f>
        <v>6.9677144272900744</v>
      </c>
      <c r="BF12" s="13">
        <f t="shared" si="37"/>
        <v>2.5615727331526612</v>
      </c>
      <c r="BG12" s="20">
        <f t="shared" si="7"/>
        <v>16.596841804437762</v>
      </c>
      <c r="BH12" s="59">
        <f t="shared" si="8"/>
        <v>247.14444007744373</v>
      </c>
      <c r="BI12" s="59">
        <f ca="1">AVERAGE(OFFSET($BH$3,0,0,'Données projet'!$E$11+1,1))-AVERAGE(OFFSET($H$3,0,0,'Données projet'!$E$11+1,1))</f>
        <v>376.5647919688821</v>
      </c>
      <c r="BJ12" s="59">
        <f t="shared" si="38"/>
        <v>340.34037344565581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</v>
      </c>
      <c r="BY12" s="12">
        <f>IF('Données projet'!$A$114&gt;35,BY11+BX12-CG11,IF(A12&lt;'Données projet'!$A$114,$BV$205^A12,IF(A12='Données projet'!$A$114,'Données projet'!$B$114,BY11+BX12-CG11)))</f>
        <v>8.585814486631536</v>
      </c>
      <c r="BZ12" s="13">
        <f>BY12*VLOOKUP('Données projet'!$B$12,Paramètres!$A$1:$I$89,3,0)*VLOOKUP('Données projet'!$B$12,Paramètres!$A$1:$I$89,5,0)</f>
        <v>8.7060158894443784</v>
      </c>
      <c r="CA12" s="13">
        <f t="shared" si="39"/>
        <v>3.1187210796582092</v>
      </c>
      <c r="CB12" s="20">
        <f t="shared" si="10"/>
        <v>20.594750221187006</v>
      </c>
      <c r="CC12" s="59">
        <f t="shared" si="11"/>
        <v>251.14234849419299</v>
      </c>
      <c r="CD12" s="59">
        <f ca="1">AVERAGE(OFFSET($CC$3,0,0,'Données projet'!$E$12+1,1))-AVERAGE(OFFSET($H$3,0,0,'Données projet'!$E$12+1,1))</f>
        <v>473.09076714002885</v>
      </c>
      <c r="CE12" s="59">
        <f t="shared" si="40"/>
        <v>311.6454557566534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2.8999999999999995</v>
      </c>
      <c r="CT12" s="12">
        <f>IF('Données projet'!$A$140&gt;35,CT11+CS12-DB11,IF(A12&lt;'Données projet'!$A$140,$CQ$205^A12,IF(A12='Données projet'!$A$140,'Données projet'!$B$140,CT11+CS12-DB11)))</f>
        <v>20.708955653761308</v>
      </c>
      <c r="CU12" s="17">
        <f>CT12*VLOOKUP('Données projet'!$B$13,Paramètres!$A$1:$I$89,3,0)*VLOOKUP('Données projet'!$B$13,Paramètres!$A$1:$I$89,5,0)</f>
        <v>18.091343659125879</v>
      </c>
      <c r="CV12" s="13">
        <f t="shared" si="41"/>
        <v>5.9518679121149844</v>
      </c>
      <c r="CW12" s="20">
        <f t="shared" si="13"/>
        <v>41.875260153244504</v>
      </c>
      <c r="CX12" s="59">
        <f t="shared" si="14"/>
        <v>272.42285842625046</v>
      </c>
      <c r="CY12" s="59">
        <f ca="1">AVERAGE(OFFSET($CX$3,0,0,'Données projet'!$E$13+1,1))-AVERAGE(OFFSET($H$3,0,0,'Données projet'!$E$13+1,1))</f>
        <v>379.66247682099424</v>
      </c>
      <c r="CZ12" s="59">
        <f t="shared" si="42"/>
        <v>342.92507939604081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3.65</v>
      </c>
      <c r="DO12" s="12">
        <f>IF('Données projet'!$A$166&gt;35,DO11+DN12-DW11,IF(A12&lt;'Données projet'!$A$166,$DL$205^A12,IF(A12='Données projet'!$A$166,'Données projet'!$B$166,DO11+DN12-DW11)))</f>
        <v>6.8943811137639424</v>
      </c>
      <c r="DP12" s="17">
        <f>DO12*VLOOKUP('Données projet'!$B$14,Paramètres!$A$1:$I$89,3,0)*VLOOKUP('Données projet'!$B$14,Paramètres!$A$1:$I$89,5,0)</f>
        <v>6.560693067857768</v>
      </c>
      <c r="DQ12" s="13">
        <f t="shared" si="43"/>
        <v>2.4288955423249754</v>
      </c>
      <c r="DR12" s="20">
        <f t="shared" si="16"/>
        <v>15.65686682940161</v>
      </c>
      <c r="DS12" s="59">
        <f t="shared" si="17"/>
        <v>246.2044651024076</v>
      </c>
      <c r="DT12" s="59">
        <f ca="1">AVERAGE(OFFSET($DS$3,0,0,'Données projet'!$E$14+1,1))-AVERAGE(OFFSET($H$3,0,0,'Données projet'!$E$14+1,1))</f>
        <v>544.64394576312384</v>
      </c>
      <c r="DU12" s="59">
        <f t="shared" si="44"/>
        <v>310.67291035925484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1.05</v>
      </c>
      <c r="EJ12" s="12">
        <f>IF('Données projet'!$A$192&gt;35,EJ11+EI12-ER11,IF(A12&lt;'Données projet'!$A$192,$EG$205^A12,IF(A12='Données projet'!$A$192,'Données projet'!$B$192,EJ11+EI12-ER11)))</f>
        <v>3.9354888168013828</v>
      </c>
      <c r="EK12" s="17">
        <f>EJ12*VLOOKUP('Données projet'!$B$15,Paramètres!$A$1:$I$89,3,0)*VLOOKUP('Données projet'!$B$15,Paramètres!$A$1:$I$89,5,0)</f>
        <v>3.8064047836102977</v>
      </c>
      <c r="EL12" s="13">
        <f t="shared" si="45"/>
        <v>1.5013954409821026</v>
      </c>
      <c r="EM12" s="20">
        <f t="shared" si="19"/>
        <v>9.2444187244984306</v>
      </c>
      <c r="EN12" s="59">
        <f t="shared" si="20"/>
        <v>239.79201699750439</v>
      </c>
      <c r="EO12" s="59">
        <f ca="1">AVERAGE(OFFSET($EN$3,0,0,'Données projet'!$E$15+1,1))-AVERAGE(OFFSET($H$3,0,0,'Données projet'!$E$15+1,1))</f>
        <v>276.72865583771579</v>
      </c>
      <c r="EP12" s="59">
        <f t="shared" si="46"/>
        <v>174.3587092851154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59.546617710819817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3.3299999999999992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4.25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15.583333333333334</v>
      </c>
      <c r="H13" s="67">
        <f t="shared" si="1"/>
        <v>222.56666666666669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K13" s="12">
        <f>VLOOKUP(A13,'Données projet'!$A$35:$I$55,2,0)</f>
        <v>50.823076923076918</v>
      </c>
      <c r="L13" s="12">
        <f>VLOOKUP(A13,'Données projet'!$A$35:$I$55,9,0)</f>
        <v>5.0823076923076922</v>
      </c>
      <c r="M13" s="12">
        <f t="array" ref="M13">INDEX(L:L,MIN(IF(ISNUMBER(L13:L209),ROW(L13:L209),"")))</f>
        <v>5.0823076923076922</v>
      </c>
      <c r="N13" s="13">
        <f>IF('Données projet'!$A$36&gt;35,N12+M13-V12,IF(A13&lt;'Données projet'!$A$36,$K$205^A13,IF(A13='Données projet'!$A$36,'Données projet'!$B$36,N12+M13-V12)))</f>
        <v>50.823076923076918</v>
      </c>
      <c r="O13" s="13">
        <f>N13*VLOOKUP('Données projet'!$B$9,Paramètres!$A$1:$I$89,3,0)*VLOOKUP('Données projet'!$B$9,Paramètres!$A$1:$I$89,5,0)</f>
        <v>30.392199999999999</v>
      </c>
      <c r="P13" s="13">
        <f t="shared" si="33"/>
        <v>9.4128403002097283</v>
      </c>
      <c r="Q13" s="20">
        <f t="shared" si="2"/>
        <v>69.327111856198599</v>
      </c>
      <c r="R13" s="59">
        <f t="shared" si="0"/>
        <v>302.38608565459788</v>
      </c>
      <c r="S13" s="59">
        <f ca="1">AVERAGE(OFFSET($R$3,0,0,'Données projet'!$E$9+1,1))-AVERAGE(OFFSET($H$3,0,0,'Données projet'!$E$9+1,1))</f>
        <v>341.11752883785607</v>
      </c>
      <c r="T13" s="59">
        <f t="shared" si="34"/>
        <v>423.15445896616234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9.0000000000000011E-2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9">
        <f t="shared" si="5"/>
        <v>251.41351213574052</v>
      </c>
      <c r="AN13" s="59">
        <f ca="1">AVERAGE(OFFSET($AM$3,0,0,'Données projet'!$E$10+1,1))-AVERAGE(OFFSET($H$3,0,0,'Données projet'!$E$10+1,1))</f>
        <v>521.72266623522626</v>
      </c>
      <c r="AO13" s="59">
        <f t="shared" si="36"/>
        <v>298.49205684341825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3.9923076923076919</v>
      </c>
      <c r="BD13" s="12">
        <f>IF('Données projet'!$A$88&gt;35,BD12+BC13-BL12,IF(A13&lt;'Données projet'!$A$88,$BA$205^A13,IF(A13='Données projet'!$A$88,'Données projet'!$B$88,BD12+BC13-BL12)))</f>
        <v>15.306533384933841</v>
      </c>
      <c r="BE13" s="13">
        <f>BD13*VLOOKUP('Données projet'!$B$11,Paramètres!$A$1:$I$89,3,0)*VLOOKUP('Données projet'!$B$11,Paramètres!$A$1:$I$89,5,0)</f>
        <v>9.1533069641904365</v>
      </c>
      <c r="BF13" s="13">
        <f t="shared" si="37"/>
        <v>3.2598859756528897</v>
      </c>
      <c r="BG13" s="20">
        <f t="shared" si="7"/>
        <v>21.619644370227132</v>
      </c>
      <c r="BH13" s="59">
        <f t="shared" si="8"/>
        <v>254.67861816862637</v>
      </c>
      <c r="BI13" s="59">
        <f ca="1">AVERAGE(OFFSET($BH$3,0,0,'Données projet'!$E$11+1,1))-AVERAGE(OFFSET($H$3,0,0,'Données projet'!$E$11+1,1))</f>
        <v>376.5647919688821</v>
      </c>
      <c r="BJ13" s="59">
        <f t="shared" si="38"/>
        <v>340.34037344565581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</v>
      </c>
      <c r="BY13" s="12">
        <f>IF('Données projet'!$A$114&gt;35,BY12+BX13-CG12,IF(A13&lt;'Données projet'!$A$114,$BV$205^A13,IF(A13='Données projet'!$A$114,'Données projet'!$B$114,BY12+BX13-CG12)))</f>
        <v>10.902723556992843</v>
      </c>
      <c r="BZ13" s="13">
        <f>BY13*VLOOKUP('Données projet'!$B$12,Paramètres!$A$1:$I$89,3,0)*VLOOKUP('Données projet'!$B$12,Paramètres!$A$1:$I$89,5,0)</f>
        <v>11.055361686790743</v>
      </c>
      <c r="CA13" s="13">
        <f t="shared" si="39"/>
        <v>3.8517059845354673</v>
      </c>
      <c r="CB13" s="20">
        <f t="shared" si="10"/>
        <v>25.963142860893146</v>
      </c>
      <c r="CC13" s="59">
        <f t="shared" si="11"/>
        <v>259.02211665929241</v>
      </c>
      <c r="CD13" s="59">
        <f ca="1">AVERAGE(OFFSET($CC$3,0,0,'Données projet'!$E$12+1,1))-AVERAGE(OFFSET($H$3,0,0,'Données projet'!$E$12+1,1))</f>
        <v>473.09076714002885</v>
      </c>
      <c r="CE13" s="59">
        <f t="shared" si="40"/>
        <v>311.6454557566534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CQ13" s="12">
        <f>VLOOKUP(A13,'Données projet'!$A$139:$I$159,2,0)</f>
        <v>28.999999999999996</v>
      </c>
      <c r="CR13" s="12">
        <f>VLOOKUP(A13,'Données projet'!$A$139:$I$159,9,0)</f>
        <v>2.8999999999999995</v>
      </c>
      <c r="CS13" s="12">
        <f t="array" ref="CS13">INDEX(CR:CR,MIN(IF(ISNUMBER(CR13:CR209),ROW(CR13:CR209),"")))</f>
        <v>2.8999999999999995</v>
      </c>
      <c r="CT13" s="12">
        <f>IF('Données projet'!$A$140&gt;35,CT12+CS13-DB12,IF(A13&lt;'Données projet'!$A$140,$CQ$205^A13,IF(A13='Données projet'!$A$140,'Données projet'!$B$140,CT12+CS13-DB12)))</f>
        <v>28.999999999999996</v>
      </c>
      <c r="CU13" s="17">
        <f>CT13*VLOOKUP('Données projet'!$B$13,Paramètres!$A$1:$I$89,3,0)*VLOOKUP('Données projet'!$B$13,Paramètres!$A$1:$I$89,5,0)</f>
        <v>25.334399999999999</v>
      </c>
      <c r="CV13" s="13">
        <f t="shared" si="41"/>
        <v>8.0143955200794572</v>
      </c>
      <c r="CW13" s="20">
        <f t="shared" si="13"/>
        <v>58.082485530805052</v>
      </c>
      <c r="CX13" s="59">
        <f t="shared" si="14"/>
        <v>291.14145932920428</v>
      </c>
      <c r="CY13" s="59">
        <f ca="1">AVERAGE(OFFSET($CX$3,0,0,'Données projet'!$E$13+1,1))-AVERAGE(OFFSET($H$3,0,0,'Données projet'!$E$13+1,1))</f>
        <v>379.66247682099424</v>
      </c>
      <c r="CZ13" s="59">
        <f t="shared" si="42"/>
        <v>342.92507939604081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3.65</v>
      </c>
      <c r="DO13" s="12">
        <f>IF('Données projet'!$A$166&gt;35,DO12+DN13-DW12,IF(A13&lt;'Données projet'!$A$166,$DL$205^A13,IF(A13='Données projet'!$A$166,'Données projet'!$B$166,DO12+DN13-DW12)))</f>
        <v>8.5440037453175322</v>
      </c>
      <c r="DP13" s="17">
        <f>DO13*VLOOKUP('Données projet'!$B$14,Paramètres!$A$1:$I$89,3,0)*VLOOKUP('Données projet'!$B$14,Paramètres!$A$1:$I$89,5,0)</f>
        <v>8.1304739640441639</v>
      </c>
      <c r="DQ13" s="13">
        <f t="shared" si="43"/>
        <v>2.9358268752272259</v>
      </c>
      <c r="DR13" s="20">
        <f t="shared" si="16"/>
        <v>19.273807295064337</v>
      </c>
      <c r="DS13" s="59">
        <f t="shared" si="17"/>
        <v>252.33278109346358</v>
      </c>
      <c r="DT13" s="59">
        <f ca="1">AVERAGE(OFFSET($DS$3,0,0,'Données projet'!$E$14+1,1))-AVERAGE(OFFSET($H$3,0,0,'Données projet'!$E$14+1,1))</f>
        <v>544.64394576312384</v>
      </c>
      <c r="DU13" s="59">
        <f t="shared" si="44"/>
        <v>310.67291035925484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1.05</v>
      </c>
      <c r="EJ13" s="12">
        <f>IF('Données projet'!$A$192&gt;35,EJ12+EI13-ER12,IF(A13&lt;'Données projet'!$A$192,$EG$205^A13,IF(A13='Données projet'!$A$192,'Données projet'!$B$192,EJ12+EI13-ER12)))</f>
        <v>4.5825756949558425</v>
      </c>
      <c r="EK13" s="17">
        <f>EJ13*VLOOKUP('Données projet'!$B$15,Paramètres!$A$1:$I$89,3,0)*VLOOKUP('Données projet'!$B$15,Paramètres!$A$1:$I$89,5,0)</f>
        <v>4.4322672121612907</v>
      </c>
      <c r="EL13" s="13">
        <f t="shared" si="45"/>
        <v>1.7175553487466402</v>
      </c>
      <c r="EM13" s="20">
        <f t="shared" si="19"/>
        <v>10.71094096024798</v>
      </c>
      <c r="EN13" s="59">
        <f t="shared" si="20"/>
        <v>243.76991475864722</v>
      </c>
      <c r="EO13" s="59">
        <f ca="1">AVERAGE(OFFSET($EN$3,0,0,'Données projet'!$E$15+1,1))-AVERAGE(OFFSET($H$3,0,0,'Données projet'!$E$15+1,1))</f>
        <v>276.72865583771579</v>
      </c>
      <c r="EP13" s="59">
        <f t="shared" si="46"/>
        <v>174.3587092851154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59.861538308654346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3.6999999999999988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4.25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15.583333333333334</v>
      </c>
      <c r="H14" s="67">
        <f t="shared" si="1"/>
        <v>222.56666666666669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18.07076923076923</v>
      </c>
      <c r="N14" s="13">
        <f>IF('Données projet'!$A$36&gt;35,N13+M14-V13,IF(A14&lt;'Données projet'!$A$36,$K$205^A14,IF(A14='Données projet'!$A$36,'Données projet'!$B$36,N13+M14-V13)))</f>
        <v>68.893846153846141</v>
      </c>
      <c r="O14" s="13">
        <f>N14*VLOOKUP('Données projet'!$B$9,Paramètres!$A$1:$I$89,3,0)*VLOOKUP('Données projet'!$B$9,Paramètres!$A$1:$I$89,5,0)</f>
        <v>41.198519999999995</v>
      </c>
      <c r="P14" s="13">
        <f t="shared" si="33"/>
        <v>12.315766881416888</v>
      </c>
      <c r="Q14" s="20">
        <f t="shared" si="2"/>
        <v>93.204049651801071</v>
      </c>
      <c r="R14" s="59">
        <f t="shared" si="0"/>
        <v>328.75436735843692</v>
      </c>
      <c r="S14" s="59">
        <f ca="1">AVERAGE(OFFSET($R$3,0,0,'Données projet'!$E$9+1,1))-AVERAGE(OFFSET($H$3,0,0,'Données projet'!$E$9+1,1))</f>
        <v>341.11752883785607</v>
      </c>
      <c r="T14" s="59">
        <f t="shared" si="34"/>
        <v>423.15445896616234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9">
        <f t="shared" si="5"/>
        <v>258.14709725452997</v>
      </c>
      <c r="AN14" s="59">
        <f ca="1">AVERAGE(OFFSET($AM$3,0,0,'Données projet'!$E$10+1,1))-AVERAGE(OFFSET($H$3,0,0,'Données projet'!$E$10+1,1))</f>
        <v>521.72266623522626</v>
      </c>
      <c r="AO14" s="59">
        <f t="shared" si="36"/>
        <v>298.49205684341825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3.9923076923076919</v>
      </c>
      <c r="BD14" s="12">
        <f>IF('Données projet'!$A$88&gt;35,BD13+BC14-BL13,IF(A14&lt;'Données projet'!$A$88,$BA$205^A14,IF(A14='Données projet'!$A$88,'Données projet'!$B$88,BD13+BC14-BL13)))</f>
        <v>20.107798632100231</v>
      </c>
      <c r="BE14" s="13">
        <f>BD14*VLOOKUP('Données projet'!$B$11,Paramètres!$A$1:$I$89,3,0)*VLOOKUP('Données projet'!$B$11,Paramètres!$A$1:$I$89,5,0)</f>
        <v>12.024463581995938</v>
      </c>
      <c r="BF14" s="13">
        <f t="shared" si="37"/>
        <v>4.1485671816858272</v>
      </c>
      <c r="BG14" s="20">
        <f t="shared" si="7"/>
        <v>28.168028580079078</v>
      </c>
      <c r="BH14" s="59">
        <f t="shared" si="8"/>
        <v>263.71834628671496</v>
      </c>
      <c r="BI14" s="59">
        <f ca="1">AVERAGE(OFFSET($BH$3,0,0,'Données projet'!$E$11+1,1))-AVERAGE(OFFSET($H$3,0,0,'Données projet'!$E$11+1,1))</f>
        <v>376.5647919688821</v>
      </c>
      <c r="BJ14" s="59">
        <f t="shared" si="38"/>
        <v>340.34037344565581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</v>
      </c>
      <c r="BY14" s="12">
        <f>IF('Données projet'!$A$114&gt;35,BY13+BX14-CG13,IF(A14&lt;'Données projet'!$A$114,$BV$205^A14,IF(A14='Données projet'!$A$114,'Données projet'!$B$114,BY13+BX14-CG13)))</f>
        <v>13.8448578344304</v>
      </c>
      <c r="BZ14" s="13">
        <f>BY14*VLOOKUP('Données projet'!$B$12,Paramètres!$A$1:$I$89,3,0)*VLOOKUP('Données projet'!$B$12,Paramètres!$A$1:$I$89,5,0)</f>
        <v>14.038685844112425</v>
      </c>
      <c r="CA14" s="13">
        <f t="shared" si="39"/>
        <v>4.7569624254222269</v>
      </c>
      <c r="CB14" s="20">
        <f t="shared" si="10"/>
        <v>32.735754069439515</v>
      </c>
      <c r="CC14" s="59">
        <f t="shared" si="11"/>
        <v>268.2860717760754</v>
      </c>
      <c r="CD14" s="59">
        <f ca="1">AVERAGE(OFFSET($CC$3,0,0,'Données projet'!$E$12+1,1))-AVERAGE(OFFSET($H$3,0,0,'Données projet'!$E$12+1,1))</f>
        <v>473.09076714002885</v>
      </c>
      <c r="CE14" s="59">
        <f t="shared" si="40"/>
        <v>311.6454557566534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8.8000000000000007</v>
      </c>
      <c r="CT14" s="12">
        <f>IF('Données projet'!$A$140&gt;35,CT13+CS14-DB13,IF(A14&lt;'Données projet'!$A$140,$CQ$205^A14,IF(A14='Données projet'!$A$140,'Données projet'!$B$140,CT13+CS14-DB13)))</f>
        <v>37.799999999999997</v>
      </c>
      <c r="CU14" s="17">
        <f>CT14*VLOOKUP('Données projet'!$B$13,Paramètres!$A$1:$I$89,3,0)*VLOOKUP('Données projet'!$B$13,Paramètres!$A$1:$I$89,5,0)</f>
        <v>33.022080000000003</v>
      </c>
      <c r="CV14" s="13">
        <f t="shared" si="41"/>
        <v>10.129025278332465</v>
      </c>
      <c r="CW14" s="20">
        <f t="shared" si="13"/>
        <v>75.154841693095705</v>
      </c>
      <c r="CX14" s="59">
        <f t="shared" si="14"/>
        <v>310.70515939973154</v>
      </c>
      <c r="CY14" s="59">
        <f ca="1">AVERAGE(OFFSET($CX$3,0,0,'Données projet'!$E$13+1,1))-AVERAGE(OFFSET($H$3,0,0,'Données projet'!$E$13+1,1))</f>
        <v>379.66247682099424</v>
      </c>
      <c r="CZ14" s="59">
        <f t="shared" si="42"/>
        <v>342.92507939604081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3.65</v>
      </c>
      <c r="DO14" s="12">
        <f>IF('Données projet'!$A$166&gt;35,DO13+DN14-DW13,IF(A14&lt;'Données projet'!$A$166,$DL$205^A14,IF(A14='Données projet'!$A$166,'Données projet'!$B$166,DO13+DN14-DW13)))</f>
        <v>10.588332555950936</v>
      </c>
      <c r="DP14" s="17">
        <f>DO14*VLOOKUP('Données projet'!$B$14,Paramètres!$A$1:$I$89,3,0)*VLOOKUP('Données projet'!$B$14,Paramètres!$A$1:$I$89,5,0)</f>
        <v>10.075857260242911</v>
      </c>
      <c r="DQ14" s="13">
        <f t="shared" si="43"/>
        <v>3.5485591253776776</v>
      </c>
      <c r="DR14" s="20">
        <f t="shared" si="16"/>
        <v>23.729191871622522</v>
      </c>
      <c r="DS14" s="59">
        <f t="shared" si="17"/>
        <v>259.2795095782584</v>
      </c>
      <c r="DT14" s="59">
        <f ca="1">AVERAGE(OFFSET($DS$3,0,0,'Données projet'!$E$14+1,1))-AVERAGE(OFFSET($H$3,0,0,'Données projet'!$E$14+1,1))</f>
        <v>544.64394576312384</v>
      </c>
      <c r="DU14" s="59">
        <f t="shared" si="44"/>
        <v>310.67291035925484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1.05</v>
      </c>
      <c r="EJ14" s="12">
        <f>IF('Données projet'!$A$192&gt;35,EJ13+EI14-ER13,IF(A14&lt;'Données projet'!$A$192,$EG$205^A14,IF(A14='Données projet'!$A$192,'Données projet'!$B$192,EJ13+EI14-ER13)))</f>
        <v>5.3360588677947343</v>
      </c>
      <c r="EK14" s="17">
        <f>EJ14*VLOOKUP('Données projet'!$B$15,Paramètres!$A$1:$I$89,3,0)*VLOOKUP('Données projet'!$B$15,Paramètres!$A$1:$I$89,5,0)</f>
        <v>5.1610361369310676</v>
      </c>
      <c r="EL14" s="13">
        <f t="shared" si="45"/>
        <v>1.9648363752047393</v>
      </c>
      <c r="EM14" s="20">
        <f t="shared" si="19"/>
        <v>12.410894625303198</v>
      </c>
      <c r="EN14" s="59">
        <f t="shared" si="20"/>
        <v>247.96121233193907</v>
      </c>
      <c r="EO14" s="59">
        <f ca="1">AVERAGE(OFFSET($EN$3,0,0,'Données projet'!$E$15+1,1))-AVERAGE(OFFSET($H$3,0,0,'Données projet'!$E$15+1,1))</f>
        <v>276.72865583771579</v>
      </c>
      <c r="EP14" s="59">
        <f t="shared" si="46"/>
        <v>174.3587092851154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60.170995738173431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4.0699999999999994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4.25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15.583333333333334</v>
      </c>
      <c r="H15" s="67">
        <f t="shared" si="1"/>
        <v>222.56666666666669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18.07076923076923</v>
      </c>
      <c r="N15" s="13">
        <f>IF('Données projet'!$A$36&gt;35,N14+M15-V14,IF(A15&lt;'Données projet'!$A$36,$K$205^A15,IF(A15='Données projet'!$A$36,'Données projet'!$B$36,N14+M15-V14)))</f>
        <v>86.964615384615371</v>
      </c>
      <c r="O15" s="13">
        <f>N15*VLOOKUP('Données projet'!$B$9,Paramètres!$A$1:$I$89,3,0)*VLOOKUP('Données projet'!$B$9,Paramètres!$A$1:$I$89,5,0)</f>
        <v>52.004839999999994</v>
      </c>
      <c r="P15" s="13">
        <f t="shared" si="33"/>
        <v>15.130327732668428</v>
      </c>
      <c r="Q15" s="20">
        <f t="shared" si="2"/>
        <v>116.92708380106416</v>
      </c>
      <c r="R15" s="59">
        <f t="shared" si="0"/>
        <v>354.94906130255379</v>
      </c>
      <c r="S15" s="59">
        <f ca="1">AVERAGE(OFFSET($R$3,0,0,'Données projet'!$E$9+1,1))-AVERAGE(OFFSET($H$3,0,0,'Données projet'!$E$9+1,1))</f>
        <v>341.11752883785607</v>
      </c>
      <c r="T15" s="59">
        <f t="shared" si="34"/>
        <v>423.15445896616234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9">
        <f t="shared" si="5"/>
        <v>265.84484823166434</v>
      </c>
      <c r="AN15" s="59">
        <f ca="1">AVERAGE(OFFSET($AM$3,0,0,'Données projet'!$E$10+1,1))-AVERAGE(OFFSET($H$3,0,0,'Données projet'!$E$10+1,1))</f>
        <v>521.72266623522626</v>
      </c>
      <c r="AO15" s="59">
        <f t="shared" si="36"/>
        <v>298.49205684341825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3.9923076923076919</v>
      </c>
      <c r="BD15" s="12">
        <f>IF('Données projet'!$A$88&gt;35,BD14+BC15-BL14,IF(A15&lt;'Données projet'!$A$88,$BA$205^A15,IF(A15='Données projet'!$A$88,'Données projet'!$B$88,BD14+BC15-BL14)))</f>
        <v>26.415097113175602</v>
      </c>
      <c r="BE15" s="13">
        <f>BD15*VLOOKUP('Données projet'!$B$11,Paramètres!$A$1:$I$89,3,0)*VLOOKUP('Données projet'!$B$11,Paramètres!$A$1:$I$89,5,0)</f>
        <v>15.796228073679012</v>
      </c>
      <c r="BF15" s="13">
        <f t="shared" si="37"/>
        <v>5.2795127772877821</v>
      </c>
      <c r="BG15" s="20">
        <f t="shared" si="7"/>
        <v>36.706915315433839</v>
      </c>
      <c r="BH15" s="59">
        <f t="shared" si="8"/>
        <v>274.72889281692346</v>
      </c>
      <c r="BI15" s="59">
        <f ca="1">AVERAGE(OFFSET($BH$3,0,0,'Données projet'!$E$11+1,1))-AVERAGE(OFFSET($H$3,0,0,'Données projet'!$E$11+1,1))</f>
        <v>376.5647919688821</v>
      </c>
      <c r="BJ15" s="59">
        <f t="shared" si="38"/>
        <v>340.34037344565581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</v>
      </c>
      <c r="BY15" s="12">
        <f>IF('Données projet'!$A$114&gt;35,BY14+BX15-CG14,IF(A15&lt;'Données projet'!$A$114,$BV$205^A15,IF(A15='Données projet'!$A$114,'Données projet'!$B$114,BY14+BX15-CG14)))</f>
        <v>17.580936309501137</v>
      </c>
      <c r="BZ15" s="13">
        <f>BY15*VLOOKUP('Données projet'!$B$12,Paramètres!$A$1:$I$89,3,0)*VLOOKUP('Données projet'!$B$12,Paramètres!$A$1:$I$89,5,0)</f>
        <v>17.827069417834153</v>
      </c>
      <c r="CA15" s="13">
        <f t="shared" si="39"/>
        <v>5.8749789334213718</v>
      </c>
      <c r="CB15" s="20">
        <f t="shared" si="10"/>
        <v>41.281067545103369</v>
      </c>
      <c r="CC15" s="59">
        <f t="shared" si="11"/>
        <v>279.30304504659296</v>
      </c>
      <c r="CD15" s="59">
        <f ca="1">AVERAGE(OFFSET($CC$3,0,0,'Données projet'!$E$12+1,1))-AVERAGE(OFFSET($H$3,0,0,'Données projet'!$E$12+1,1))</f>
        <v>473.09076714002885</v>
      </c>
      <c r="CE15" s="59">
        <f t="shared" si="40"/>
        <v>311.6454557566534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8.8000000000000007</v>
      </c>
      <c r="CT15" s="12">
        <f>IF('Données projet'!$A$140&gt;35,CT14+CS15-DB14,IF(A15&lt;'Données projet'!$A$140,$CQ$205^A15,IF(A15='Données projet'!$A$140,'Données projet'!$B$140,CT14+CS15-DB14)))</f>
        <v>46.599999999999994</v>
      </c>
      <c r="CU15" s="17">
        <f>CT15*VLOOKUP('Données projet'!$B$13,Paramètres!$A$1:$I$89,3,0)*VLOOKUP('Données projet'!$B$13,Paramètres!$A$1:$I$89,5,0)</f>
        <v>40.709760000000003</v>
      </c>
      <c r="CV15" s="13">
        <f t="shared" si="41"/>
        <v>12.186575870088381</v>
      </c>
      <c r="CW15" s="20">
        <f t="shared" si="13"/>
        <v>92.127784973737278</v>
      </c>
      <c r="CX15" s="59">
        <f t="shared" si="14"/>
        <v>330.14976247522691</v>
      </c>
      <c r="CY15" s="59">
        <f ca="1">AVERAGE(OFFSET($CX$3,0,0,'Données projet'!$E$13+1,1))-AVERAGE(OFFSET($H$3,0,0,'Données projet'!$E$13+1,1))</f>
        <v>379.66247682099424</v>
      </c>
      <c r="CZ15" s="59">
        <f t="shared" si="42"/>
        <v>342.92507939604081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3.65</v>
      </c>
      <c r="DO15" s="12">
        <f>IF('Données projet'!$A$166&gt;35,DO14+DN15-DW14,IF(A15&lt;'Données projet'!$A$166,$DL$205^A15,IF(A15='Données projet'!$A$166,'Données projet'!$B$166,DO14+DN15-DW14)))</f>
        <v>13.121809125710287</v>
      </c>
      <c r="DP15" s="17">
        <f>DO15*VLOOKUP('Données projet'!$B$14,Paramètres!$A$1:$I$89,3,0)*VLOOKUP('Données projet'!$B$14,Paramètres!$A$1:$I$89,5,0)</f>
        <v>12.486713564025909</v>
      </c>
      <c r="DQ15" s="13">
        <f t="shared" si="43"/>
        <v>4.289173851685848</v>
      </c>
      <c r="DR15" s="20">
        <f t="shared" si="16"/>
        <v>29.218003915697977</v>
      </c>
      <c r="DS15" s="59">
        <f t="shared" si="17"/>
        <v>267.23998141718755</v>
      </c>
      <c r="DT15" s="59">
        <f ca="1">AVERAGE(OFFSET($DS$3,0,0,'Données projet'!$E$14+1,1))-AVERAGE(OFFSET($H$3,0,0,'Données projet'!$E$14+1,1))</f>
        <v>544.64394576312384</v>
      </c>
      <c r="DU15" s="59">
        <f t="shared" si="44"/>
        <v>310.67291035925484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1.05</v>
      </c>
      <c r="EJ15" s="12">
        <f>IF('Données projet'!$A$192&gt;35,EJ14+EI15-ER14,IF(A15&lt;'Données projet'!$A$192,$EG$205^A15,IF(A15='Données projet'!$A$192,'Données projet'!$B$192,EJ14+EI15-ER14)))</f>
        <v>6.213432387360748</v>
      </c>
      <c r="EK15" s="17">
        <f>EJ15*VLOOKUP('Données projet'!$B$15,Paramètres!$A$1:$I$89,3,0)*VLOOKUP('Données projet'!$B$15,Paramètres!$A$1:$I$89,5,0)</f>
        <v>6.0096318050553155</v>
      </c>
      <c r="EL15" s="13">
        <f t="shared" si="45"/>
        <v>2.2477191108542129</v>
      </c>
      <c r="EM15" s="20">
        <f t="shared" si="19"/>
        <v>14.381552845209095</v>
      </c>
      <c r="EN15" s="59">
        <f t="shared" si="20"/>
        <v>252.40353034669869</v>
      </c>
      <c r="EO15" s="59">
        <f ca="1">AVERAGE(OFFSET($EN$3,0,0,'Données projet'!$E$15+1,1))-AVERAGE(OFFSET($H$3,0,0,'Données projet'!$E$15+1,1))</f>
        <v>276.72865583771579</v>
      </c>
      <c r="EP15" s="59">
        <f t="shared" si="46"/>
        <v>174.3587092851154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60.475084773133531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4.4399999999999995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4.25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15.583333333333334</v>
      </c>
      <c r="H16" s="67">
        <f t="shared" si="1"/>
        <v>222.56666666666669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18.07076923076923</v>
      </c>
      <c r="N16" s="13">
        <f>IF('Données projet'!$A$36&gt;35,N15+M16-V15,IF(A16&lt;'Données projet'!$A$36,$K$205^A16,IF(A16='Données projet'!$A$36,'Données projet'!$B$36,N15+M16-V15)))</f>
        <v>105.0353846153846</v>
      </c>
      <c r="O16" s="13">
        <f>N16*VLOOKUP('Données projet'!$B$9,Paramètres!$A$1:$I$89,3,0)*VLOOKUP('Données projet'!$B$9,Paramètres!$A$1:$I$89,5,0)</f>
        <v>62.811160000000001</v>
      </c>
      <c r="P16" s="13">
        <f t="shared" si="33"/>
        <v>17.877113348572262</v>
      </c>
      <c r="Q16" s="20">
        <f t="shared" si="2"/>
        <v>140.53207608209667</v>
      </c>
      <c r="R16" s="59">
        <f t="shared" si="0"/>
        <v>381.00637074041708</v>
      </c>
      <c r="S16" s="59">
        <f ca="1">AVERAGE(OFFSET($R$3,0,0,'Données projet'!$E$9+1,1))-AVERAGE(OFFSET($H$3,0,0,'Données projet'!$E$9+1,1))</f>
        <v>341.11752883785607</v>
      </c>
      <c r="T16" s="59">
        <f t="shared" si="34"/>
        <v>423.15445896616234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9">
        <f t="shared" si="5"/>
        <v>274.73600253675727</v>
      </c>
      <c r="AN16" s="59">
        <f ca="1">AVERAGE(OFFSET($AM$3,0,0,'Données projet'!$E$10+1,1))-AVERAGE(OFFSET($H$3,0,0,'Données projet'!$E$10+1,1))</f>
        <v>521.72266623522626</v>
      </c>
      <c r="AO16" s="59">
        <f t="shared" si="36"/>
        <v>298.49205684341825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3.9923076923076919</v>
      </c>
      <c r="BD16" s="12">
        <f>IF('Données projet'!$A$88&gt;35,BD15+BC16-BL15,IF(A16&lt;'Données projet'!$A$88,$BA$205^A16,IF(A16='Données projet'!$A$88,'Données projet'!$B$88,BD15+BC16-BL15)))</f>
        <v>34.700832660249205</v>
      </c>
      <c r="BE16" s="13">
        <f>BD16*VLOOKUP('Données projet'!$B$11,Paramètres!$A$1:$I$89,3,0)*VLOOKUP('Données projet'!$B$11,Paramètres!$A$1:$I$89,5,0)</f>
        <v>20.751097930829026</v>
      </c>
      <c r="BF16" s="13">
        <f t="shared" si="37"/>
        <v>6.7187667319438882</v>
      </c>
      <c r="BG16" s="20">
        <f t="shared" si="7"/>
        <v>47.843347620996155</v>
      </c>
      <c r="BH16" s="59">
        <f t="shared" si="8"/>
        <v>288.3176422793166</v>
      </c>
      <c r="BI16" s="59">
        <f ca="1">AVERAGE(OFFSET($BH$3,0,0,'Données projet'!$E$11+1,1))-AVERAGE(OFFSET($H$3,0,0,'Données projet'!$E$11+1,1))</f>
        <v>376.5647919688821</v>
      </c>
      <c r="BJ16" s="59">
        <f t="shared" si="38"/>
        <v>340.34037344565581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</v>
      </c>
      <c r="BY16" s="12">
        <f>IF('Données projet'!$A$114&gt;35,BY15+BX16-CG15,IF(A16&lt;'Données projet'!$A$114,$BV$205^A16,IF(A16='Données projet'!$A$114,'Données projet'!$B$114,BY15+BX16-CG15)))</f>
        <v>22.325207323550096</v>
      </c>
      <c r="BZ16" s="13">
        <f>BY16*VLOOKUP('Données projet'!$B$12,Paramètres!$A$1:$I$89,3,0)*VLOOKUP('Données projet'!$B$12,Paramètres!$A$1:$I$89,5,0)</f>
        <v>22.637760226079799</v>
      </c>
      <c r="CA16" s="13">
        <f t="shared" si="39"/>
        <v>7.2557599538073685</v>
      </c>
      <c r="CB16" s="20">
        <f t="shared" si="10"/>
        <v>52.064547646636811</v>
      </c>
      <c r="CC16" s="59">
        <f t="shared" si="11"/>
        <v>292.53884230495726</v>
      </c>
      <c r="CD16" s="59">
        <f ca="1">AVERAGE(OFFSET($CC$3,0,0,'Données projet'!$E$12+1,1))-AVERAGE(OFFSET($H$3,0,0,'Données projet'!$E$12+1,1))</f>
        <v>473.09076714002885</v>
      </c>
      <c r="CE16" s="59">
        <f t="shared" si="40"/>
        <v>311.6454557566534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8.8000000000000007</v>
      </c>
      <c r="CT16" s="12">
        <f>IF('Données projet'!$A$140&gt;35,CT15+CS16-DB15,IF(A16&lt;'Données projet'!$A$140,$CQ$205^A16,IF(A16='Données projet'!$A$140,'Données projet'!$B$140,CT15+CS16-DB15)))</f>
        <v>55.399999999999991</v>
      </c>
      <c r="CU16" s="17">
        <f>CT16*VLOOKUP('Données projet'!$B$13,Paramètres!$A$1:$I$89,3,0)*VLOOKUP('Données projet'!$B$13,Paramètres!$A$1:$I$89,5,0)</f>
        <v>48.397439999999996</v>
      </c>
      <c r="CV16" s="13">
        <f t="shared" si="41"/>
        <v>14.199110166340073</v>
      </c>
      <c r="CW16" s="20">
        <f t="shared" si="13"/>
        <v>109.02232487304228</v>
      </c>
      <c r="CX16" s="59">
        <f t="shared" si="14"/>
        <v>349.49661953136268</v>
      </c>
      <c r="CY16" s="59">
        <f ca="1">AVERAGE(OFFSET($CX$3,0,0,'Données projet'!$E$13+1,1))-AVERAGE(OFFSET($H$3,0,0,'Données projet'!$E$13+1,1))</f>
        <v>379.66247682099424</v>
      </c>
      <c r="CZ16" s="59">
        <f t="shared" si="42"/>
        <v>342.92507939604081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3.65</v>
      </c>
      <c r="DO16" s="12">
        <f>IF('Données projet'!$A$166&gt;35,DO15+DN16-DW15,IF(A16&lt;'Données projet'!$A$166,$DL$205^A16,IF(A16='Données projet'!$A$166,'Données projet'!$B$166,DO15+DN16-DW15)))</f>
        <v>16.261472127148366</v>
      </c>
      <c r="DP16" s="17">
        <f>DO16*VLOOKUP('Données projet'!$B$14,Paramètres!$A$1:$I$89,3,0)*VLOOKUP('Données projet'!$B$14,Paramètres!$A$1:$I$89,5,0)</f>
        <v>15.474416876194386</v>
      </c>
      <c r="DQ16" s="13">
        <f t="shared" si="43"/>
        <v>5.1843612238044923</v>
      </c>
      <c r="DR16" s="20">
        <f t="shared" si="16"/>
        <v>35.980705190831372</v>
      </c>
      <c r="DS16" s="59">
        <f t="shared" si="17"/>
        <v>276.45499984915182</v>
      </c>
      <c r="DT16" s="59">
        <f ca="1">AVERAGE(OFFSET($DS$3,0,0,'Données projet'!$E$14+1,1))-AVERAGE(OFFSET($H$3,0,0,'Données projet'!$E$14+1,1))</f>
        <v>544.64394576312384</v>
      </c>
      <c r="DU16" s="59">
        <f t="shared" si="44"/>
        <v>310.67291035925484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1.05</v>
      </c>
      <c r="EJ16" s="12">
        <f>IF('Données projet'!$A$192&gt;35,EJ15+EI16-ER15,IF(A16&lt;'Données projet'!$A$192,$EG$205^A16,IF(A16='Données projet'!$A$192,'Données projet'!$B$192,EJ15+EI16-ER15)))</f>
        <v>7.235066739107908</v>
      </c>
      <c r="EK16" s="17">
        <f>EJ16*VLOOKUP('Données projet'!$B$15,Paramètres!$A$1:$I$89,3,0)*VLOOKUP('Données projet'!$B$15,Paramètres!$A$1:$I$89,5,0)</f>
        <v>6.9977565500651693</v>
      </c>
      <c r="EL16" s="13">
        <f t="shared" si="45"/>
        <v>2.5713292287622704</v>
      </c>
      <c r="EM16" s="20">
        <f t="shared" si="19"/>
        <v>16.666157731457787</v>
      </c>
      <c r="EN16" s="59">
        <f t="shared" si="20"/>
        <v>257.1404523897782</v>
      </c>
      <c r="EO16" s="59">
        <f ca="1">AVERAGE(OFFSET($EN$3,0,0,'Données projet'!$E$15+1,1))-AVERAGE(OFFSET($H$3,0,0,'Données projet'!$E$15+1,1))</f>
        <v>276.72865583771579</v>
      </c>
      <c r="EP16" s="59">
        <f t="shared" si="46"/>
        <v>174.3587092851154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60.773898543178291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4.8099999999999996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4.25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15.583333333333334</v>
      </c>
      <c r="H17" s="67">
        <f t="shared" si="1"/>
        <v>222.56666666666669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18.07076923076923</v>
      </c>
      <c r="N17" s="13">
        <f>IF('Données projet'!$A$36&gt;35,N16+M17-V16,IF(A17&lt;'Données projet'!$A$36,$K$205^A17,IF(A17='Données projet'!$A$36,'Données projet'!$B$36,N16+M17-V16)))</f>
        <v>123.10615384615383</v>
      </c>
      <c r="O17" s="13">
        <f>N17*VLOOKUP('Données projet'!$B$9,Paramètres!$A$1:$I$89,3,0)*VLOOKUP('Données projet'!$B$9,Paramètres!$A$1:$I$89,5,0)</f>
        <v>73.61748</v>
      </c>
      <c r="P17" s="13">
        <f t="shared" si="33"/>
        <v>20.569153997119681</v>
      </c>
      <c r="Q17" s="20">
        <f t="shared" si="2"/>
        <v>164.04172087831677</v>
      </c>
      <c r="R17" s="59">
        <f t="shared" si="0"/>
        <v>406.94932560697123</v>
      </c>
      <c r="S17" s="59">
        <f ca="1">AVERAGE(OFFSET($R$3,0,0,'Données projet'!$E$9+1,1))-AVERAGE(OFFSET($H$3,0,0,'Données projet'!$E$9+1,1))</f>
        <v>341.11752883785607</v>
      </c>
      <c r="T17" s="59">
        <f t="shared" si="34"/>
        <v>423.15445896616234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9">
        <f t="shared" si="5"/>
        <v>285.10320102532273</v>
      </c>
      <c r="AN17" s="59">
        <f ca="1">AVERAGE(OFFSET($AM$3,0,0,'Données projet'!$E$10+1,1))-AVERAGE(OFFSET($H$3,0,0,'Données projet'!$E$10+1,1))</f>
        <v>521.72266623522626</v>
      </c>
      <c r="AO17" s="59">
        <f t="shared" si="36"/>
        <v>298.49205684341825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3.9923076923076919</v>
      </c>
      <c r="BD17" s="12">
        <f>IF('Données projet'!$A$88&gt;35,BD16+BC17-BL16,IF(A17&lt;'Données projet'!$A$88,$BA$205^A17,IF(A17='Données projet'!$A$88,'Données projet'!$B$88,BD16+BC17-BL16)))</f>
        <v>45.585590019050144</v>
      </c>
      <c r="BE17" s="13">
        <f>BD17*VLOOKUP('Données projet'!$B$11,Paramètres!$A$1:$I$89,3,0)*VLOOKUP('Données projet'!$B$11,Paramètres!$A$1:$I$89,5,0)</f>
        <v>27.260182831391987</v>
      </c>
      <c r="BF17" s="13">
        <f t="shared" si="37"/>
        <v>8.5503773364227822</v>
      </c>
      <c r="BG17" s="20">
        <f t="shared" si="7"/>
        <v>62.370058958944064</v>
      </c>
      <c r="BH17" s="59">
        <f t="shared" si="8"/>
        <v>305.27766368759848</v>
      </c>
      <c r="BI17" s="59">
        <f ca="1">AVERAGE(OFFSET($BH$3,0,0,'Données projet'!$E$11+1,1))-AVERAGE(OFFSET($H$3,0,0,'Données projet'!$E$11+1,1))</f>
        <v>376.5647919688821</v>
      </c>
      <c r="BJ17" s="59">
        <f t="shared" si="38"/>
        <v>340.34037344565581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</v>
      </c>
      <c r="BY17" s="12">
        <f>IF('Données projet'!$A$114&gt;35,BY16+BX17-CG16,IF(A17&lt;'Données projet'!$A$114,$BV$205^A17,IF(A17='Données projet'!$A$114,'Données projet'!$B$114,BY16+BX17-CG16)))</f>
        <v>28.349734807362907</v>
      </c>
      <c r="BZ17" s="13">
        <f>BY17*VLOOKUP('Données projet'!$B$12,Paramètres!$A$1:$I$89,3,0)*VLOOKUP('Données projet'!$B$12,Paramètres!$A$1:$I$89,5,0)</f>
        <v>28.746631094665986</v>
      </c>
      <c r="CA17" s="13">
        <f t="shared" si="39"/>
        <v>8.961062346587088</v>
      </c>
      <c r="CB17" s="20">
        <f t="shared" si="10"/>
        <v>65.674232743515759</v>
      </c>
      <c r="CC17" s="59">
        <f t="shared" si="11"/>
        <v>308.58183747217021</v>
      </c>
      <c r="CD17" s="59">
        <f ca="1">AVERAGE(OFFSET($CC$3,0,0,'Données projet'!$E$12+1,1))-AVERAGE(OFFSET($H$3,0,0,'Données projet'!$E$12+1,1))</f>
        <v>473.09076714002885</v>
      </c>
      <c r="CE17" s="59">
        <f t="shared" si="40"/>
        <v>311.6454557566534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8.8000000000000007</v>
      </c>
      <c r="CT17" s="12">
        <f>IF('Données projet'!$A$140&gt;35,CT16+CS17-DB16,IF(A17&lt;'Données projet'!$A$140,$CQ$205^A17,IF(A17='Données projet'!$A$140,'Données projet'!$B$140,CT16+CS17-DB16)))</f>
        <v>64.199999999999989</v>
      </c>
      <c r="CU17" s="17">
        <f>CT17*VLOOKUP('Données projet'!$B$13,Paramètres!$A$1:$I$89,3,0)*VLOOKUP('Données projet'!$B$13,Paramètres!$A$1:$I$89,5,0)</f>
        <v>56.085119999999996</v>
      </c>
      <c r="CV17" s="13">
        <f t="shared" si="41"/>
        <v>16.174611252215492</v>
      </c>
      <c r="CW17" s="20">
        <f t="shared" si="13"/>
        <v>125.85236526427531</v>
      </c>
      <c r="CX17" s="59">
        <f t="shared" si="14"/>
        <v>368.75996999292977</v>
      </c>
      <c r="CY17" s="59">
        <f ca="1">AVERAGE(OFFSET($CX$3,0,0,'Données projet'!$E$13+1,1))-AVERAGE(OFFSET($H$3,0,0,'Données projet'!$E$13+1,1))</f>
        <v>379.66247682099424</v>
      </c>
      <c r="CZ17" s="59">
        <f t="shared" si="42"/>
        <v>342.92507939604081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3.65</v>
      </c>
      <c r="DO17" s="12">
        <f>IF('Données projet'!$A$166&gt;35,DO16+DN17-DW16,IF(A17&lt;'Données projet'!$A$166,$DL$205^A17,IF(A17='Données projet'!$A$166,'Données projet'!$B$166,DO16+DN17-DW16)))</f>
        <v>20.152364144963837</v>
      </c>
      <c r="DP17" s="17">
        <f>DO17*VLOOKUP('Données projet'!$B$14,Paramètres!$A$1:$I$89,3,0)*VLOOKUP('Données projet'!$B$14,Paramètres!$A$1:$I$89,5,0)</f>
        <v>19.176989720347589</v>
      </c>
      <c r="DQ17" s="13">
        <f t="shared" si="43"/>
        <v>6.2663818787208765</v>
      </c>
      <c r="DR17" s="20">
        <f t="shared" si="16"/>
        <v>44.3138722017109</v>
      </c>
      <c r="DS17" s="59">
        <f t="shared" si="17"/>
        <v>287.22147693036533</v>
      </c>
      <c r="DT17" s="59">
        <f ca="1">AVERAGE(OFFSET($DS$3,0,0,'Données projet'!$E$14+1,1))-AVERAGE(OFFSET($H$3,0,0,'Données projet'!$E$14+1,1))</f>
        <v>544.64394576312384</v>
      </c>
      <c r="DU17" s="59">
        <f t="shared" si="44"/>
        <v>310.67291035925484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1.05</v>
      </c>
      <c r="EJ17" s="12">
        <f>IF('Données projet'!$A$192&gt;35,EJ16+EI17-ER16,IF(A17&lt;'Données projet'!$A$192,$EG$205^A17,IF(A17='Données projet'!$A$192,'Données projet'!$B$192,EJ16+EI17-ER16)))</f>
        <v>8.4246817951744681</v>
      </c>
      <c r="EK17" s="17">
        <f>EJ17*VLOOKUP('Données projet'!$B$15,Paramètres!$A$1:$I$89,3,0)*VLOOKUP('Données projet'!$B$15,Paramètres!$A$1:$I$89,5,0)</f>
        <v>8.148352232292746</v>
      </c>
      <c r="EL17" s="13">
        <f t="shared" si="45"/>
        <v>2.9415303588242718</v>
      </c>
      <c r="EM17" s="20">
        <f t="shared" si="19"/>
        <v>19.314878846195473</v>
      </c>
      <c r="EN17" s="59">
        <f t="shared" si="20"/>
        <v>262.22248357484989</v>
      </c>
      <c r="EO17" s="59">
        <f ca="1">AVERAGE(OFFSET($EN$3,0,0,'Données projet'!$E$15+1,1))-AVERAGE(OFFSET($H$3,0,0,'Données projet'!$E$15+1,1))</f>
        <v>276.72865583771579</v>
      </c>
      <c r="EP17" s="59">
        <f t="shared" si="46"/>
        <v>174.3587092851154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61.067528562360309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5.1799999999999988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4.25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15.583333333333334</v>
      </c>
      <c r="H18" s="67">
        <f t="shared" si="1"/>
        <v>222.56666666666669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K18" s="12">
        <f>VLOOKUP(A18,'Données projet'!$A$35:$I$55,2,0)</f>
        <v>141.17692307692306</v>
      </c>
      <c r="L18" s="12">
        <f>VLOOKUP(A18,'Données projet'!$A$35:$I$55,9,0)</f>
        <v>18.07076923076923</v>
      </c>
      <c r="M18" s="12">
        <f t="array" ref="M18">INDEX(L:L,MIN(IF(ISNUMBER(L18:L214),ROW(L18:L214),"")))</f>
        <v>18.07076923076923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432.7938698331194</v>
      </c>
      <c r="S18" s="59">
        <f ca="1">AVERAGE(OFFSET($R$3,0,0,'Données projet'!$E$9+1,1))-AVERAGE(OFFSET($H$3,0,0,'Données projet'!$E$9+1,1))</f>
        <v>341.11752883785607</v>
      </c>
      <c r="T18" s="59">
        <f t="shared" si="34"/>
        <v>423.15445896616234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9.0000000000000011E-2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3.5404123580943718</v>
      </c>
      <c r="AB18" s="21">
        <f>EXP(-LN(2)/2)*AB17+(1-EXP(-LN(2)/2))/(LN(2)/2)*V18*Y18*VLOOKUP('Données projet'!$B$9,Paramètres!$A$1:$I$89,3,0)*0.475*44/12</f>
        <v>0</v>
      </c>
      <c r="AC18" s="22">
        <f t="shared" si="3"/>
        <v>3.5404123580943718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9">
        <f t="shared" si="5"/>
        <v>297.29498373166342</v>
      </c>
      <c r="AN18" s="59">
        <f ca="1">AVERAGE(OFFSET($AM$3,0,0,'Données projet'!$E$10+1,1))-AVERAGE(OFFSET($H$3,0,0,'Données projet'!$E$10+1,1))</f>
        <v>521.72266623522626</v>
      </c>
      <c r="AO18" s="59">
        <f t="shared" si="36"/>
        <v>298.49205684341825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BA18" s="12">
        <f>VLOOKUP(A18,'Données projet'!$A$87:$I$107,2,0)</f>
        <v>59.88461538461538</v>
      </c>
      <c r="BB18" s="12">
        <f>VLOOKUP(A18,'Données projet'!$A$87:$I$107,9,0)</f>
        <v>3.9923076923076919</v>
      </c>
      <c r="BC18" s="12">
        <f t="array" ref="BC18">INDEX(BB:BB,MIN(IF(ISNUMBER(BB18:BB214),ROW(BB18:BB214),"")))</f>
        <v>3.9923076923076919</v>
      </c>
      <c r="BD18" s="12">
        <f>IF('Données projet'!$A$88&gt;35,BD17+BC18-BL17,IF(A18&lt;'Données projet'!$A$88,$BA$205^A18,IF(A18='Données projet'!$A$88,'Données projet'!$B$88,BD17+BC18-BL17)))</f>
        <v>59.88461538461538</v>
      </c>
      <c r="BE18" s="13">
        <f>BD18*VLOOKUP('Données projet'!$B$11,Paramètres!$A$1:$I$89,3,0)*VLOOKUP('Données projet'!$B$11,Paramètres!$A$1:$I$89,5,0)</f>
        <v>35.811</v>
      </c>
      <c r="BF18" s="13">
        <f t="shared" si="37"/>
        <v>10.881305381182697</v>
      </c>
      <c r="BG18" s="20">
        <f t="shared" si="7"/>
        <v>81.322431872226531</v>
      </c>
      <c r="BH18" s="59">
        <f t="shared" si="8"/>
        <v>326.64466931517541</v>
      </c>
      <c r="BI18" s="59">
        <f ca="1">AVERAGE(OFFSET($BH$3,0,0,'Données projet'!$E$11+1,1))-AVERAGE(OFFSET($H$3,0,0,'Données projet'!$E$11+1,1))</f>
        <v>376.5647919688821</v>
      </c>
      <c r="BJ18" s="59">
        <f t="shared" si="38"/>
        <v>340.34037344565581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9.0000000000000011E-2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BV18" s="12">
        <f>VLOOKUP(A18,'Données projet'!$A$113:$I$133,2,0)</f>
        <v>36</v>
      </c>
      <c r="BW18" s="12">
        <f>VLOOKUP(A18,'Données projet'!$A$113:$I$133,9,0)</f>
        <v>2.4</v>
      </c>
      <c r="BX18" s="12">
        <f t="array" ref="BX18">INDEX(BW:BW,MIN(IF(ISNUMBER(BW18:BW214),ROW(BW18:BW214),"")))</f>
        <v>2.4</v>
      </c>
      <c r="BY18" s="12">
        <f>IF('Données projet'!$A$114&gt;35,BY17+BX18-CG17,IF(A18&lt;'Données projet'!$A$114,$BV$205^A18,IF(A18='Données projet'!$A$114,'Données projet'!$B$114,BY17+BX18-CG17)))</f>
        <v>36</v>
      </c>
      <c r="BZ18" s="13">
        <f>BY18*VLOOKUP('Données projet'!$B$12,Paramètres!$A$1:$I$89,3,0)*VLOOKUP('Données projet'!$B$12,Paramètres!$A$1:$I$89,5,0)</f>
        <v>36.504000000000005</v>
      </c>
      <c r="CA18" s="13">
        <f t="shared" si="39"/>
        <v>11.067157525971377</v>
      </c>
      <c r="CB18" s="20">
        <f t="shared" si="10"/>
        <v>82.853099357733484</v>
      </c>
      <c r="CC18" s="59">
        <f t="shared" si="11"/>
        <v>328.17533680068237</v>
      </c>
      <c r="CD18" s="59">
        <f ca="1">AVERAGE(OFFSET($CC$3,0,0,'Données projet'!$E$12+1,1))-AVERAGE(OFFSET($H$3,0,0,'Données projet'!$E$12+1,1))</f>
        <v>473.09076714002885</v>
      </c>
      <c r="CE18" s="59">
        <f t="shared" si="40"/>
        <v>311.6454557566534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CQ18" s="12">
        <f>VLOOKUP(A18,'Données projet'!$A$139:$I$159,2,0)</f>
        <v>73</v>
      </c>
      <c r="CR18" s="12">
        <f>VLOOKUP(A18,'Données projet'!$A$139:$I$159,9,0)</f>
        <v>8.8000000000000007</v>
      </c>
      <c r="CS18" s="12">
        <f t="array" ref="CS18">INDEX(CR:CR,MIN(IF(ISNUMBER(CR18:CR214),ROW(CR18:CR214),"")))</f>
        <v>8.8000000000000007</v>
      </c>
      <c r="CT18" s="12">
        <f>IF('Données projet'!$A$140&gt;35,CT17+CS18-DB17,IF(A18&lt;'Données projet'!$A$140,$CQ$205^A18,IF(A18='Données projet'!$A$140,'Données projet'!$B$140,CT17+CS18-DB17)))</f>
        <v>72.999999999999986</v>
      </c>
      <c r="CU18" s="17">
        <f>CT18*VLOOKUP('Données projet'!$B$13,Paramètres!$A$1:$I$89,3,0)*VLOOKUP('Données projet'!$B$13,Paramètres!$A$1:$I$89,5,0)</f>
        <v>63.772799999999997</v>
      </c>
      <c r="CV18" s="13">
        <f t="shared" si="41"/>
        <v>18.118739450759566</v>
      </c>
      <c r="CW18" s="20">
        <f t="shared" si="13"/>
        <v>142.62776454340624</v>
      </c>
      <c r="CX18" s="59">
        <f t="shared" si="14"/>
        <v>387.95000198635512</v>
      </c>
      <c r="CY18" s="59">
        <f ca="1">AVERAGE(OFFSET($CX$3,0,0,'Données projet'!$E$13+1,1))-AVERAGE(OFFSET($H$3,0,0,'Données projet'!$E$13+1,1))</f>
        <v>379.66247682099424</v>
      </c>
      <c r="CZ18" s="59">
        <f t="shared" si="42"/>
        <v>342.92507939604081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3.65</v>
      </c>
      <c r="DO18" s="12">
        <f>IF('Données projet'!$A$166&gt;35,DO17+DN18-DW17,IF(A18&lt;'Données projet'!$A$166,$DL$205^A18,IF(A18='Données projet'!$A$166,'Données projet'!$B$166,DO17+DN18-DW17)))</f>
        <v>24.974232188561476</v>
      </c>
      <c r="DP18" s="17">
        <f>DO18*VLOOKUP('Données projet'!$B$14,Paramètres!$A$1:$I$89,3,0)*VLOOKUP('Données projet'!$B$14,Paramètres!$A$1:$I$89,5,0)</f>
        <v>23.765479350635101</v>
      </c>
      <c r="DQ18" s="13">
        <f t="shared" si="43"/>
        <v>7.5742295250687146</v>
      </c>
      <c r="DR18" s="20">
        <f t="shared" si="16"/>
        <v>54.583326291850803</v>
      </c>
      <c r="DS18" s="59">
        <f t="shared" si="17"/>
        <v>299.90556373479967</v>
      </c>
      <c r="DT18" s="59">
        <f ca="1">AVERAGE(OFFSET($DS$3,0,0,'Données projet'!$E$14+1,1))-AVERAGE(OFFSET($H$3,0,0,'Données projet'!$E$14+1,1))</f>
        <v>544.64394576312384</v>
      </c>
      <c r="DU18" s="59">
        <f t="shared" si="44"/>
        <v>310.67291035925484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1.05</v>
      </c>
      <c r="EJ18" s="12">
        <f>IF('Données projet'!$A$192&gt;35,EJ17+EI18-ER17,IF(A18&lt;'Données projet'!$A$192,$EG$205^A18,IF(A18='Données projet'!$A$192,'Données projet'!$B$192,EJ17+EI18-ER17)))</f>
        <v>9.8098975322922115</v>
      </c>
      <c r="EK18" s="17">
        <f>EJ18*VLOOKUP('Données projet'!$B$15,Paramètres!$A$1:$I$89,3,0)*VLOOKUP('Données projet'!$B$15,Paramètres!$A$1:$I$89,5,0)</f>
        <v>9.4881328932330273</v>
      </c>
      <c r="EL18" s="13">
        <f t="shared" si="45"/>
        <v>3.3650303333773621</v>
      </c>
      <c r="EM18" s="20">
        <f t="shared" si="19"/>
        <v>22.385925953013096</v>
      </c>
      <c r="EN18" s="59">
        <f t="shared" si="20"/>
        <v>267.70816339596195</v>
      </c>
      <c r="EO18" s="59">
        <f ca="1">AVERAGE(OFFSET($EN$3,0,0,'Données projet'!$E$15+1,1))-AVERAGE(OFFSET($H$3,0,0,'Données projet'!$E$15+1,1))</f>
        <v>276.72865583771579</v>
      </c>
      <c r="EP18" s="59">
        <f t="shared" si="46"/>
        <v>174.3587092851154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61.356064757167871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5.55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4.25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15.583333333333334</v>
      </c>
      <c r="H19" s="67">
        <f t="shared" si="1"/>
        <v>222.56666666666669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394.52988228956218</v>
      </c>
      <c r="S19" s="59">
        <f ca="1">AVERAGE(OFFSET($R$3,0,0,'Données projet'!$E$9+1,1))-AVERAGE(OFFSET($H$3,0,0,'Données projet'!$E$9+1,1))</f>
        <v>341.11752883785607</v>
      </c>
      <c r="T19" s="59">
        <f t="shared" si="34"/>
        <v>423.15445896616234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3.4435995959800869</v>
      </c>
      <c r="AB19" s="21">
        <f>EXP(-LN(2)/2)*AB18+(1-EXP(-LN(2)/2))/(LN(2)/2)*V19*Y19*VLOOKUP('Données projet'!$B$9,Paramètres!$A$1:$I$89,3,0)*0.475*44/12</f>
        <v>0</v>
      </c>
      <c r="AC19" s="22">
        <f t="shared" si="3"/>
        <v>3.4435995959800869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9">
        <f t="shared" si="5"/>
        <v>311.74121632409924</v>
      </c>
      <c r="AN19" s="59">
        <f ca="1">AVERAGE(OFFSET($AM$3,0,0,'Données projet'!$E$10+1,1))-AVERAGE(OFFSET($H$3,0,0,'Données projet'!$E$10+1,1))</f>
        <v>521.72266623522626</v>
      </c>
      <c r="AO19" s="59">
        <f t="shared" si="36"/>
        <v>298.49205684341825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17.024999999999999</v>
      </c>
      <c r="BD19" s="12">
        <f>IF('Données projet'!$A$88&gt;35,BD18+BC19-BL18,IF(A19&lt;'Données projet'!$A$88,$BA$205^A19,IF(A19='Données projet'!$A$88,'Données projet'!$B$88,BD18+BC19-BL18)))</f>
        <v>76.909615384615378</v>
      </c>
      <c r="BE19" s="13">
        <f>BD19*VLOOKUP('Données projet'!$B$11,Paramètres!$A$1:$I$89,3,0)*VLOOKUP('Données projet'!$B$11,Paramètres!$A$1:$I$89,5,0)</f>
        <v>45.991950000000003</v>
      </c>
      <c r="BF19" s="13">
        <f t="shared" si="37"/>
        <v>13.573683676879673</v>
      </c>
      <c r="BG19" s="20">
        <f t="shared" si="7"/>
        <v>103.74347865389876</v>
      </c>
      <c r="BH19" s="59">
        <f t="shared" si="8"/>
        <v>351.46199546547348</v>
      </c>
      <c r="BI19" s="59">
        <f ca="1">AVERAGE(OFFSET($BH$3,0,0,'Données projet'!$E$11+1,1))-AVERAGE(OFFSET($H$3,0,0,'Données projet'!$E$11+1,1))</f>
        <v>376.5647919688821</v>
      </c>
      <c r="BJ19" s="59">
        <f t="shared" si="38"/>
        <v>340.34037344565581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</v>
      </c>
      <c r="BY19" s="12">
        <f>IF('Données projet'!$A$114&gt;35,BY18+BX19-CG18,IF(A19&lt;'Données projet'!$A$114,$BV$205^A19,IF(A19='Données projet'!$A$114,'Données projet'!$B$114,BY18+BX19-CG18)))</f>
        <v>43</v>
      </c>
      <c r="BZ19" s="13">
        <f>BY19*VLOOKUP('Données projet'!$B$12,Paramètres!$A$1:$I$89,3,0)*VLOOKUP('Données projet'!$B$12,Paramètres!$A$1:$I$89,5,0)</f>
        <v>43.602000000000004</v>
      </c>
      <c r="CA19" s="13">
        <f t="shared" si="39"/>
        <v>12.948513957367396</v>
      </c>
      <c r="CB19" s="20">
        <f t="shared" si="10"/>
        <v>98.492145142414884</v>
      </c>
      <c r="CC19" s="59">
        <f t="shared" si="11"/>
        <v>346.21066195398959</v>
      </c>
      <c r="CD19" s="59">
        <f ca="1">AVERAGE(OFFSET($CC$3,0,0,'Données projet'!$E$12+1,1))-AVERAGE(OFFSET($H$3,0,0,'Données projet'!$E$12+1,1))</f>
        <v>473.09076714002885</v>
      </c>
      <c r="CE19" s="59">
        <f t="shared" si="40"/>
        <v>311.6454557566534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11.2</v>
      </c>
      <c r="CT19" s="12">
        <f>IF('Données projet'!$A$140&gt;35,CT18+CS19-DB18,IF(A19&lt;'Données projet'!$A$140,$CQ$205^A19,IF(A19='Données projet'!$A$140,'Données projet'!$B$140,CT18+CS19-DB18)))</f>
        <v>84.199999999999989</v>
      </c>
      <c r="CU19" s="17">
        <f>CT19*VLOOKUP('Données projet'!$B$13,Paramètres!$A$1:$I$89,3,0)*VLOOKUP('Données projet'!$B$13,Paramètres!$A$1:$I$89,5,0)</f>
        <v>73.557119999999998</v>
      </c>
      <c r="CV19" s="13">
        <f t="shared" si="41"/>
        <v>20.554251427792224</v>
      </c>
      <c r="CW19" s="20">
        <f t="shared" si="13"/>
        <v>163.91063857007143</v>
      </c>
      <c r="CX19" s="59">
        <f t="shared" si="14"/>
        <v>411.62915538164611</v>
      </c>
      <c r="CY19" s="59">
        <f ca="1">AVERAGE(OFFSET($CX$3,0,0,'Données projet'!$E$13+1,1))-AVERAGE(OFFSET($H$3,0,0,'Données projet'!$E$13+1,1))</f>
        <v>379.66247682099424</v>
      </c>
      <c r="CZ19" s="59">
        <f t="shared" si="42"/>
        <v>342.92507939604081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3.65</v>
      </c>
      <c r="DO19" s="12">
        <f>IF('Données projet'!$A$166&gt;35,DO18+DN19-DW18,IF(A19&lt;'Données projet'!$A$166,$DL$205^A19,IF(A19='Données projet'!$A$166,'Données projet'!$B$166,DO18+DN19-DW18)))</f>
        <v>30.949831440200953</v>
      </c>
      <c r="DP19" s="17">
        <f>DO19*VLOOKUP('Données projet'!$B$14,Paramètres!$A$1:$I$89,3,0)*VLOOKUP('Données projet'!$B$14,Paramètres!$A$1:$I$89,5,0)</f>
        <v>29.451859598495226</v>
      </c>
      <c r="DQ19" s="13">
        <f t="shared" si="43"/>
        <v>9.1550361929319699</v>
      </c>
      <c r="DR19" s="20">
        <f t="shared" si="16"/>
        <v>67.240343503402343</v>
      </c>
      <c r="DS19" s="59">
        <f t="shared" si="17"/>
        <v>314.95886031497702</v>
      </c>
      <c r="DT19" s="59">
        <f ca="1">AVERAGE(OFFSET($DS$3,0,0,'Données projet'!$E$14+1,1))-AVERAGE(OFFSET($H$3,0,0,'Données projet'!$E$14+1,1))</f>
        <v>544.64394576312384</v>
      </c>
      <c r="DU19" s="59">
        <f t="shared" si="44"/>
        <v>310.67291035925484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1.05</v>
      </c>
      <c r="EJ19" s="12">
        <f>IF('Données projet'!$A$192&gt;35,EJ18+EI19-ER18,IF(A19&lt;'Données projet'!$A$192,$EG$205^A19,IF(A19='Données projet'!$A$192,'Données projet'!$B$192,EJ18+EI19-ER18)))</f>
        <v>11.42287530066646</v>
      </c>
      <c r="EK19" s="17">
        <f>EJ19*VLOOKUP('Données projet'!$B$15,Paramètres!$A$1:$I$89,3,0)*VLOOKUP('Données projet'!$B$15,Paramètres!$A$1:$I$89,5,0)</f>
        <v>11.048204990804599</v>
      </c>
      <c r="EL19" s="13">
        <f t="shared" si="45"/>
        <v>3.8495027292785511</v>
      </c>
      <c r="EM19" s="20">
        <f t="shared" si="19"/>
        <v>25.946840945811488</v>
      </c>
      <c r="EN19" s="59">
        <f t="shared" si="20"/>
        <v>273.66535775738618</v>
      </c>
      <c r="EO19" s="59">
        <f ca="1">AVERAGE(OFFSET($EN$3,0,0,'Données projet'!$E$15+1,1))-AVERAGE(OFFSET($H$3,0,0,'Données projet'!$E$15+1,1))</f>
        <v>276.72865583771579</v>
      </c>
      <c r="EP19" s="59">
        <f t="shared" si="46"/>
        <v>174.3587092851154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61.63959549406583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5.919999999999999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4.25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15.583333333333334</v>
      </c>
      <c r="H20" s="67">
        <f t="shared" si="1"/>
        <v>222.56666666666669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420.90419077081901</v>
      </c>
      <c r="S20" s="59">
        <f ca="1">AVERAGE(OFFSET($R$3,0,0,'Données projet'!$E$9+1,1))-AVERAGE(OFFSET($H$3,0,0,'Données projet'!$E$9+1,1))</f>
        <v>341.11752883785607</v>
      </c>
      <c r="T20" s="59">
        <f t="shared" si="34"/>
        <v>423.15445896616234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3.349434183936979</v>
      </c>
      <c r="AB20" s="21">
        <f>EXP(-LN(2)/2)*AB19+(1-EXP(-LN(2)/2))/(LN(2)/2)*V20*Y20*VLOOKUP('Données projet'!$B$9,Paramètres!$A$1:$I$89,3,0)*0.475*44/12</f>
        <v>0</v>
      </c>
      <c r="AC20" s="22">
        <f t="shared" si="3"/>
        <v>3.349434183936979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9">
        <f t="shared" si="5"/>
        <v>328.97213609146115</v>
      </c>
      <c r="AN20" s="59">
        <f ca="1">AVERAGE(OFFSET($AM$3,0,0,'Données projet'!$E$10+1,1))-AVERAGE(OFFSET($H$3,0,0,'Données projet'!$E$10+1,1))</f>
        <v>521.72266623522626</v>
      </c>
      <c r="AO20" s="59">
        <f t="shared" si="36"/>
        <v>298.49205684341825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17.024999999999999</v>
      </c>
      <c r="BD20" s="12">
        <f>IF('Données projet'!$A$88&gt;35,BD19+BC20-BL19,IF(A20&lt;'Données projet'!$A$88,$BA$205^A20,IF(A20='Données projet'!$A$88,'Données projet'!$B$88,BD19+BC20-BL19)))</f>
        <v>93.93461538461537</v>
      </c>
      <c r="BE20" s="13">
        <f>BD20*VLOOKUP('Données projet'!$B$11,Paramètres!$A$1:$I$89,3,0)*VLOOKUP('Données projet'!$B$11,Paramètres!$A$1:$I$89,5,0)</f>
        <v>56.172899999999991</v>
      </c>
      <c r="BF20" s="13">
        <f t="shared" si="37"/>
        <v>16.196977747774771</v>
      </c>
      <c r="BG20" s="20">
        <f t="shared" si="7"/>
        <v>126.04420374404106</v>
      </c>
      <c r="BH20" s="59">
        <f t="shared" si="8"/>
        <v>376.1409649680885</v>
      </c>
      <c r="BI20" s="59">
        <f ca="1">AVERAGE(OFFSET($BH$3,0,0,'Données projet'!$E$11+1,1))-AVERAGE(OFFSET($H$3,0,0,'Données projet'!$E$11+1,1))</f>
        <v>376.5647919688821</v>
      </c>
      <c r="BJ20" s="59">
        <f t="shared" si="38"/>
        <v>340.34037344565581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</v>
      </c>
      <c r="BY20" s="12">
        <f>IF('Données projet'!$A$114&gt;35,BY19+BX20-CG19,IF(A20&lt;'Données projet'!$A$114,$BV$205^A20,IF(A20='Données projet'!$A$114,'Données projet'!$B$114,BY19+BX20-CG19)))</f>
        <v>50</v>
      </c>
      <c r="BZ20" s="13">
        <f>BY20*VLOOKUP('Données projet'!$B$12,Paramètres!$A$1:$I$89,3,0)*VLOOKUP('Données projet'!$B$12,Paramètres!$A$1:$I$89,5,0)</f>
        <v>50.7</v>
      </c>
      <c r="CA20" s="13">
        <f t="shared" si="39"/>
        <v>14.79439117980476</v>
      </c>
      <c r="CB20" s="20">
        <f t="shared" si="10"/>
        <v>114.06939797149329</v>
      </c>
      <c r="CC20" s="59">
        <f t="shared" si="11"/>
        <v>364.16615919554073</v>
      </c>
      <c r="CD20" s="59">
        <f ca="1">AVERAGE(OFFSET($CC$3,0,0,'Données projet'!$E$12+1,1))-AVERAGE(OFFSET($H$3,0,0,'Données projet'!$E$12+1,1))</f>
        <v>473.09076714002885</v>
      </c>
      <c r="CE20" s="59">
        <f t="shared" si="40"/>
        <v>311.6454557566534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11.2</v>
      </c>
      <c r="CT20" s="12">
        <f>IF('Données projet'!$A$140&gt;35,CT19+CS20-DB19,IF(A20&lt;'Données projet'!$A$140,$CQ$205^A20,IF(A20='Données projet'!$A$140,'Données projet'!$B$140,CT19+CS20-DB19)))</f>
        <v>95.399999999999991</v>
      </c>
      <c r="CU20" s="17">
        <f>CT20*VLOOKUP('Données projet'!$B$13,Paramètres!$A$1:$I$89,3,0)*VLOOKUP('Données projet'!$B$13,Paramètres!$A$1:$I$89,5,0)</f>
        <v>83.341440000000006</v>
      </c>
      <c r="CV20" s="13">
        <f t="shared" si="41"/>
        <v>22.952227742446681</v>
      </c>
      <c r="CW20" s="20">
        <f t="shared" si="13"/>
        <v>185.12813798476131</v>
      </c>
      <c r="CX20" s="59">
        <f t="shared" si="14"/>
        <v>435.22489920880878</v>
      </c>
      <c r="CY20" s="59">
        <f ca="1">AVERAGE(OFFSET($CX$3,0,0,'Données projet'!$E$13+1,1))-AVERAGE(OFFSET($H$3,0,0,'Données projet'!$E$13+1,1))</f>
        <v>379.66247682099424</v>
      </c>
      <c r="CZ20" s="59">
        <f t="shared" si="42"/>
        <v>342.92507939604081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3.65</v>
      </c>
      <c r="DO20" s="12">
        <f>IF('Données projet'!$A$166&gt;35,DO19+DN20-DW19,IF(A20&lt;'Données projet'!$A$166,$DL$205^A20,IF(A20='Données projet'!$A$166,'Données projet'!$B$166,DO19+DN20-DW19)))</f>
        <v>38.355215845858055</v>
      </c>
      <c r="DP20" s="17">
        <f>DO20*VLOOKUP('Données projet'!$B$14,Paramètres!$A$1:$I$89,3,0)*VLOOKUP('Données projet'!$B$14,Paramètres!$A$1:$I$89,5,0)</f>
        <v>36.498823398918525</v>
      </c>
      <c r="DQ20" s="13">
        <f t="shared" si="43"/>
        <v>11.065770771335835</v>
      </c>
      <c r="DR20" s="20">
        <f t="shared" si="16"/>
        <v>82.841668179859667</v>
      </c>
      <c r="DS20" s="59">
        <f t="shared" si="17"/>
        <v>332.93842940390709</v>
      </c>
      <c r="DT20" s="59">
        <f ca="1">AVERAGE(OFFSET($DS$3,0,0,'Données projet'!$E$14+1,1))-AVERAGE(OFFSET($H$3,0,0,'Données projet'!$E$14+1,1))</f>
        <v>544.64394576312384</v>
      </c>
      <c r="DU20" s="59">
        <f t="shared" si="44"/>
        <v>310.67291035925484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1.05</v>
      </c>
      <c r="EJ20" s="12">
        <f>IF('Données projet'!$A$192&gt;35,EJ19+EI20-ER19,IF(A20&lt;'Données projet'!$A$192,$EG$205^A20,IF(A20='Données projet'!$A$192,'Données projet'!$B$192,EJ19+EI20-ER19)))</f>
        <v>13.301064532535134</v>
      </c>
      <c r="EK20" s="17">
        <f>EJ20*VLOOKUP('Données projet'!$B$15,Paramètres!$A$1:$I$89,3,0)*VLOOKUP('Données projet'!$B$15,Paramètres!$A$1:$I$89,5,0)</f>
        <v>12.864789615867982</v>
      </c>
      <c r="EL20" s="13">
        <f t="shared" si="45"/>
        <v>4.4037259087201281</v>
      </c>
      <c r="EM20" s="20">
        <f t="shared" si="19"/>
        <v>30.07599787199096</v>
      </c>
      <c r="EN20" s="59">
        <f t="shared" si="20"/>
        <v>280.17275909603842</v>
      </c>
      <c r="EO20" s="59">
        <f ca="1">AVERAGE(OFFSET($EN$3,0,0,'Données projet'!$E$15+1,1))-AVERAGE(OFFSET($H$3,0,0,'Données projet'!$E$15+1,1))</f>
        <v>276.72865583771579</v>
      </c>
      <c r="EP20" s="59">
        <f t="shared" si="46"/>
        <v>174.3587092851154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61.918207606558383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6.29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4.25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15.583333333333334</v>
      </c>
      <c r="H21" s="67">
        <f t="shared" si="1"/>
        <v>222.56666666666669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447.18132318804305</v>
      </c>
      <c r="S21" s="59">
        <f ca="1">AVERAGE(OFFSET($R$3,0,0,'Données projet'!$E$9+1,1))-AVERAGE(OFFSET($H$3,0,0,'Données projet'!$E$9+1,1))</f>
        <v>341.11752883785607</v>
      </c>
      <c r="T21" s="59">
        <f t="shared" si="34"/>
        <v>423.15445896616234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3.2578437300381338</v>
      </c>
      <c r="AB21" s="21">
        <f>EXP(-LN(2)/2)*AB20+(1-EXP(-LN(2)/2))/(LN(2)/2)*V21*Y21*VLOOKUP('Données projet'!$B$9,Paramètres!$A$1:$I$89,3,0)*0.475*44/12</f>
        <v>0</v>
      </c>
      <c r="AC21" s="22">
        <f t="shared" si="3"/>
        <v>3.2578437300381338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9">
        <f t="shared" si="5"/>
        <v>349.64186857769505</v>
      </c>
      <c r="AN21" s="59">
        <f ca="1">AVERAGE(OFFSET($AM$3,0,0,'Données projet'!$E$10+1,1))-AVERAGE(OFFSET($H$3,0,0,'Données projet'!$E$10+1,1))</f>
        <v>521.72266623522626</v>
      </c>
      <c r="AO21" s="59">
        <f t="shared" si="36"/>
        <v>298.49205684341825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17.024999999999999</v>
      </c>
      <c r="BD21" s="12">
        <f>IF('Données projet'!$A$88&gt;35,BD20+BC21-BL20,IF(A21&lt;'Données projet'!$A$88,$BA$205^A21,IF(A21='Données projet'!$A$88,'Données projet'!$B$88,BD20+BC21-BL20)))</f>
        <v>110.95961538461538</v>
      </c>
      <c r="BE21" s="13">
        <f>BD21*VLOOKUP('Données projet'!$B$11,Paramètres!$A$1:$I$89,3,0)*VLOOKUP('Données projet'!$B$11,Paramètres!$A$1:$I$89,5,0)</f>
        <v>66.353849999999994</v>
      </c>
      <c r="BF21" s="13">
        <f t="shared" si="37"/>
        <v>18.765190360416003</v>
      </c>
      <c r="BG21" s="20">
        <f t="shared" si="7"/>
        <v>148.24899529439116</v>
      </c>
      <c r="BH21" s="59">
        <f t="shared" si="8"/>
        <v>400.70627884092715</v>
      </c>
      <c r="BI21" s="59">
        <f ca="1">AVERAGE(OFFSET($BH$3,0,0,'Données projet'!$E$11+1,1))-AVERAGE(OFFSET($H$3,0,0,'Données projet'!$E$11+1,1))</f>
        <v>376.5647919688821</v>
      </c>
      <c r="BJ21" s="59">
        <f t="shared" si="38"/>
        <v>340.34037344565581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</v>
      </c>
      <c r="BY21" s="12">
        <f>IF('Données projet'!$A$114&gt;35,BY20+BX21-CG20,IF(A21&lt;'Données projet'!$A$114,$BV$205^A21,IF(A21='Données projet'!$A$114,'Données projet'!$B$114,BY20+BX21-CG20)))</f>
        <v>57</v>
      </c>
      <c r="BZ21" s="13">
        <f>BY21*VLOOKUP('Données projet'!$B$12,Paramètres!$A$1:$I$89,3,0)*VLOOKUP('Données projet'!$B$12,Paramètres!$A$1:$I$89,5,0)</f>
        <v>57.798000000000009</v>
      </c>
      <c r="CA21" s="13">
        <f t="shared" si="39"/>
        <v>16.610328609522991</v>
      </c>
      <c r="CB21" s="20">
        <f t="shared" si="10"/>
        <v>129.59450566158588</v>
      </c>
      <c r="CC21" s="59">
        <f t="shared" si="11"/>
        <v>382.05178920812187</v>
      </c>
      <c r="CD21" s="59">
        <f ca="1">AVERAGE(OFFSET($CC$3,0,0,'Données projet'!$E$12+1,1))-AVERAGE(OFFSET($H$3,0,0,'Données projet'!$E$12+1,1))</f>
        <v>473.09076714002885</v>
      </c>
      <c r="CE21" s="59">
        <f t="shared" si="40"/>
        <v>311.6454557566534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11.2</v>
      </c>
      <c r="CT21" s="12">
        <f>IF('Données projet'!$A$140&gt;35,CT20+CS21-DB20,IF(A21&lt;'Données projet'!$A$140,$CQ$205^A21,IF(A21='Données projet'!$A$140,'Données projet'!$B$140,CT20+CS21-DB20)))</f>
        <v>106.6</v>
      </c>
      <c r="CU21" s="17">
        <f>CT21*VLOOKUP('Données projet'!$B$13,Paramètres!$A$1:$I$89,3,0)*VLOOKUP('Données projet'!$B$13,Paramètres!$A$1:$I$89,5,0)</f>
        <v>93.125760000000014</v>
      </c>
      <c r="CV21" s="13">
        <f t="shared" si="41"/>
        <v>25.317578585717406</v>
      </c>
      <c r="CW21" s="20">
        <f t="shared" si="13"/>
        <v>206.2888147034578</v>
      </c>
      <c r="CX21" s="59">
        <f t="shared" si="14"/>
        <v>458.74609824999379</v>
      </c>
      <c r="CY21" s="59">
        <f ca="1">AVERAGE(OFFSET($CX$3,0,0,'Données projet'!$E$13+1,1))-AVERAGE(OFFSET($H$3,0,0,'Données projet'!$E$13+1,1))</f>
        <v>379.66247682099424</v>
      </c>
      <c r="CZ21" s="59">
        <f t="shared" si="42"/>
        <v>342.92507939604081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3.65</v>
      </c>
      <c r="DO21" s="12">
        <f>IF('Données projet'!$A$166&gt;35,DO20+DN21-DW20,IF(A21&lt;'Données projet'!$A$166,$DL$205^A21,IF(A21='Données projet'!$A$166,'Données projet'!$B$166,DO20+DN21-DW20)))</f>
        <v>47.532490941824946</v>
      </c>
      <c r="DP21" s="17">
        <f>DO21*VLOOKUP('Données projet'!$B$14,Paramètres!$A$1:$I$89,3,0)*VLOOKUP('Données projet'!$B$14,Paramètres!$A$1:$I$89,5,0)</f>
        <v>45.231918380240622</v>
      </c>
      <c r="DQ21" s="13">
        <f t="shared" si="43"/>
        <v>13.375292045080878</v>
      </c>
      <c r="DR21" s="20">
        <f t="shared" si="16"/>
        <v>102.07422482410162</v>
      </c>
      <c r="DS21" s="59">
        <f t="shared" si="17"/>
        <v>354.5315083706376</v>
      </c>
      <c r="DT21" s="59">
        <f ca="1">AVERAGE(OFFSET($DS$3,0,0,'Données projet'!$E$14+1,1))-AVERAGE(OFFSET($H$3,0,0,'Données projet'!$E$14+1,1))</f>
        <v>544.64394576312384</v>
      </c>
      <c r="DU21" s="59">
        <f t="shared" si="44"/>
        <v>310.67291035925484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1.05</v>
      </c>
      <c r="EJ21" s="12">
        <f>IF('Données projet'!$A$192&gt;35,EJ20+EI21-ER20,IF(A21&lt;'Données projet'!$A$192,$EG$205^A21,IF(A21='Données projet'!$A$192,'Données projet'!$B$192,EJ20+EI21-ER20)))</f>
        <v>15.48807222716875</v>
      </c>
      <c r="EK21" s="17">
        <f>EJ21*VLOOKUP('Données projet'!$B$15,Paramètres!$A$1:$I$89,3,0)*VLOOKUP('Données projet'!$B$15,Paramètres!$A$1:$I$89,5,0)</f>
        <v>14.980063458117616</v>
      </c>
      <c r="EL21" s="13">
        <f t="shared" si="45"/>
        <v>5.0377420781222293</v>
      </c>
      <c r="EM21" s="20">
        <f t="shared" si="19"/>
        <v>34.864344642284394</v>
      </c>
      <c r="EN21" s="59">
        <f t="shared" si="20"/>
        <v>287.3216281888204</v>
      </c>
      <c r="EO21" s="59">
        <f ca="1">AVERAGE(OFFSET($EN$3,0,0,'Données projet'!$E$15+1,1))-AVERAGE(OFFSET($H$3,0,0,'Données projet'!$E$15+1,1))</f>
        <v>276.72865583771579</v>
      </c>
      <c r="EP21" s="59">
        <f t="shared" si="46"/>
        <v>174.3587092851154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62.191986421782545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6.6599999999999984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4.25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15.583333333333334</v>
      </c>
      <c r="H22" s="67">
        <f t="shared" si="1"/>
        <v>222.56666666666669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473.37272609227773</v>
      </c>
      <c r="S22" s="59">
        <f ca="1">AVERAGE(OFFSET($R$3,0,0,'Données projet'!$E$9+1,1))-AVERAGE(OFFSET($H$3,0,0,'Données projet'!$E$9+1,1))</f>
        <v>341.11752883785607</v>
      </c>
      <c r="T22" s="59">
        <f t="shared" si="34"/>
        <v>423.15445896616234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3.1687578219176853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3.1687578219176853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9">
        <f t="shared" si="5"/>
        <v>374.55746651242441</v>
      </c>
      <c r="AN22" s="59">
        <f ca="1">AVERAGE(OFFSET($AM$3,0,0,'Données projet'!$E$10+1,1))-AVERAGE(OFFSET($H$3,0,0,'Données projet'!$E$10+1,1))</f>
        <v>521.72266623522626</v>
      </c>
      <c r="AO22" s="59">
        <f t="shared" si="36"/>
        <v>298.49205684341825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BA22" s="12">
        <f>VLOOKUP(A22,'Données projet'!$A$87:$I$107,2,0)</f>
        <v>127.98461538461538</v>
      </c>
      <c r="BB22" s="12">
        <f>VLOOKUP(A22,'Données projet'!$A$87:$I$107,9,0)</f>
        <v>17.024999999999999</v>
      </c>
      <c r="BC22" s="12">
        <f t="array" ref="BC22">INDEX(BB:BB,MIN(IF(ISNUMBER(BB22:BB218),ROW(BB22:BB218),"")))</f>
        <v>17.024999999999999</v>
      </c>
      <c r="BD22" s="12">
        <f>IF('Données projet'!$A$88&gt;35,BD21+BC22-BL21,IF(A22&lt;'Données projet'!$A$88,$BA$205^A22,IF(A22='Données projet'!$A$88,'Données projet'!$B$88,BD21+BC22-BL21)))</f>
        <v>127.98461538461538</v>
      </c>
      <c r="BE22" s="13">
        <f>BD22*VLOOKUP('Données projet'!$B$11,Paramètres!$A$1:$I$89,3,0)*VLOOKUP('Données projet'!$B$11,Paramètres!$A$1:$I$89,5,0)</f>
        <v>76.534800000000004</v>
      </c>
      <c r="BF22" s="13">
        <f t="shared" si="37"/>
        <v>21.287753590702248</v>
      </c>
      <c r="BG22" s="20">
        <f t="shared" si="7"/>
        <v>170.37428083713976</v>
      </c>
      <c r="BH22" s="59">
        <f t="shared" si="8"/>
        <v>425.17467205482086</v>
      </c>
      <c r="BI22" s="59">
        <f ca="1">AVERAGE(OFFSET($BH$3,0,0,'Données projet'!$E$11+1,1))-AVERAGE(OFFSET($H$3,0,0,'Données projet'!$E$11+1,1))</f>
        <v>376.5647919688821</v>
      </c>
      <c r="BJ22" s="59">
        <f t="shared" si="38"/>
        <v>340.34037344565581</v>
      </c>
      <c r="BK22" s="15">
        <f>IF(ISNA(VLOOKUP(A22,'Données projet'!$A$87:$I$107,3,0)),0,VLOOKUP(A22,'Données projet'!$A$87:$I$107,3,0))</f>
        <v>2</v>
      </c>
      <c r="BL22" s="15">
        <f>IF(ISNA(VLOOKUP(A22,'Données projet'!$A$87:$I$107,4,0)),0,VLOOKUP(A22,'Données projet'!$A$87:$I$107,4,0))</f>
        <v>46.53846153846154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9.0000000000000011E-2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3.3095634682433492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3.3095634682433492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</v>
      </c>
      <c r="BY22" s="12">
        <f>IF('Données projet'!$A$114&gt;35,BY21+BX22-CG21,IF(A22&lt;'Données projet'!$A$114,$BV$205^A22,IF(A22='Données projet'!$A$114,'Données projet'!$B$114,BY21+BX22-CG21)))</f>
        <v>64</v>
      </c>
      <c r="BZ22" s="13">
        <f>BY22*VLOOKUP('Données projet'!$B$12,Paramètres!$A$1:$I$89,3,0)*VLOOKUP('Données projet'!$B$12,Paramètres!$A$1:$I$89,5,0)</f>
        <v>64.896000000000001</v>
      </c>
      <c r="CA22" s="13">
        <f t="shared" si="39"/>
        <v>18.400423846102964</v>
      </c>
      <c r="CB22" s="20">
        <f t="shared" si="10"/>
        <v>145.07460486529598</v>
      </c>
      <c r="CC22" s="59">
        <f t="shared" si="11"/>
        <v>399.87499608297708</v>
      </c>
      <c r="CD22" s="59">
        <f ca="1">AVERAGE(OFFSET($CC$3,0,0,'Données projet'!$E$12+1,1))-AVERAGE(OFFSET($H$3,0,0,'Données projet'!$E$12+1,1))</f>
        <v>473.09076714002885</v>
      </c>
      <c r="CE22" s="59">
        <f t="shared" si="40"/>
        <v>311.6454557566534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11.2</v>
      </c>
      <c r="CT22" s="12">
        <f>IF('Données projet'!$A$140&gt;35,CT21+CS22-DB21,IF(A22&lt;'Données projet'!$A$140,$CQ$205^A22,IF(A22='Données projet'!$A$140,'Données projet'!$B$140,CT21+CS22-DB21)))</f>
        <v>117.8</v>
      </c>
      <c r="CU22" s="17">
        <f>CT22*VLOOKUP('Données projet'!$B$13,Paramètres!$A$1:$I$89,3,0)*VLOOKUP('Données projet'!$B$13,Paramètres!$A$1:$I$89,5,0)</f>
        <v>102.91008000000001</v>
      </c>
      <c r="CV22" s="13">
        <f t="shared" si="41"/>
        <v>27.654122306790427</v>
      </c>
      <c r="CW22" s="20">
        <f t="shared" si="13"/>
        <v>227.39931901765999</v>
      </c>
      <c r="CX22" s="59">
        <f t="shared" si="14"/>
        <v>482.19971023534106</v>
      </c>
      <c r="CY22" s="59">
        <f ca="1">AVERAGE(OFFSET($CX$3,0,0,'Données projet'!$E$13+1,1))-AVERAGE(OFFSET($H$3,0,0,'Données projet'!$E$13+1,1))</f>
        <v>379.66247682099424</v>
      </c>
      <c r="CZ22" s="59">
        <f t="shared" si="42"/>
        <v>342.92507939604081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3.65</v>
      </c>
      <c r="DO22" s="12">
        <f>IF('Données projet'!$A$166&gt;35,DO21+DN22-DW21,IF(A22&lt;'Données projet'!$A$166,$DL$205^A22,IF(A22='Données projet'!$A$166,'Données projet'!$B$166,DO21+DN22-DW21)))</f>
        <v>58.90561805764559</v>
      </c>
      <c r="DP22" s="17">
        <f>DO22*VLOOKUP('Données projet'!$B$14,Paramètres!$A$1:$I$89,3,0)*VLOOKUP('Données projet'!$B$14,Paramètres!$A$1:$I$89,5,0)</f>
        <v>56.054586143655548</v>
      </c>
      <c r="DQ22" s="13">
        <f t="shared" si="43"/>
        <v>16.166830217973832</v>
      </c>
      <c r="DR22" s="20">
        <f t="shared" si="16"/>
        <v>125.78563349650449</v>
      </c>
      <c r="DS22" s="59">
        <f t="shared" si="17"/>
        <v>380.58602471418556</v>
      </c>
      <c r="DT22" s="59">
        <f ca="1">AVERAGE(OFFSET($DS$3,0,0,'Données projet'!$E$14+1,1))-AVERAGE(OFFSET($H$3,0,0,'Données projet'!$E$14+1,1))</f>
        <v>544.64394576312384</v>
      </c>
      <c r="DU22" s="59">
        <f t="shared" si="44"/>
        <v>310.67291035925484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1.05</v>
      </c>
      <c r="EJ22" s="12">
        <f>IF('Données projet'!$A$192&gt;35,EJ21+EI22-ER21,IF(A22&lt;'Données projet'!$A$192,$EG$205^A22,IF(A22='Données projet'!$A$192,'Données projet'!$B$192,EJ21+EI22-ER21)))</f>
        <v>18.034675399644545</v>
      </c>
      <c r="EK22" s="17">
        <f>EJ22*VLOOKUP('Données projet'!$B$15,Paramètres!$A$1:$I$89,3,0)*VLOOKUP('Données projet'!$B$15,Paramètres!$A$1:$I$89,5,0)</f>
        <v>17.443138046536202</v>
      </c>
      <c r="EL22" s="13">
        <f t="shared" si="45"/>
        <v>5.7630392471586012</v>
      </c>
      <c r="EM22" s="20">
        <f t="shared" si="19"/>
        <v>40.417425453185118</v>
      </c>
      <c r="EN22" s="59">
        <f t="shared" si="20"/>
        <v>295.21781667086623</v>
      </c>
      <c r="EO22" s="59">
        <f ca="1">AVERAGE(OFFSET($EN$3,0,0,'Données projet'!$E$15+1,1))-AVERAGE(OFFSET($H$3,0,0,'Données projet'!$E$15+1,1))</f>
        <v>276.72865583771579</v>
      </c>
      <c r="EP22" s="59">
        <f t="shared" si="46"/>
        <v>174.3587092851154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62.461015786640303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7.0299999999999994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4.25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15.583333333333334</v>
      </c>
      <c r="H23" s="67">
        <f t="shared" si="1"/>
        <v>222.56666666666669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499.48720536129201</v>
      </c>
      <c r="S23" s="59">
        <f ca="1">AVERAGE(OFFSET($R$3,0,0,'Données projet'!$E$9+1,1))-AVERAGE(OFFSET($H$3,0,0,'Données projet'!$E$9+1,1))</f>
        <v>341.11752883785607</v>
      </c>
      <c r="T23" s="59">
        <f t="shared" si="34"/>
        <v>423.15445896616234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48.723076923076931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9.0000000000000011E-2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6.5470294615409985</v>
      </c>
      <c r="AB23" s="21">
        <f>EXP(-LN(2)/2)*AB22+(1-EXP(-LN(2)/2))/(LN(2)/2)*V23*Y23*VLOOKUP('Données projet'!$B$9,Paramètres!$A$1:$I$89,3,0)*0.475*44/12</f>
        <v>0</v>
      </c>
      <c r="AC23" s="22">
        <f t="shared" si="3"/>
        <v>6.5470294615409985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9">
        <f t="shared" si="5"/>
        <v>404.71477054709737</v>
      </c>
      <c r="AN23" s="59">
        <f ca="1">AVERAGE(OFFSET($AM$3,0,0,'Données projet'!$E$10+1,1))-AVERAGE(OFFSET($H$3,0,0,'Données projet'!$E$10+1,1))</f>
        <v>521.72266623522626</v>
      </c>
      <c r="AO23" s="59">
        <f t="shared" si="36"/>
        <v>298.49205684341825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15.7</v>
      </c>
      <c r="BD23" s="12">
        <f>IF('Données projet'!$A$88&gt;35,BD22+BC23-BL22,IF(A23&lt;'Données projet'!$A$88,$BA$205^A23,IF(A23='Données projet'!$A$88,'Données projet'!$B$88,BD22+BC23-BL22)))</f>
        <v>97.146153846153823</v>
      </c>
      <c r="BE23" s="13">
        <f>BD23*VLOOKUP('Données projet'!$B$11,Paramètres!$A$1:$I$89,3,0)*VLOOKUP('Données projet'!$B$11,Paramètres!$A$1:$I$89,5,0)</f>
        <v>58.093399999999988</v>
      </c>
      <c r="BF23" s="13">
        <f t="shared" si="37"/>
        <v>16.68531848887627</v>
      </c>
      <c r="BG23" s="20">
        <f t="shared" si="7"/>
        <v>130.23960136812613</v>
      </c>
      <c r="BH23" s="59">
        <f t="shared" si="8"/>
        <v>387.36598771087631</v>
      </c>
      <c r="BI23" s="59">
        <f ca="1">AVERAGE(OFFSET($BH$3,0,0,'Données projet'!$E$11+1,1))-AVERAGE(OFFSET($H$3,0,0,'Données projet'!$E$11+1,1))</f>
        <v>376.5647919688821</v>
      </c>
      <c r="BJ23" s="59">
        <f t="shared" si="38"/>
        <v>340.34037344565581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3.2190632811618562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3.2190632811618562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BV23" s="12">
        <f>VLOOKUP(A23,'Données projet'!$A$113:$I$133,2,0)</f>
        <v>71</v>
      </c>
      <c r="BW23" s="12">
        <f>VLOOKUP(A23,'Données projet'!$A$113:$I$133,9,0)</f>
        <v>7</v>
      </c>
      <c r="BX23" s="12">
        <f t="array" ref="BX23">INDEX(BW:BW,MIN(IF(ISNUMBER(BW23:BW219),ROW(BW23:BW219),"")))</f>
        <v>7</v>
      </c>
      <c r="BY23" s="12">
        <f>IF('Données projet'!$A$114&gt;35,BY22+BX23-CG22,IF(A23&lt;'Données projet'!$A$114,$BV$205^A23,IF(A23='Données projet'!$A$114,'Données projet'!$B$114,BY22+BX23-CG22)))</f>
        <v>71</v>
      </c>
      <c r="BZ23" s="13">
        <f>BY23*VLOOKUP('Données projet'!$B$12,Paramètres!$A$1:$I$89,3,0)*VLOOKUP('Données projet'!$B$12,Paramètres!$A$1:$I$89,5,0)</f>
        <v>71.994</v>
      </c>
      <c r="CA23" s="13">
        <f t="shared" si="39"/>
        <v>20.167825678149413</v>
      </c>
      <c r="CB23" s="20">
        <f t="shared" si="10"/>
        <v>160.51517972277688</v>
      </c>
      <c r="CC23" s="59">
        <f t="shared" si="11"/>
        <v>417.64156606552706</v>
      </c>
      <c r="CD23" s="59">
        <f ca="1">AVERAGE(OFFSET($CC$3,0,0,'Données projet'!$E$12+1,1))-AVERAGE(OFFSET($H$3,0,0,'Données projet'!$E$12+1,1))</f>
        <v>473.09076714002885</v>
      </c>
      <c r="CE23" s="59">
        <f t="shared" si="40"/>
        <v>311.6454557566534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18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CQ23" s="12">
        <f>VLOOKUP(A23,'Données projet'!$A$139:$I$159,2,0)</f>
        <v>129</v>
      </c>
      <c r="CR23" s="12">
        <f>VLOOKUP(A23,'Données projet'!$A$139:$I$159,9,0)</f>
        <v>11.2</v>
      </c>
      <c r="CS23" s="12">
        <f t="array" ref="CS23">INDEX(CR:CR,MIN(IF(ISNUMBER(CR23:CR219),ROW(CR23:CR219),"")))</f>
        <v>11.2</v>
      </c>
      <c r="CT23" s="12">
        <f>IF('Données projet'!$A$140&gt;35,CT22+CS23-DB22,IF(A23&lt;'Données projet'!$A$140,$CQ$205^A23,IF(A23='Données projet'!$A$140,'Données projet'!$B$140,CT22+CS23-DB22)))</f>
        <v>129</v>
      </c>
      <c r="CU23" s="17">
        <f>CT23*VLOOKUP('Données projet'!$B$13,Paramètres!$A$1:$I$89,3,0)*VLOOKUP('Données projet'!$B$13,Paramètres!$A$1:$I$89,5,0)</f>
        <v>112.69440000000002</v>
      </c>
      <c r="CV23" s="13">
        <f t="shared" si="41"/>
        <v>29.964909381330632</v>
      </c>
      <c r="CW23" s="20">
        <f t="shared" si="13"/>
        <v>248.46496383915087</v>
      </c>
      <c r="CX23" s="59">
        <f t="shared" si="14"/>
        <v>505.59135018190108</v>
      </c>
      <c r="CY23" s="59">
        <f ca="1">AVERAGE(OFFSET($CX$3,0,0,'Données projet'!$E$13+1,1))-AVERAGE(OFFSET($H$3,0,0,'Données projet'!$E$13+1,1))</f>
        <v>379.66247682099424</v>
      </c>
      <c r="CZ23" s="59">
        <f t="shared" si="42"/>
        <v>342.92507939604081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54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DL23" s="12">
        <f>VLOOKUP(A23,'Données projet'!$A$165:$I$185,2,0)</f>
        <v>73</v>
      </c>
      <c r="DM23" s="12">
        <f>VLOOKUP(A23,'Données projet'!$A$165:$I$185,9,0)</f>
        <v>3.65</v>
      </c>
      <c r="DN23" s="12">
        <f t="array" ref="DN23">INDEX(DM:DM,MIN(IF(ISNUMBER(DM23:DM219),ROW(DM23:DM219),"")))</f>
        <v>3.65</v>
      </c>
      <c r="DO23" s="12">
        <f>IF('Données projet'!$A$166&gt;35,DO22+DN23-DW22,IF(A23&lt;'Données projet'!$A$166,$DL$205^A23,IF(A23='Données projet'!$A$166,'Données projet'!$B$166,DO22+DN23-DW22)))</f>
        <v>73</v>
      </c>
      <c r="DP23" s="17">
        <f>DO23*VLOOKUP('Données projet'!$B$14,Paramètres!$A$1:$I$89,3,0)*VLOOKUP('Données projet'!$B$14,Paramètres!$A$1:$I$89,5,0)</f>
        <v>69.466800000000006</v>
      </c>
      <c r="DQ23" s="13">
        <f t="shared" si="43"/>
        <v>19.540986351241298</v>
      </c>
      <c r="DR23" s="20">
        <f t="shared" si="16"/>
        <v>155.02189456174526</v>
      </c>
      <c r="DS23" s="59">
        <f t="shared" si="17"/>
        <v>412.14828090449544</v>
      </c>
      <c r="DT23" s="59">
        <f ca="1">AVERAGE(OFFSET($DS$3,0,0,'Données projet'!$E$14+1,1))-AVERAGE(OFFSET($H$3,0,0,'Données projet'!$E$14+1,1))</f>
        <v>544.64394576312384</v>
      </c>
      <c r="DU23" s="59">
        <f t="shared" si="44"/>
        <v>310.67291035925484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6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EG23" s="12">
        <f>VLOOKUP(A23,'Données projet'!$A$191:$I$211,2,0)</f>
        <v>21</v>
      </c>
      <c r="EH23" s="12">
        <f>VLOOKUP(A23,'Données projet'!$A$191:$I$211,9,0)</f>
        <v>1.05</v>
      </c>
      <c r="EI23" s="12">
        <f t="array" ref="EI23">INDEX(EH:EH,MIN(IF(ISNUMBER(EH23:EH219),ROW(EH23:EH219),"")))</f>
        <v>1.05</v>
      </c>
      <c r="EJ23" s="12">
        <f>IF('Données projet'!$A$192&gt;35,EJ22+EI23-ER22,IF(A23&lt;'Données projet'!$A$192,$EG$205^A23,IF(A23='Données projet'!$A$192,'Données projet'!$B$192,EJ22+EI23-ER22)))</f>
        <v>21</v>
      </c>
      <c r="EK23" s="17">
        <f>EJ23*VLOOKUP('Données projet'!$B$15,Paramètres!$A$1:$I$89,3,0)*VLOOKUP('Données projet'!$B$15,Paramètres!$A$1:$I$89,5,0)</f>
        <v>20.311199999999999</v>
      </c>
      <c r="EL23" s="13">
        <f t="shared" si="45"/>
        <v>6.5927593849088089</v>
      </c>
      <c r="EM23" s="20">
        <f t="shared" si="19"/>
        <v>46.85772926204951</v>
      </c>
      <c r="EN23" s="59">
        <f t="shared" si="20"/>
        <v>303.98411560479974</v>
      </c>
      <c r="EO23" s="59">
        <f ca="1">AVERAGE(OFFSET($EN$3,0,0,'Données projet'!$E$15+1,1))-AVERAGE(OFFSET($H$3,0,0,'Données projet'!$E$15+1,1))</f>
        <v>276.72865583771579</v>
      </c>
      <c r="EP23" s="59">
        <f t="shared" si="46"/>
        <v>174.3587092851154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62.725378093477332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7.3999999999999977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4.25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15.583333333333334</v>
      </c>
      <c r="H24" s="67">
        <f t="shared" si="1"/>
        <v>222.56666666666669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19.071794871794879</v>
      </c>
      <c r="N24" s="13">
        <f>IF('Données projet'!$A$36&gt;35,N23+M24-V23,IF(A24&lt;'Données projet'!$A$36,$K$205^A24,IF(A24='Données projet'!$A$36,'Données projet'!$B$36,N23+M24-V23)))</f>
        <v>154.05641025641023</v>
      </c>
      <c r="O24" s="13">
        <f>N24*VLOOKUP('Données projet'!$B$9,Paramètres!$A$1:$I$89,3,0)*VLOOKUP('Données projet'!$B$9,Paramètres!$A$1:$I$89,5,0)</f>
        <v>92.125733333333329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463.56401159528644</v>
      </c>
      <c r="S24" s="59">
        <f ca="1">AVERAGE(OFFSET($R$3,0,0,'Données projet'!$E$9+1,1))-AVERAGE(OFFSET($H$3,0,0,'Données projet'!$E$9+1,1))</f>
        <v>341.11752883785607</v>
      </c>
      <c r="T24" s="59">
        <f t="shared" si="34"/>
        <v>423.15445896616234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6.3680005966218438</v>
      </c>
      <c r="AB24" s="21">
        <f>EXP(-LN(2)/2)*AB23+(1-EXP(-LN(2)/2))/(LN(2)/2)*V24*Y24*VLOOKUP('Données projet'!$B$9,Paramètres!$A$1:$I$89,3,0)*0.475*44/12</f>
        <v>0</v>
      </c>
      <c r="AC24" s="22">
        <f t="shared" si="3"/>
        <v>6.3680005966218438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67.136160000000004</v>
      </c>
      <c r="AK24" s="13">
        <f t="shared" si="35"/>
        <v>18.960545405756019</v>
      </c>
      <c r="AL24" s="20">
        <f t="shared" si="4"/>
        <v>149.95176191502506</v>
      </c>
      <c r="AM24" s="59">
        <f t="shared" si="5"/>
        <v>409.38732770118497</v>
      </c>
      <c r="AN24" s="59">
        <f ca="1">AVERAGE(OFFSET($AM$3,0,0,'Données projet'!$E$10+1,1))-AVERAGE(OFFSET($H$3,0,0,'Données projet'!$E$10+1,1))</f>
        <v>521.72266623522626</v>
      </c>
      <c r="AO24" s="59">
        <f t="shared" si="36"/>
        <v>298.49205684341825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15.7</v>
      </c>
      <c r="BD24" s="12">
        <f>IF('Données projet'!$A$88&gt;35,BD23+BC24-BL23,IF(A24&lt;'Données projet'!$A$88,$BA$205^A24,IF(A24='Données projet'!$A$88,'Données projet'!$B$88,BD23+BC24-BL23)))</f>
        <v>112.84615384615383</v>
      </c>
      <c r="BE24" s="13">
        <f>BD24*VLOOKUP('Données projet'!$B$11,Paramètres!$A$1:$I$89,3,0)*VLOOKUP('Données projet'!$B$11,Paramètres!$A$1:$I$89,5,0)</f>
        <v>67.481999999999985</v>
      </c>
      <c r="BF24" s="13">
        <f t="shared" si="37"/>
        <v>19.046822454976283</v>
      </c>
      <c r="BG24" s="20">
        <f t="shared" si="7"/>
        <v>150.70436577575032</v>
      </c>
      <c r="BH24" s="59">
        <f t="shared" si="8"/>
        <v>410.1399315619102</v>
      </c>
      <c r="BI24" s="59">
        <f ca="1">AVERAGE(OFFSET($BH$3,0,0,'Données projet'!$E$11+1,1))-AVERAGE(OFFSET($H$3,0,0,'Données projet'!$E$11+1,1))</f>
        <v>376.5647919688821</v>
      </c>
      <c r="BJ24" s="59">
        <f t="shared" si="38"/>
        <v>340.34037344565581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3.1310378264553047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3.1310378264553047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7.6</v>
      </c>
      <c r="BY24" s="12">
        <f>IF('Données projet'!$A$114&gt;35,BY23+BX24-CG23,IF(A24&lt;'Données projet'!$A$114,$BV$205^A24,IF(A24='Données projet'!$A$114,'Données projet'!$B$114,BY23+BX24-CG23)))</f>
        <v>60.599999999999994</v>
      </c>
      <c r="BZ24" s="13">
        <f>BY24*VLOOKUP('Données projet'!$B$12,Paramètres!$A$1:$I$89,3,0)*VLOOKUP('Données projet'!$B$12,Paramètres!$A$1:$I$89,5,0)</f>
        <v>61.448399999999999</v>
      </c>
      <c r="CA24" s="13">
        <f t="shared" si="39"/>
        <v>17.533960046410943</v>
      </c>
      <c r="CB24" s="20">
        <f t="shared" si="10"/>
        <v>137.56094374749907</v>
      </c>
      <c r="CC24" s="59">
        <f t="shared" si="11"/>
        <v>396.99650953365892</v>
      </c>
      <c r="CD24" s="59">
        <f ca="1">AVERAGE(OFFSET($CC$3,0,0,'Données projet'!$E$12+1,1))-AVERAGE(OFFSET($H$3,0,0,'Données projet'!$E$12+1,1))</f>
        <v>473.09076714002885</v>
      </c>
      <c r="CE24" s="59">
        <f t="shared" si="40"/>
        <v>311.6454557566534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10.199999999999999</v>
      </c>
      <c r="CT24" s="12">
        <f>IF('Données projet'!$A$140&gt;35,CT23+CS24-DB23,IF(A24&lt;'Données projet'!$A$140,$CQ$205^A24,IF(A24='Données projet'!$A$140,'Données projet'!$B$140,CT23+CS24-DB23)))</f>
        <v>85.199999999999989</v>
      </c>
      <c r="CU24" s="17">
        <f>CT24*VLOOKUP('Données projet'!$B$13,Paramètres!$A$1:$I$89,3,0)*VLOOKUP('Données projet'!$B$13,Paramètres!$A$1:$I$89,5,0)</f>
        <v>74.430719999999994</v>
      </c>
      <c r="CV24" s="13">
        <f t="shared" si="41"/>
        <v>20.76980057385482</v>
      </c>
      <c r="CW24" s="20">
        <f t="shared" si="13"/>
        <v>165.80757333279712</v>
      </c>
      <c r="CX24" s="59">
        <f t="shared" si="14"/>
        <v>425.243139118957</v>
      </c>
      <c r="CY24" s="59">
        <f ca="1">AVERAGE(OFFSET($CX$3,0,0,'Données projet'!$E$13+1,1))-AVERAGE(OFFSET($H$3,0,0,'Données projet'!$E$13+1,1))</f>
        <v>379.66247682099424</v>
      </c>
      <c r="CZ24" s="59">
        <f t="shared" si="42"/>
        <v>342.92507939604081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7.2</v>
      </c>
      <c r="DO24" s="12">
        <f>IF('Données projet'!$A$166&gt;35,DO23+DN24-DW23,IF(A24&lt;'Données projet'!$A$166,$DL$205^A24,IF(A24='Données projet'!$A$166,'Données projet'!$B$166,DO23+DN24-DW23)))</f>
        <v>74.2</v>
      </c>
      <c r="DP24" s="17">
        <f>DO24*VLOOKUP('Données projet'!$B$14,Paramètres!$A$1:$I$89,3,0)*VLOOKUP('Données projet'!$B$14,Paramètres!$A$1:$I$89,5,0)</f>
        <v>70.608720000000005</v>
      </c>
      <c r="DQ24" s="13">
        <f t="shared" si="43"/>
        <v>19.824547941295929</v>
      </c>
      <c r="DR24" s="20">
        <f t="shared" si="16"/>
        <v>157.50460833109042</v>
      </c>
      <c r="DS24" s="59">
        <f t="shared" si="17"/>
        <v>416.94017411725031</v>
      </c>
      <c r="DT24" s="59">
        <f ca="1">AVERAGE(OFFSET($DS$3,0,0,'Données projet'!$E$14+1,1))-AVERAGE(OFFSET($H$3,0,0,'Données projet'!$E$14+1,1))</f>
        <v>544.64394576312384</v>
      </c>
      <c r="DU24" s="59">
        <f t="shared" si="44"/>
        <v>310.67291035925484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</v>
      </c>
      <c r="EJ24" s="12">
        <f>IF('Données projet'!$A$192&gt;35,EJ23+EI24-ER23,IF(A24&lt;'Données projet'!$A$192,$EG$205^A24,IF(A24='Données projet'!$A$192,'Données projet'!$B$192,EJ23+EI24-ER23)))</f>
        <v>24</v>
      </c>
      <c r="EK24" s="17">
        <f>EJ24*VLOOKUP('Données projet'!$B$15,Paramètres!$A$1:$I$89,3,0)*VLOOKUP('Données projet'!$B$15,Paramètres!$A$1:$I$89,5,0)</f>
        <v>23.212799999999998</v>
      </c>
      <c r="EL24" s="13">
        <f t="shared" si="45"/>
        <v>7.4183771657915161</v>
      </c>
      <c r="EM24" s="20">
        <f t="shared" si="19"/>
        <v>53.349300230420219</v>
      </c>
      <c r="EN24" s="59">
        <f t="shared" si="20"/>
        <v>312.78486601658011</v>
      </c>
      <c r="EO24" s="59">
        <f ca="1">AVERAGE(OFFSET($EN$3,0,0,'Données projet'!$E$15+1,1))-AVERAGE(OFFSET($H$3,0,0,'Données projet'!$E$15+1,1))</f>
        <v>276.72865583771579</v>
      </c>
      <c r="EP24" s="59">
        <f t="shared" si="46"/>
        <v>174.3587092851154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62.985154305316328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7.77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4.25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15.583333333333334</v>
      </c>
      <c r="H25" s="67">
        <f t="shared" si="1"/>
        <v>222.56666666666669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19.071794871794879</v>
      </c>
      <c r="N25" s="13">
        <f>IF('Données projet'!$A$36&gt;35,N24+M25-V24,IF(A25&lt;'Données projet'!$A$36,$K$205^A25,IF(A25='Données projet'!$A$36,'Données projet'!$B$36,N24+M25-V24)))</f>
        <v>173.12820512820511</v>
      </c>
      <c r="O25" s="13">
        <f>N25*VLOOKUP('Données projet'!$B$9,Paramètres!$A$1:$I$89,3,0)*VLOOKUP('Données projet'!$B$9,Paramètres!$A$1:$I$89,5,0)</f>
        <v>103.53066666666666</v>
      </c>
      <c r="P25" s="13">
        <f t="shared" si="33"/>
        <v>27.80142408921413</v>
      </c>
      <c r="Q25" s="20">
        <f t="shared" si="2"/>
        <v>228.73672473315901</v>
      </c>
      <c r="R25" s="59">
        <f t="shared" si="0"/>
        <v>490.46494599555155</v>
      </c>
      <c r="S25" s="59">
        <f ca="1">AVERAGE(OFFSET($R$3,0,0,'Données projet'!$E$9+1,1))-AVERAGE(OFFSET($H$3,0,0,'Données projet'!$E$9+1,1))</f>
        <v>341.11752883785607</v>
      </c>
      <c r="T25" s="59">
        <f t="shared" si="34"/>
        <v>423.15445896616234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6.1938672854286221</v>
      </c>
      <c r="AB25" s="21">
        <f>EXP(-LN(2)/2)*AB24+(1-EXP(-LN(2)/2))/(LN(2)/2)*V25*Y25*VLOOKUP('Données projet'!$B$9,Paramètres!$A$1:$I$89,3,0)*0.475*44/12</f>
        <v>0</v>
      </c>
      <c r="AC25" s="22">
        <f t="shared" si="3"/>
        <v>6.1938672854286221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73.650720000000007</v>
      </c>
      <c r="AK25" s="13">
        <f t="shared" si="35"/>
        <v>20.577360172493922</v>
      </c>
      <c r="AL25" s="20">
        <f t="shared" si="4"/>
        <v>164.11390630042692</v>
      </c>
      <c r="AM25" s="59">
        <f t="shared" si="5"/>
        <v>425.84212756281943</v>
      </c>
      <c r="AN25" s="59">
        <f ca="1">AVERAGE(OFFSET($AM$3,0,0,'Données projet'!$E$10+1,1))-AVERAGE(OFFSET($H$3,0,0,'Données projet'!$E$10+1,1))</f>
        <v>521.72266623522626</v>
      </c>
      <c r="AO25" s="59">
        <f t="shared" si="36"/>
        <v>298.49205684341825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15.7</v>
      </c>
      <c r="BD25" s="12">
        <f>IF('Données projet'!$A$88&gt;35,BD24+BC25-BL24,IF(A25&lt;'Données projet'!$A$88,$BA$205^A25,IF(A25='Données projet'!$A$88,'Données projet'!$B$88,BD24+BC25-BL24)))</f>
        <v>128.54615384615383</v>
      </c>
      <c r="BE25" s="13">
        <f>BD25*VLOOKUP('Données projet'!$B$11,Paramètres!$A$1:$I$89,3,0)*VLOOKUP('Données projet'!$B$11,Paramètres!$A$1:$I$89,5,0)</f>
        <v>76.870599999999996</v>
      </c>
      <c r="BF25" s="13">
        <f t="shared" si="37"/>
        <v>21.370261683634599</v>
      </c>
      <c r="BG25" s="20">
        <f t="shared" si="7"/>
        <v>171.10283409899691</v>
      </c>
      <c r="BH25" s="59">
        <f t="shared" si="8"/>
        <v>432.83105536138942</v>
      </c>
      <c r="BI25" s="59">
        <f ca="1">AVERAGE(OFFSET($BH$3,0,0,'Données projet'!$E$11+1,1))-AVERAGE(OFFSET($H$3,0,0,'Données projet'!$E$11+1,1))</f>
        <v>376.5647919688821</v>
      </c>
      <c r="BJ25" s="59">
        <f t="shared" si="38"/>
        <v>340.34037344565581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3.0454194324367614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3.0454194324367614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7.6</v>
      </c>
      <c r="BY25" s="12">
        <f>IF('Données projet'!$A$114&gt;35,BY24+BX25-CG24,IF(A25&lt;'Données projet'!$A$114,$BV$205^A25,IF(A25='Données projet'!$A$114,'Données projet'!$B$114,BY24+BX25-CG24)))</f>
        <v>68.199999999999989</v>
      </c>
      <c r="BZ25" s="13">
        <f>BY25*VLOOKUP('Données projet'!$B$12,Paramètres!$A$1:$I$89,3,0)*VLOOKUP('Données projet'!$B$12,Paramètres!$A$1:$I$89,5,0)</f>
        <v>69.154799999999994</v>
      </c>
      <c r="CA25" s="13">
        <f t="shared" si="39"/>
        <v>19.463416459089981</v>
      </c>
      <c r="CB25" s="20">
        <f t="shared" si="10"/>
        <v>154.34339366624837</v>
      </c>
      <c r="CC25" s="59">
        <f t="shared" si="11"/>
        <v>416.07161492864088</v>
      </c>
      <c r="CD25" s="59">
        <f ca="1">AVERAGE(OFFSET($CC$3,0,0,'Données projet'!$E$12+1,1))-AVERAGE(OFFSET($H$3,0,0,'Données projet'!$E$12+1,1))</f>
        <v>473.09076714002885</v>
      </c>
      <c r="CE25" s="59">
        <f t="shared" si="40"/>
        <v>311.6454557566534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10.199999999999999</v>
      </c>
      <c r="CT25" s="12">
        <f>IF('Données projet'!$A$140&gt;35,CT24+CS25-DB24,IF(A25&lt;'Données projet'!$A$140,$CQ$205^A25,IF(A25='Données projet'!$A$140,'Données projet'!$B$140,CT24+CS25-DB24)))</f>
        <v>95.399999999999991</v>
      </c>
      <c r="CU25" s="17">
        <f>CT25*VLOOKUP('Données projet'!$B$13,Paramètres!$A$1:$I$89,3,0)*VLOOKUP('Données projet'!$B$13,Paramètres!$A$1:$I$89,5,0)</f>
        <v>83.341440000000006</v>
      </c>
      <c r="CV25" s="13">
        <f t="shared" si="41"/>
        <v>22.952227742446681</v>
      </c>
      <c r="CW25" s="20">
        <f t="shared" si="13"/>
        <v>185.12813798476131</v>
      </c>
      <c r="CX25" s="59">
        <f t="shared" si="14"/>
        <v>446.85635924715382</v>
      </c>
      <c r="CY25" s="59">
        <f ca="1">AVERAGE(OFFSET($CX$3,0,0,'Données projet'!$E$13+1,1))-AVERAGE(OFFSET($H$3,0,0,'Données projet'!$E$13+1,1))</f>
        <v>379.66247682099424</v>
      </c>
      <c r="CZ25" s="59">
        <f t="shared" si="42"/>
        <v>342.92507939604081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7.2</v>
      </c>
      <c r="DO25" s="12">
        <f>IF('Données projet'!$A$166&gt;35,DO24+DN25-DW24,IF(A25&lt;'Données projet'!$A$166,$DL$205^A25,IF(A25='Données projet'!$A$166,'Données projet'!$B$166,DO24+DN25-DW24)))</f>
        <v>81.400000000000006</v>
      </c>
      <c r="DP25" s="17">
        <f>DO25*VLOOKUP('Données projet'!$B$14,Paramètres!$A$1:$I$89,3,0)*VLOOKUP('Données projet'!$B$14,Paramètres!$A$1:$I$89,5,0)</f>
        <v>77.460240000000013</v>
      </c>
      <c r="DQ25" s="13">
        <f t="shared" si="43"/>
        <v>21.515038439826668</v>
      </c>
      <c r="DR25" s="20">
        <f t="shared" si="16"/>
        <v>172.3819432826981</v>
      </c>
      <c r="DS25" s="59">
        <f t="shared" si="17"/>
        <v>434.11016454509064</v>
      </c>
      <c r="DT25" s="59">
        <f ca="1">AVERAGE(OFFSET($DS$3,0,0,'Données projet'!$E$14+1,1))-AVERAGE(OFFSET($H$3,0,0,'Données projet'!$E$14+1,1))</f>
        <v>544.64394576312384</v>
      </c>
      <c r="DU25" s="59">
        <f t="shared" si="44"/>
        <v>310.67291035925484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</v>
      </c>
      <c r="EJ25" s="12">
        <f>IF('Données projet'!$A$192&gt;35,EJ24+EI25-ER24,IF(A25&lt;'Données projet'!$A$192,$EG$205^A25,IF(A25='Données projet'!$A$192,'Données projet'!$B$192,EJ24+EI25-ER24)))</f>
        <v>27</v>
      </c>
      <c r="EK25" s="17">
        <f>EJ25*VLOOKUP('Données projet'!$B$15,Paramètres!$A$1:$I$89,3,0)*VLOOKUP('Données projet'!$B$15,Paramètres!$A$1:$I$89,5,0)</f>
        <v>26.1144</v>
      </c>
      <c r="EL25" s="13">
        <f t="shared" si="45"/>
        <v>8.232036337964395</v>
      </c>
      <c r="EM25" s="20">
        <f t="shared" si="19"/>
        <v>59.820043288621314</v>
      </c>
      <c r="EN25" s="59">
        <f t="shared" si="20"/>
        <v>321.54826455101386</v>
      </c>
      <c r="EO25" s="59">
        <f ca="1">AVERAGE(OFFSET($EN$3,0,0,'Données projet'!$E$15+1,1))-AVERAGE(OFFSET($H$3,0,0,'Données projet'!$E$15+1,1))</f>
        <v>276.72865583771579</v>
      </c>
      <c r="EP25" s="59">
        <f t="shared" si="46"/>
        <v>174.3587092851154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63.240423980652508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8.1399999999999988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4.25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15.583333333333334</v>
      </c>
      <c r="H26" s="67">
        <f t="shared" si="1"/>
        <v>222.56666666666669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19.071794871794879</v>
      </c>
      <c r="N26" s="13">
        <f>IF('Données projet'!$A$36&gt;35,N25+M26-V25,IF(A26&lt;'Données projet'!$A$36,$K$205^A26,IF(A26='Données projet'!$A$36,'Données projet'!$B$36,N25+M26-V25)))</f>
        <v>192.2</v>
      </c>
      <c r="O26" s="13">
        <f>N26*VLOOKUP('Données projet'!$B$9,Paramètres!$A$1:$I$89,3,0)*VLOOKUP('Données projet'!$B$9,Paramètres!$A$1:$I$89,5,0)</f>
        <v>114.93559999999999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517.28906296479272</v>
      </c>
      <c r="S26" s="59">
        <f ca="1">AVERAGE(OFFSET($R$3,0,0,'Données projet'!$E$9+1,1))-AVERAGE(OFFSET($H$3,0,0,'Données projet'!$E$9+1,1))</f>
        <v>341.11752883785607</v>
      </c>
      <c r="T26" s="59">
        <f t="shared" si="34"/>
        <v>423.15445896616234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6.0244956587872522</v>
      </c>
      <c r="AB26" s="21">
        <f>EXP(-LN(2)/2)*AB25+(1-EXP(-LN(2)/2))/(LN(2)/2)*V26*Y26*VLOOKUP('Données projet'!$B$9,Paramètres!$A$1:$I$89,3,0)*0.475*44/12</f>
        <v>0</v>
      </c>
      <c r="AC26" s="22">
        <f t="shared" si="3"/>
        <v>6.0244956587872522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80.165279999999996</v>
      </c>
      <c r="AK26" s="13">
        <f t="shared" si="35"/>
        <v>22.177591092468788</v>
      </c>
      <c r="AL26" s="20">
        <f t="shared" si="4"/>
        <v>178.24716715271646</v>
      </c>
      <c r="AM26" s="59">
        <f t="shared" si="5"/>
        <v>442.25180657805322</v>
      </c>
      <c r="AN26" s="59">
        <f ca="1">AVERAGE(OFFSET($AM$3,0,0,'Données projet'!$E$10+1,1))-AVERAGE(OFFSET($H$3,0,0,'Données projet'!$E$10+1,1))</f>
        <v>521.72266623522626</v>
      </c>
      <c r="AO26" s="59">
        <f t="shared" si="36"/>
        <v>298.49205684341825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15.7</v>
      </c>
      <c r="BD26" s="12">
        <f>IF('Données projet'!$A$88&gt;35,BD25+BC26-BL25,IF(A26&lt;'Données projet'!$A$88,$BA$205^A26,IF(A26='Données projet'!$A$88,'Données projet'!$B$88,BD25+BC26-BL25)))</f>
        <v>144.24615384615382</v>
      </c>
      <c r="BE26" s="13">
        <f>BD26*VLOOKUP('Données projet'!$B$11,Paramètres!$A$1:$I$89,3,0)*VLOOKUP('Données projet'!$B$11,Paramètres!$A$1:$I$89,5,0)</f>
        <v>86.259199999999993</v>
      </c>
      <c r="BF26" s="13">
        <f t="shared" si="37"/>
        <v>23.660817147545782</v>
      </c>
      <c r="BG26" s="20">
        <f t="shared" si="7"/>
        <v>191.44402986530886</v>
      </c>
      <c r="BH26" s="59">
        <f t="shared" si="8"/>
        <v>455.44866929064563</v>
      </c>
      <c r="BI26" s="59">
        <f ca="1">AVERAGE(OFFSET($BH$3,0,0,'Données projet'!$E$11+1,1))-AVERAGE(OFFSET($H$3,0,0,'Données projet'!$E$11+1,1))</f>
        <v>376.5647919688821</v>
      </c>
      <c r="BJ26" s="59">
        <f t="shared" si="38"/>
        <v>340.34037344565581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2.9621422779051305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2.9621422779051305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7.6</v>
      </c>
      <c r="BY26" s="12">
        <f>IF('Données projet'!$A$114&gt;35,BY25+BX26-CG25,IF(A26&lt;'Données projet'!$A$114,$BV$205^A26,IF(A26='Données projet'!$A$114,'Données projet'!$B$114,BY25+BX26-CG25)))</f>
        <v>75.799999999999983</v>
      </c>
      <c r="BZ26" s="13">
        <f>BY26*VLOOKUP('Données projet'!$B$12,Paramètres!$A$1:$I$89,3,0)*VLOOKUP('Données projet'!$B$12,Paramètres!$A$1:$I$89,5,0)</f>
        <v>76.861199999999982</v>
      </c>
      <c r="CA26" s="13">
        <f t="shared" si="39"/>
        <v>21.367952618301498</v>
      </c>
      <c r="CB26" s="20">
        <f t="shared" si="10"/>
        <v>171.0824408102084</v>
      </c>
      <c r="CC26" s="59">
        <f t="shared" si="11"/>
        <v>435.08708023554516</v>
      </c>
      <c r="CD26" s="59">
        <f ca="1">AVERAGE(OFFSET($CC$3,0,0,'Données projet'!$E$12+1,1))-AVERAGE(OFFSET($H$3,0,0,'Données projet'!$E$12+1,1))</f>
        <v>473.09076714002885</v>
      </c>
      <c r="CE26" s="59">
        <f t="shared" si="40"/>
        <v>311.6454557566534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10.199999999999999</v>
      </c>
      <c r="CT26" s="12">
        <f>IF('Données projet'!$A$140&gt;35,CT25+CS26-DB25,IF(A26&lt;'Données projet'!$A$140,$CQ$205^A26,IF(A26='Données projet'!$A$140,'Données projet'!$B$140,CT25+CS26-DB25)))</f>
        <v>105.6</v>
      </c>
      <c r="CU26" s="17">
        <f>CT26*VLOOKUP('Données projet'!$B$13,Paramètres!$A$1:$I$89,3,0)*VLOOKUP('Données projet'!$B$13,Paramètres!$A$1:$I$89,5,0)</f>
        <v>92.252160000000003</v>
      </c>
      <c r="CV26" s="13">
        <f t="shared" si="41"/>
        <v>25.107607958259987</v>
      </c>
      <c r="CW26" s="20">
        <f t="shared" si="13"/>
        <v>204.40159586063612</v>
      </c>
      <c r="CX26" s="59">
        <f t="shared" si="14"/>
        <v>468.40623528597285</v>
      </c>
      <c r="CY26" s="59">
        <f ca="1">AVERAGE(OFFSET($CX$3,0,0,'Données projet'!$E$13+1,1))-AVERAGE(OFFSET($H$3,0,0,'Données projet'!$E$13+1,1))</f>
        <v>379.66247682099424</v>
      </c>
      <c r="CZ26" s="59">
        <f t="shared" si="42"/>
        <v>342.92507939604081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7.2</v>
      </c>
      <c r="DO26" s="12">
        <f>IF('Données projet'!$A$166&gt;35,DO25+DN26-DW25,IF(A26&lt;'Données projet'!$A$166,$DL$205^A26,IF(A26='Données projet'!$A$166,'Données projet'!$B$166,DO25+DN26-DW25)))</f>
        <v>88.600000000000009</v>
      </c>
      <c r="DP26" s="17">
        <f>DO26*VLOOKUP('Données projet'!$B$14,Paramètres!$A$1:$I$89,3,0)*VLOOKUP('Données projet'!$B$14,Paramètres!$A$1:$I$89,5,0)</f>
        <v>84.311760000000007</v>
      </c>
      <c r="DQ26" s="13">
        <f t="shared" si="43"/>
        <v>23.188189391515806</v>
      </c>
      <c r="DR26" s="20">
        <f t="shared" si="16"/>
        <v>187.22907852355672</v>
      </c>
      <c r="DS26" s="59">
        <f t="shared" si="17"/>
        <v>451.23371794889346</v>
      </c>
      <c r="DT26" s="59">
        <f ca="1">AVERAGE(OFFSET($DS$3,0,0,'Données projet'!$E$14+1,1))-AVERAGE(OFFSET($H$3,0,0,'Données projet'!$E$14+1,1))</f>
        <v>544.64394576312384</v>
      </c>
      <c r="DU26" s="59">
        <f t="shared" si="44"/>
        <v>310.67291035925484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</v>
      </c>
      <c r="EJ26" s="12">
        <f>IF('Données projet'!$A$192&gt;35,EJ25+EI26-ER25,IF(A26&lt;'Données projet'!$A$192,$EG$205^A26,IF(A26='Données projet'!$A$192,'Données projet'!$B$192,EJ25+EI26-ER25)))</f>
        <v>30</v>
      </c>
      <c r="EK26" s="17">
        <f>EJ26*VLOOKUP('Données projet'!$B$15,Paramètres!$A$1:$I$89,3,0)*VLOOKUP('Données projet'!$B$15,Paramètres!$A$1:$I$89,5,0)</f>
        <v>29.016000000000002</v>
      </c>
      <c r="EL26" s="13">
        <f t="shared" si="45"/>
        <v>9.0352172071357728</v>
      </c>
      <c r="EM26" s="20">
        <f t="shared" si="19"/>
        <v>66.272536635761469</v>
      </c>
      <c r="EN26" s="59">
        <f t="shared" si="20"/>
        <v>330.2771760610982</v>
      </c>
      <c r="EO26" s="59">
        <f ca="1">AVERAGE(OFFSET($EN$3,0,0,'Données projet'!$E$15+1,1))-AVERAGE(OFFSET($H$3,0,0,'Données projet'!$E$15+1,1))</f>
        <v>276.72865583771579</v>
      </c>
      <c r="EP26" s="59">
        <f t="shared" si="46"/>
        <v>174.3587092851154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63.491265297819112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8.51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4.25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15.583333333333334</v>
      </c>
      <c r="H27" s="67">
        <f t="shared" si="1"/>
        <v>222.56666666666669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19.071794871794879</v>
      </c>
      <c r="N27" s="13">
        <f>IF('Données projet'!$A$36&gt;35,N26+M27-V26,IF(A27&lt;'Données projet'!$A$36,$K$205^A27,IF(A27='Données projet'!$A$36,'Données projet'!$B$36,N26+M27-V26)))</f>
        <v>211.27179487179487</v>
      </c>
      <c r="O27" s="13">
        <f>N27*VLOOKUP('Données projet'!$B$9,Paramètres!$A$1:$I$89,3,0)*VLOOKUP('Données projet'!$B$9,Paramètres!$A$1:$I$89,5,0)</f>
        <v>126.34053333333334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544.04333971850986</v>
      </c>
      <c r="S27" s="59">
        <f ca="1">AVERAGE(OFFSET($R$3,0,0,'Données projet'!$E$9+1,1))-AVERAGE(OFFSET($H$3,0,0,'Données projet'!$E$9+1,1))</f>
        <v>341.11752883785607</v>
      </c>
      <c r="T27" s="59">
        <f t="shared" si="34"/>
        <v>423.15445896616234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5.8597555081832571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5.8597555081832571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86.679839999999999</v>
      </c>
      <c r="AK27" s="13">
        <f t="shared" si="35"/>
        <v>23.762739053789723</v>
      </c>
      <c r="AL27" s="20">
        <f t="shared" si="4"/>
        <v>192.35415851868379</v>
      </c>
      <c r="AM27" s="59">
        <f t="shared" si="5"/>
        <v>458.61926047476055</v>
      </c>
      <c r="AN27" s="59">
        <f ca="1">AVERAGE(OFFSET($AM$3,0,0,'Données projet'!$E$10+1,1))-AVERAGE(OFFSET($H$3,0,0,'Données projet'!$E$10+1,1))</f>
        <v>521.72266623522626</v>
      </c>
      <c r="AO27" s="59">
        <f t="shared" si="36"/>
        <v>298.49205684341825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BA27" s="12">
        <f>VLOOKUP(A27,'Données projet'!$A$87:$I$107,2,0)</f>
        <v>159.94615384615383</v>
      </c>
      <c r="BB27" s="12">
        <f>VLOOKUP(A27,'Données projet'!$A$87:$I$107,9,0)</f>
        <v>15.7</v>
      </c>
      <c r="BC27" s="12">
        <f t="array" ref="BC27">INDEX(BB:BB,MIN(IF(ISNUMBER(BB27:BB223),ROW(BB27:BB223),"")))</f>
        <v>15.7</v>
      </c>
      <c r="BD27" s="12">
        <f>IF('Données projet'!$A$88&gt;35,BD26+BC27-BL26,IF(A27&lt;'Données projet'!$A$88,$BA$205^A27,IF(A27='Données projet'!$A$88,'Données projet'!$B$88,BD26+BC27-BL26)))</f>
        <v>159.94615384615381</v>
      </c>
      <c r="BE27" s="13">
        <f>BD27*VLOOKUP('Données projet'!$B$11,Paramètres!$A$1:$I$89,3,0)*VLOOKUP('Données projet'!$B$11,Paramètres!$A$1:$I$89,5,0)</f>
        <v>95.647799999999989</v>
      </c>
      <c r="BF27" s="13">
        <f t="shared" si="37"/>
        <v>25.922476046044615</v>
      </c>
      <c r="BG27" s="20">
        <f t="shared" si="7"/>
        <v>211.73489744686097</v>
      </c>
      <c r="BH27" s="59">
        <f t="shared" si="8"/>
        <v>477.99999940293776</v>
      </c>
      <c r="BI27" s="59">
        <f ca="1">AVERAGE(OFFSET($BH$3,0,0,'Données projet'!$E$11+1,1))-AVERAGE(OFFSET($H$3,0,0,'Données projet'!$E$11+1,1))</f>
        <v>376.5647919688821</v>
      </c>
      <c r="BJ27" s="59">
        <f t="shared" si="38"/>
        <v>340.34037344565581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40.41538461538461</v>
      </c>
      <c r="BM27" s="16">
        <f>IF(ISNA(VLOOKUP(A27,'Données projet'!$A$87:$I$107,5,0)),0%,VLOOKUP(A27,'Données projet'!$A$87:$I$107,5,0)*VLOOKUP('Données projet'!$B$11,Paramètres!$A$1:$I$89,7,0))</f>
        <v>4.5000000000000005E-2</v>
      </c>
      <c r="BN27" s="16">
        <f>IF(ISNA(VLOOKUP(A27,'Données projet'!$A$87:$I$107,6,0)),0%,VLOOKUP(A27,'Données projet'!$A$87:$I$107,6,0)*VLOOKUP('Données projet'!$B$11,Paramètres!$A$1:$I$89,7,0))</f>
        <v>0.18000000000000002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1.4427423173180245</v>
      </c>
      <c r="BQ27" s="21">
        <f>EXP(-LN(2)/25)*BQ26+(1-EXP(-LN(2)/25))/(LN(2)/25)*Calculateur!BL27*Calculateur!BN27*VLOOKUP('Données projet'!$B$11,Paramètres!$A$1:$I$89,3,0)*0.475*44/12</f>
        <v>8.6293891058908123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10.072131423208837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7.6</v>
      </c>
      <c r="BY27" s="12">
        <f>IF('Données projet'!$A$114&gt;35,BY26+BX27-CG26,IF(A27&lt;'Données projet'!$A$114,$BV$205^A27,IF(A27='Données projet'!$A$114,'Données projet'!$B$114,BY26+BX27-CG26)))</f>
        <v>83.399999999999977</v>
      </c>
      <c r="BZ27" s="13">
        <f>BY27*VLOOKUP('Données projet'!$B$12,Paramètres!$A$1:$I$89,3,0)*VLOOKUP('Données projet'!$B$12,Paramètres!$A$1:$I$89,5,0)</f>
        <v>84.567599999999985</v>
      </c>
      <c r="CA27" s="13">
        <f t="shared" si="39"/>
        <v>23.250351568898118</v>
      </c>
      <c r="CB27" s="20">
        <f t="shared" si="10"/>
        <v>187.78293231583086</v>
      </c>
      <c r="CC27" s="59">
        <f t="shared" si="11"/>
        <v>454.04803427190762</v>
      </c>
      <c r="CD27" s="59">
        <f ca="1">AVERAGE(OFFSET($CC$3,0,0,'Données projet'!$E$12+1,1))-AVERAGE(OFFSET($H$3,0,0,'Données projet'!$E$12+1,1))</f>
        <v>473.09076714002885</v>
      </c>
      <c r="CE27" s="59">
        <f t="shared" si="40"/>
        <v>311.6454557566534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10.199999999999999</v>
      </c>
      <c r="CT27" s="12">
        <f>IF('Données projet'!$A$140&gt;35,CT26+CS27-DB26,IF(A27&lt;'Données projet'!$A$140,$CQ$205^A27,IF(A27='Données projet'!$A$140,'Données projet'!$B$140,CT26+CS27-DB26)))</f>
        <v>115.8</v>
      </c>
      <c r="CU27" s="17">
        <f>CT27*VLOOKUP('Données projet'!$B$13,Paramètres!$A$1:$I$89,3,0)*VLOOKUP('Données projet'!$B$13,Paramètres!$A$1:$I$89,5,0)</f>
        <v>101.16288</v>
      </c>
      <c r="CV27" s="13">
        <f t="shared" si="41"/>
        <v>27.238850979377386</v>
      </c>
      <c r="CW27" s="20">
        <f t="shared" si="13"/>
        <v>223.63301478908227</v>
      </c>
      <c r="CX27" s="59">
        <f t="shared" si="14"/>
        <v>489.89811674515903</v>
      </c>
      <c r="CY27" s="59">
        <f ca="1">AVERAGE(OFFSET($CX$3,0,0,'Données projet'!$E$13+1,1))-AVERAGE(OFFSET($H$3,0,0,'Données projet'!$E$13+1,1))</f>
        <v>379.66247682099424</v>
      </c>
      <c r="CZ27" s="59">
        <f t="shared" si="42"/>
        <v>342.92507939604081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7.2</v>
      </c>
      <c r="DO27" s="12">
        <f>IF('Données projet'!$A$166&gt;35,DO26+DN27-DW26,IF(A27&lt;'Données projet'!$A$166,$DL$205^A27,IF(A27='Données projet'!$A$166,'Données projet'!$B$166,DO26+DN27-DW26)))</f>
        <v>95.800000000000011</v>
      </c>
      <c r="DP27" s="17">
        <f>DO27*VLOOKUP('Données projet'!$B$14,Paramètres!$A$1:$I$89,3,0)*VLOOKUP('Données projet'!$B$14,Paramètres!$A$1:$I$89,5,0)</f>
        <v>91.16328</v>
      </c>
      <c r="DQ27" s="13">
        <f t="shared" si="43"/>
        <v>24.84557007760694</v>
      </c>
      <c r="DR27" s="20">
        <f t="shared" si="16"/>
        <v>202.04874721849876</v>
      </c>
      <c r="DS27" s="59">
        <f t="shared" si="17"/>
        <v>468.31384917457552</v>
      </c>
      <c r="DT27" s="59">
        <f ca="1">AVERAGE(OFFSET($DS$3,0,0,'Données projet'!$E$14+1,1))-AVERAGE(OFFSET($H$3,0,0,'Données projet'!$E$14+1,1))</f>
        <v>544.64394576312384</v>
      </c>
      <c r="DU27" s="59">
        <f t="shared" si="44"/>
        <v>310.67291035925484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</v>
      </c>
      <c r="EJ27" s="12">
        <f>IF('Données projet'!$A$192&gt;35,EJ26+EI27-ER26,IF(A27&lt;'Données projet'!$A$192,$EG$205^A27,IF(A27='Données projet'!$A$192,'Données projet'!$B$192,EJ26+EI27-ER26)))</f>
        <v>33</v>
      </c>
      <c r="EK27" s="17">
        <f>EJ27*VLOOKUP('Données projet'!$B$15,Paramètres!$A$1:$I$89,3,0)*VLOOKUP('Données projet'!$B$15,Paramètres!$A$1:$I$89,5,0)</f>
        <v>31.917600000000004</v>
      </c>
      <c r="EL27" s="13">
        <f t="shared" si="45"/>
        <v>9.829086885605312</v>
      </c>
      <c r="EM27" s="20">
        <f t="shared" si="19"/>
        <v>72.708812992429259</v>
      </c>
      <c r="EN27" s="59">
        <f t="shared" si="20"/>
        <v>338.97391494850604</v>
      </c>
      <c r="EO27" s="59">
        <f ca="1">AVERAGE(OFFSET($EN$3,0,0,'Données projet'!$E$15+1,1))-AVERAGE(OFFSET($H$3,0,0,'Données projet'!$E$15+1,1))</f>
        <v>276.72865583771579</v>
      </c>
      <c r="EP27" s="59">
        <f t="shared" si="46"/>
        <v>174.3587092851154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63.737755078930036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8.879999999999999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4.25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15.583333333333334</v>
      </c>
      <c r="H28" s="67">
        <f t="shared" si="1"/>
        <v>222.56666666666669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19.071794871794879</v>
      </c>
      <c r="N28" s="13">
        <f>IF('Données projet'!$A$36&gt;35,N27+M28-V27,IF(A28&lt;'Données projet'!$A$36,$K$205^A28,IF(A28='Données projet'!$A$36,'Données projet'!$B$36,N27+M28-V27)))</f>
        <v>230.34358974358975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570.73347045869161</v>
      </c>
      <c r="S28" s="59">
        <f ca="1">AVERAGE(OFFSET($R$3,0,0,'Données projet'!$E$9+1,1))-AVERAGE(OFFSET($H$3,0,0,'Données projet'!$E$9+1,1))</f>
        <v>341.11752883785607</v>
      </c>
      <c r="T28" s="59">
        <f t="shared" si="34"/>
        <v>423.15445896616234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5.6995201856608366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5.6995201856608366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93.194400000000002</v>
      </c>
      <c r="AK28" s="13">
        <f t="shared" si="35"/>
        <v>25.33406653691528</v>
      </c>
      <c r="AL28" s="20">
        <f t="shared" si="4"/>
        <v>206.43707921846078</v>
      </c>
      <c r="AM28" s="59">
        <f t="shared" si="5"/>
        <v>474.94696486762081</v>
      </c>
      <c r="AN28" s="59">
        <f ca="1">AVERAGE(OFFSET($AM$3,0,0,'Données projet'!$E$10+1,1))-AVERAGE(OFFSET($H$3,0,0,'Données projet'!$E$10+1,1))</f>
        <v>521.72266623522626</v>
      </c>
      <c r="AO28" s="59">
        <f t="shared" si="36"/>
        <v>298.49205684341825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16.020512820512824</v>
      </c>
      <c r="BD28" s="12">
        <f>IF('Données projet'!$A$88&gt;35,BD27+BC28-BL27,IF(A28&lt;'Données projet'!$A$88,$BA$205^A28,IF(A28='Données projet'!$A$88,'Données projet'!$B$88,BD27+BC28-BL27)))</f>
        <v>135.55128205128204</v>
      </c>
      <c r="BE28" s="13">
        <f>BD28*VLOOKUP('Données projet'!$B$11,Paramètres!$A$1:$I$89,3,0)*VLOOKUP('Données projet'!$B$11,Paramètres!$A$1:$I$89,5,0)</f>
        <v>81.059666666666672</v>
      </c>
      <c r="BF28" s="13">
        <f t="shared" si="37"/>
        <v>22.396079377742645</v>
      </c>
      <c r="BG28" s="20">
        <f t="shared" si="7"/>
        <v>180.18542436067958</v>
      </c>
      <c r="BH28" s="59">
        <f t="shared" si="8"/>
        <v>448.6953100098396</v>
      </c>
      <c r="BI28" s="59">
        <f ca="1">AVERAGE(OFFSET($BH$3,0,0,'Données projet'!$E$11+1,1))-AVERAGE(OFFSET($H$3,0,0,'Données projet'!$E$11+1,1))</f>
        <v>376.5647919688821</v>
      </c>
      <c r="BJ28" s="59">
        <f t="shared" si="38"/>
        <v>340.34037344565581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1.4144510204613403</v>
      </c>
      <c r="BQ28" s="21">
        <f>EXP(-LN(2)/25)*BQ27+(1-EXP(-LN(2)/25))/(LN(2)/25)*Calculateur!BL28*Calculateur!BN28*VLOOKUP('Données projet'!$B$11,Paramètres!$A$1:$I$89,3,0)*0.475*44/12</f>
        <v>8.3934180069903785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9.8078690274517193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BV28" s="12">
        <f>VLOOKUP(A28,'Données projet'!$A$113:$I$133,2,0)</f>
        <v>91</v>
      </c>
      <c r="BW28" s="12">
        <f>VLOOKUP(A28,'Données projet'!$A$113:$I$133,9,0)</f>
        <v>7.6</v>
      </c>
      <c r="BX28" s="12">
        <f t="array" ref="BX28">INDEX(BW:BW,MIN(IF(ISNUMBER(BW28:BW224),ROW(BW28:BW224),"")))</f>
        <v>7.6</v>
      </c>
      <c r="BY28" s="12">
        <f>IF('Données projet'!$A$114&gt;35,BY27+BX28-CG27,IF(A28&lt;'Données projet'!$A$114,$BV$205^A28,IF(A28='Données projet'!$A$114,'Données projet'!$B$114,BY27+BX28-CG27)))</f>
        <v>90.999999999999972</v>
      </c>
      <c r="BZ28" s="13">
        <f>BY28*VLOOKUP('Données projet'!$B$12,Paramètres!$A$1:$I$89,3,0)*VLOOKUP('Données projet'!$B$12,Paramètres!$A$1:$I$89,5,0)</f>
        <v>92.273999999999972</v>
      </c>
      <c r="CA28" s="13">
        <f t="shared" si="39"/>
        <v>25.112860036087554</v>
      </c>
      <c r="CB28" s="20">
        <f t="shared" si="10"/>
        <v>204.44878122951911</v>
      </c>
      <c r="CC28" s="59">
        <f t="shared" si="11"/>
        <v>472.95866687867914</v>
      </c>
      <c r="CD28" s="59">
        <f ca="1">AVERAGE(OFFSET($CC$3,0,0,'Données projet'!$E$12+1,1))-AVERAGE(OFFSET($H$3,0,0,'Données projet'!$E$12+1,1))</f>
        <v>473.09076714002885</v>
      </c>
      <c r="CE28" s="59">
        <f t="shared" si="40"/>
        <v>311.6454557566534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18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CQ28" s="12">
        <f>VLOOKUP(A28,'Données projet'!$A$139:$I$159,2,0)</f>
        <v>126</v>
      </c>
      <c r="CR28" s="12">
        <f>VLOOKUP(A28,'Données projet'!$A$139:$I$159,9,0)</f>
        <v>10.199999999999999</v>
      </c>
      <c r="CS28" s="12">
        <f t="array" ref="CS28">INDEX(CR:CR,MIN(IF(ISNUMBER(CR28:CR224),ROW(CR28:CR224),"")))</f>
        <v>10.199999999999999</v>
      </c>
      <c r="CT28" s="12">
        <f>IF('Données projet'!$A$140&gt;35,CT27+CS28-DB27,IF(A28&lt;'Données projet'!$A$140,$CQ$205^A28,IF(A28='Données projet'!$A$140,'Données projet'!$B$140,CT27+CS28-DB27)))</f>
        <v>126</v>
      </c>
      <c r="CU28" s="17">
        <f>CT28*VLOOKUP('Données projet'!$B$13,Paramètres!$A$1:$I$89,3,0)*VLOOKUP('Données projet'!$B$13,Paramètres!$A$1:$I$89,5,0)</f>
        <v>110.07360000000001</v>
      </c>
      <c r="CV28" s="13">
        <f t="shared" si="41"/>
        <v>29.348324631518828</v>
      </c>
      <c r="CW28" s="20">
        <f t="shared" si="13"/>
        <v>242.8265187332286</v>
      </c>
      <c r="CX28" s="59">
        <f t="shared" si="14"/>
        <v>511.33640438238865</v>
      </c>
      <c r="CY28" s="59">
        <f ca="1">AVERAGE(OFFSET($CX$3,0,0,'Données projet'!$E$13+1,1))-AVERAGE(OFFSET($H$3,0,0,'Données projet'!$E$13+1,1))</f>
        <v>379.66247682099424</v>
      </c>
      <c r="CZ28" s="59">
        <f t="shared" si="42"/>
        <v>342.92507939604081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26.000000000000004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DL28" s="12">
        <f>VLOOKUP(A28,'Données projet'!$A$165:$I$185,2,0)</f>
        <v>103</v>
      </c>
      <c r="DM28" s="12">
        <f>VLOOKUP(A28,'Données projet'!$A$165:$I$185,9,0)</f>
        <v>7.2</v>
      </c>
      <c r="DN28" s="12">
        <f t="array" ref="DN28">INDEX(DM:DM,MIN(IF(ISNUMBER(DM28:DM224),ROW(DM28:DM224),"")))</f>
        <v>7.2</v>
      </c>
      <c r="DO28" s="12">
        <f>IF('Données projet'!$A$166&gt;35,DO27+DN28-DW27,IF(A28&lt;'Données projet'!$A$166,$DL$205^A28,IF(A28='Données projet'!$A$166,'Données projet'!$B$166,DO27+DN28-DW27)))</f>
        <v>103.00000000000001</v>
      </c>
      <c r="DP28" s="17">
        <f>DO28*VLOOKUP('Données projet'!$B$14,Paramètres!$A$1:$I$89,3,0)*VLOOKUP('Données projet'!$B$14,Paramètres!$A$1:$I$89,5,0)</f>
        <v>98.014800000000008</v>
      </c>
      <c r="DQ28" s="13">
        <f t="shared" si="43"/>
        <v>26.488500507827684</v>
      </c>
      <c r="DR28" s="20">
        <f t="shared" si="16"/>
        <v>216.84324838446653</v>
      </c>
      <c r="DS28" s="59">
        <f t="shared" si="17"/>
        <v>485.35313403362659</v>
      </c>
      <c r="DT28" s="59">
        <f ca="1">AVERAGE(OFFSET($DS$3,0,0,'Données projet'!$E$14+1,1))-AVERAGE(OFFSET($H$3,0,0,'Données projet'!$E$14+1,1))</f>
        <v>544.64394576312384</v>
      </c>
      <c r="DU28" s="59">
        <f t="shared" si="44"/>
        <v>310.67291035925484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EG28" s="12">
        <f>VLOOKUP(A28,'Données projet'!$A$191:$I$211,2,0)</f>
        <v>36</v>
      </c>
      <c r="EH28" s="12">
        <f>VLOOKUP(A28,'Données projet'!$A$191:$I$211,9,0)</f>
        <v>3</v>
      </c>
      <c r="EI28" s="12">
        <f t="array" ref="EI28">INDEX(EH:EH,MIN(IF(ISNUMBER(EH28:EH224),ROW(EH28:EH224),"")))</f>
        <v>3</v>
      </c>
      <c r="EJ28" s="12">
        <f>IF('Données projet'!$A$192&gt;35,EJ27+EI28-ER27,IF(A28&lt;'Données projet'!$A$192,$EG$205^A28,IF(A28='Données projet'!$A$192,'Données projet'!$B$192,EJ27+EI28-ER27)))</f>
        <v>36</v>
      </c>
      <c r="EK28" s="17">
        <f>EJ28*VLOOKUP('Données projet'!$B$15,Paramètres!$A$1:$I$89,3,0)*VLOOKUP('Données projet'!$B$15,Paramètres!$A$1:$I$89,5,0)</f>
        <v>34.819200000000002</v>
      </c>
      <c r="EL28" s="13">
        <f t="shared" si="45"/>
        <v>10.61458811221417</v>
      </c>
      <c r="EM28" s="20">
        <f t="shared" si="19"/>
        <v>79.130514295439681</v>
      </c>
      <c r="EN28" s="59">
        <f t="shared" si="20"/>
        <v>347.64039994459972</v>
      </c>
      <c r="EO28" s="59">
        <f ca="1">AVERAGE(OFFSET($EN$3,0,0,'Données projet'!$E$15+1,1))-AVERAGE(OFFSET($H$3,0,0,'Données projet'!$E$15+1,1))</f>
        <v>276.72865583771579</v>
      </c>
      <c r="EP28" s="59">
        <f t="shared" si="46"/>
        <v>174.3587092851154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63.979968813407282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9.2499999999999982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4.25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15.583333333333334</v>
      </c>
      <c r="H29" s="67">
        <f t="shared" si="1"/>
        <v>222.56666666666669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K29" s="12">
        <f>VLOOKUP(A29,'Données projet'!$A$35:$I$55,2,0)</f>
        <v>249.41538461538465</v>
      </c>
      <c r="L29" s="12">
        <f>VLOOKUP(A29,'Données projet'!$A$35:$I$55,9,0)</f>
        <v>19.071794871794879</v>
      </c>
      <c r="M29" s="12">
        <f t="array" ref="M29">INDEX(L:L,MIN(IF(ISNUMBER(L29:L225),ROW(L29:L225),"")))</f>
        <v>19.071794871794879</v>
      </c>
      <c r="N29" s="13">
        <f>IF('Données projet'!$A$36&gt;35,N28+M29-V28,IF(A29&lt;'Données projet'!$A$36,$K$205^A29,IF(A29='Données projet'!$A$36,'Données projet'!$B$36,N28+M29-V28)))</f>
        <v>249.41538461538462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597.3641963560209</v>
      </c>
      <c r="S29" s="59">
        <f ca="1">AVERAGE(OFFSET($R$3,0,0,'Données projet'!$E$9+1,1))-AVERAGE(OFFSET($H$3,0,0,'Données projet'!$E$9+1,1))</f>
        <v>341.11752883785607</v>
      </c>
      <c r="T29" s="59">
        <f t="shared" si="34"/>
        <v>423.15445896616234</v>
      </c>
      <c r="U29" s="15">
        <f>IF(ISNA(VLOOKUP(A29,'Données projet'!$A$35:$I$55,3,0)),0,VLOOKUP(A29,'Données projet'!$A$35:$I$55,3,0))</f>
        <v>4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4.5000000000000005E-2</v>
      </c>
      <c r="X29" s="16">
        <f>IF(ISNA(VLOOKUP(A29,'Données projet'!$A$35:$I$55,6,0)),0%,VLOOKUP(A29,'Données projet'!$A$35:$I$55,6,0)*VLOOKUP('Données projet'!$B$9,Paramètres!$A$1:$I$89,7,0))</f>
        <v>0.18000000000000002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1.6772497286217154</v>
      </c>
      <c r="AA29" s="21">
        <f>EXP(-LN(2)/25)*AA28+(1-EXP(-LN(2)/25))/(LN(2)/25)*Calculateur!V29*Calculateur!X29*VLOOKUP('Données projet'!$B$9,Paramètres!$A$1:$I$89,3,0)*0.475*44/12</f>
        <v>12.226249535890727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13.903499264512442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76.184160000000006</v>
      </c>
      <c r="AK29" s="13">
        <f t="shared" si="35"/>
        <v>21.201554232857223</v>
      </c>
      <c r="AL29" s="20">
        <f t="shared" si="4"/>
        <v>169.613452288893</v>
      </c>
      <c r="AM29" s="59">
        <f t="shared" si="5"/>
        <v>440.35271478626021</v>
      </c>
      <c r="AN29" s="59">
        <f ca="1">AVERAGE(OFFSET($AM$3,0,0,'Données projet'!$E$10+1,1))-AVERAGE(OFFSET($H$3,0,0,'Données projet'!$E$10+1,1))</f>
        <v>521.72266623522626</v>
      </c>
      <c r="AO29" s="59">
        <f t="shared" si="36"/>
        <v>298.49205684341825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16.020512820512824</v>
      </c>
      <c r="BD29" s="12">
        <f>IF('Données projet'!$A$88&gt;35,BD28+BC29-BL28,IF(A29&lt;'Données projet'!$A$88,$BA$205^A29,IF(A29='Données projet'!$A$88,'Données projet'!$B$88,BD28+BC29-BL28)))</f>
        <v>151.57179487179488</v>
      </c>
      <c r="BE29" s="13">
        <f>BD29*VLOOKUP('Données projet'!$B$11,Paramètres!$A$1:$I$89,3,0)*VLOOKUP('Données projet'!$B$11,Paramètres!$A$1:$I$89,5,0)</f>
        <v>90.639933333333346</v>
      </c>
      <c r="BF29" s="13">
        <f t="shared" si="37"/>
        <v>24.719497804626467</v>
      </c>
      <c r="BG29" s="20">
        <f t="shared" si="7"/>
        <v>200.91767589861334</v>
      </c>
      <c r="BH29" s="59">
        <f t="shared" si="8"/>
        <v>471.65693839598055</v>
      </c>
      <c r="BI29" s="59">
        <f ca="1">AVERAGE(OFFSET($BH$3,0,0,'Données projet'!$E$11+1,1))-AVERAGE(OFFSET($H$3,0,0,'Données projet'!$E$11+1,1))</f>
        <v>376.5647919688821</v>
      </c>
      <c r="BJ29" s="59">
        <f t="shared" si="38"/>
        <v>340.34037344565581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1.3867144986800284</v>
      </c>
      <c r="BQ29" s="21">
        <f>EXP(-LN(2)/25)*BQ28+(1-EXP(-LN(2)/25))/(LN(2)/25)*Calculateur!BL29*Calculateur!BN29*VLOOKUP('Données projet'!$B$11,Paramètres!$A$1:$I$89,3,0)*0.475*44/12</f>
        <v>8.1638995501985576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9.550614048878586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8.1999999999999993</v>
      </c>
      <c r="BY29" s="12">
        <f>IF('Données projet'!$A$114&gt;35,BY28+BX29-CG28,IF(A29&lt;'Données projet'!$A$114,$BV$205^A29,IF(A29='Données projet'!$A$114,'Données projet'!$B$114,BY28+BX29-CG28)))</f>
        <v>81.199999999999974</v>
      </c>
      <c r="BZ29" s="13">
        <f>BY29*VLOOKUP('Données projet'!$B$12,Paramètres!$A$1:$I$89,3,0)*VLOOKUP('Données projet'!$B$12,Paramètres!$A$1:$I$89,5,0)</f>
        <v>82.336799999999982</v>
      </c>
      <c r="CA29" s="13">
        <f t="shared" si="39"/>
        <v>22.707582950885364</v>
      </c>
      <c r="CB29" s="20">
        <f t="shared" si="10"/>
        <v>182.9523003061253</v>
      </c>
      <c r="CC29" s="59">
        <f t="shared" si="11"/>
        <v>453.6915628034925</v>
      </c>
      <c r="CD29" s="59">
        <f ca="1">AVERAGE(OFFSET($CC$3,0,0,'Données projet'!$E$12+1,1))-AVERAGE(OFFSET($H$3,0,0,'Données projet'!$E$12+1,1))</f>
        <v>473.09076714002885</v>
      </c>
      <c r="CE29" s="59">
        <f t="shared" si="40"/>
        <v>311.6454557566534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109.80000000000001</v>
      </c>
      <c r="CU29" s="17">
        <f>CT29*VLOOKUP('Données projet'!$B$13,Paramètres!$A$1:$I$89,3,0)*VLOOKUP('Données projet'!$B$13,Paramètres!$A$1:$I$89,5,0)</f>
        <v>95.921280000000024</v>
      </c>
      <c r="CV29" s="13">
        <f t="shared" si="41"/>
        <v>25.98795633328076</v>
      </c>
      <c r="CW29" s="20">
        <f t="shared" si="13"/>
        <v>212.32525328046404</v>
      </c>
      <c r="CX29" s="59">
        <f t="shared" si="14"/>
        <v>483.06451577783122</v>
      </c>
      <c r="CY29" s="59">
        <f ca="1">AVERAGE(OFFSET($CX$3,0,0,'Données projet'!$E$13+1,1))-AVERAGE(OFFSET($H$3,0,0,'Données projet'!$E$13+1,1))</f>
        <v>379.66247682099424</v>
      </c>
      <c r="CZ29" s="59">
        <f t="shared" si="42"/>
        <v>342.92507939604081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9.1999999999999993</v>
      </c>
      <c r="DO29" s="12">
        <f>IF('Données projet'!$A$166&gt;35,DO28+DN29-DW28,IF(A29&lt;'Données projet'!$A$166,$DL$205^A29,IF(A29='Données projet'!$A$166,'Données projet'!$B$166,DO28+DN29-DW28)))</f>
        <v>84.200000000000017</v>
      </c>
      <c r="DP29" s="17">
        <f>DO29*VLOOKUP('Données projet'!$B$14,Paramètres!$A$1:$I$89,3,0)*VLOOKUP('Données projet'!$B$14,Paramètres!$A$1:$I$89,5,0)</f>
        <v>80.124720000000011</v>
      </c>
      <c r="DQ29" s="13">
        <f t="shared" si="43"/>
        <v>22.167676051748288</v>
      </c>
      <c r="DR29" s="20">
        <f t="shared" si="16"/>
        <v>178.15925645679496</v>
      </c>
      <c r="DS29" s="59">
        <f t="shared" si="17"/>
        <v>448.89851895416211</v>
      </c>
      <c r="DT29" s="59">
        <f ca="1">AVERAGE(OFFSET($DS$3,0,0,'Données projet'!$E$14+1,1))-AVERAGE(OFFSET($H$3,0,0,'Données projet'!$E$14+1,1))</f>
        <v>544.64394576312384</v>
      </c>
      <c r="DU29" s="59">
        <f t="shared" si="44"/>
        <v>310.67291035925484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3.6</v>
      </c>
      <c r="EJ29" s="12">
        <f>IF('Données projet'!$A$192&gt;35,EJ28+EI29-ER28,IF(A29&lt;'Données projet'!$A$192,$EG$205^A29,IF(A29='Données projet'!$A$192,'Données projet'!$B$192,EJ28+EI29-ER28)))</f>
        <v>39.6</v>
      </c>
      <c r="EK29" s="17">
        <f>EJ29*VLOOKUP('Données projet'!$B$15,Paramètres!$A$1:$I$89,3,0)*VLOOKUP('Données projet'!$B$15,Paramètres!$A$1:$I$89,5,0)</f>
        <v>38.301119999999997</v>
      </c>
      <c r="EL29" s="13">
        <f t="shared" si="45"/>
        <v>11.547227522927502</v>
      </c>
      <c r="EM29" s="20">
        <f t="shared" si="19"/>
        <v>86.819205269098731</v>
      </c>
      <c r="EN29" s="59">
        <f t="shared" si="20"/>
        <v>357.55846776646592</v>
      </c>
      <c r="EO29" s="59">
        <f ca="1">AVERAGE(OFFSET($EN$3,0,0,'Données projet'!$E$15+1,1))-AVERAGE(OFFSET($H$3,0,0,'Données projet'!$E$15+1,1))</f>
        <v>276.72865583771579</v>
      </c>
      <c r="EP29" s="59">
        <f t="shared" si="46"/>
        <v>174.3587092851154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64.217980681100144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9.6199999999999992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4.25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15.583333333333334</v>
      </c>
      <c r="H30" s="67">
        <f t="shared" si="1"/>
        <v>222.56666666666669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19.498076923076908</v>
      </c>
      <c r="N30" s="13">
        <f>IF('Données projet'!$A$36&gt;35,N29+M30-V29,IF(A30&lt;'Données projet'!$A$36,$K$205^A30,IF(A30='Données projet'!$A$36,'Données projet'!$B$36,N29+M30-V29)))</f>
        <v>221.92884615384617</v>
      </c>
      <c r="O30" s="13">
        <f>N30*VLOOKUP('Données projet'!$B$9,Paramètres!$A$1:$I$89,3,0)*VLOOKUP('Données projet'!$B$9,Paramètres!$A$1:$I$89,5,0)</f>
        <v>132.71345000000002</v>
      </c>
      <c r="P30" s="13">
        <f t="shared" si="33"/>
        <v>34.622602138133175</v>
      </c>
      <c r="Q30" s="20">
        <f t="shared" si="2"/>
        <v>291.44362414058196</v>
      </c>
      <c r="R30" s="59">
        <f t="shared" si="0"/>
        <v>564.39712391559419</v>
      </c>
      <c r="S30" s="59">
        <f ca="1">AVERAGE(OFFSET($R$3,0,0,'Données projet'!$E$9+1,1))-AVERAGE(OFFSET($H$3,0,0,'Données projet'!$E$9+1,1))</f>
        <v>341.11752883785607</v>
      </c>
      <c r="T30" s="59">
        <f t="shared" si="34"/>
        <v>423.15445896616234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1.6443598844647631</v>
      </c>
      <c r="AA30" s="21">
        <f>EXP(-LN(2)/25)*AA29+(1-EXP(-LN(2)/25))/(LN(2)/25)*Calculateur!V30*Calculateur!X30*VLOOKUP('Données projet'!$B$9,Paramètres!$A$1:$I$89,3,0)*0.475*44/12</f>
        <v>11.891922099381276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13.536281983846038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84.508320000000026</v>
      </c>
      <c r="AK30" s="13">
        <f t="shared" si="35"/>
        <v>23.235950088324714</v>
      </c>
      <c r="AL30" s="20">
        <f t="shared" si="4"/>
        <v>187.65460373716556</v>
      </c>
      <c r="AM30" s="59">
        <f t="shared" si="5"/>
        <v>460.60810351217788</v>
      </c>
      <c r="AN30" s="59">
        <f ca="1">AVERAGE(OFFSET($AM$3,0,0,'Données projet'!$E$10+1,1))-AVERAGE(OFFSET($H$3,0,0,'Données projet'!$E$10+1,1))</f>
        <v>521.72266623522626</v>
      </c>
      <c r="AO30" s="59">
        <f t="shared" si="36"/>
        <v>298.49205684341825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16.020512820512824</v>
      </c>
      <c r="BD30" s="12">
        <f>IF('Données projet'!$A$88&gt;35,BD29+BC30-BL29,IF(A30&lt;'Données projet'!$A$88,$BA$205^A30,IF(A30='Données projet'!$A$88,'Données projet'!$B$88,BD29+BC30-BL29)))</f>
        <v>167.59230769230771</v>
      </c>
      <c r="BE30" s="13">
        <f>BD30*VLOOKUP('Données projet'!$B$11,Paramètres!$A$1:$I$89,3,0)*VLOOKUP('Données projet'!$B$11,Paramètres!$A$1:$I$89,5,0)</f>
        <v>100.22020000000002</v>
      </c>
      <c r="BF30" s="13">
        <f t="shared" si="37"/>
        <v>27.014450444334749</v>
      </c>
      <c r="BG30" s="20">
        <f t="shared" si="7"/>
        <v>221.60034952388301</v>
      </c>
      <c r="BH30" s="59">
        <f t="shared" si="8"/>
        <v>494.55384929889533</v>
      </c>
      <c r="BI30" s="59">
        <f ca="1">AVERAGE(OFFSET($BH$3,0,0,'Données projet'!$E$11+1,1))-AVERAGE(OFFSET($H$3,0,0,'Données projet'!$E$11+1,1))</f>
        <v>376.5647919688821</v>
      </c>
      <c r="BJ30" s="59">
        <f t="shared" si="38"/>
        <v>340.34037344565581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1.3595218731732401</v>
      </c>
      <c r="BQ30" s="21">
        <f>EXP(-LN(2)/25)*BQ29+(1-EXP(-LN(2)/25))/(LN(2)/25)*Calculateur!BL30*Calculateur!BN30*VLOOKUP('Données projet'!$B$11,Paramètres!$A$1:$I$89,3,0)*0.475*44/12</f>
        <v>7.9406572876775599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9.3001791608507993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8.1999999999999993</v>
      </c>
      <c r="BY30" s="12">
        <f>IF('Données projet'!$A$114&gt;35,BY29+BX30-CG29,IF(A30&lt;'Données projet'!$A$114,$BV$205^A30,IF(A30='Données projet'!$A$114,'Données projet'!$B$114,BY29+BX30-CG29)))</f>
        <v>89.399999999999977</v>
      </c>
      <c r="BZ30" s="13">
        <f>BY30*VLOOKUP('Données projet'!$B$12,Paramètres!$A$1:$I$89,3,0)*VLOOKUP('Données projet'!$B$12,Paramètres!$A$1:$I$89,5,0)</f>
        <v>90.651599999999974</v>
      </c>
      <c r="CA30" s="13">
        <f t="shared" si="39"/>
        <v>24.722309183064368</v>
      </c>
      <c r="CB30" s="20">
        <f t="shared" si="10"/>
        <v>200.94289182717037</v>
      </c>
      <c r="CC30" s="59">
        <f t="shared" si="11"/>
        <v>473.89639160218269</v>
      </c>
      <c r="CD30" s="59">
        <f ca="1">AVERAGE(OFFSET($CC$3,0,0,'Données projet'!$E$12+1,1))-AVERAGE(OFFSET($H$3,0,0,'Données projet'!$E$12+1,1))</f>
        <v>473.09076714002885</v>
      </c>
      <c r="CE30" s="59">
        <f t="shared" si="40"/>
        <v>311.6454557566534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119.60000000000001</v>
      </c>
      <c r="CU30" s="17">
        <f>CT30*VLOOKUP('Données projet'!$B$13,Paramètres!$A$1:$I$89,3,0)*VLOOKUP('Données projet'!$B$13,Paramètres!$A$1:$I$89,5,0)</f>
        <v>104.48256000000002</v>
      </c>
      <c r="CV30" s="13">
        <f t="shared" si="41"/>
        <v>28.02716504477474</v>
      </c>
      <c r="CW30" s="20">
        <f t="shared" si="13"/>
        <v>230.78777111964939</v>
      </c>
      <c r="CX30" s="59">
        <f t="shared" si="14"/>
        <v>503.74127089466168</v>
      </c>
      <c r="CY30" s="59">
        <f ca="1">AVERAGE(OFFSET($CX$3,0,0,'Données projet'!$E$13+1,1))-AVERAGE(OFFSET($H$3,0,0,'Données projet'!$E$13+1,1))</f>
        <v>379.66247682099424</v>
      </c>
      <c r="CZ30" s="59">
        <f t="shared" si="42"/>
        <v>342.92507939604081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9.1999999999999993</v>
      </c>
      <c r="DO30" s="12">
        <f>IF('Données projet'!$A$166&gt;35,DO29+DN30-DW29,IF(A30&lt;'Données projet'!$A$166,$DL$205^A30,IF(A30='Données projet'!$A$166,'Données projet'!$B$166,DO29+DN30-DW29)))</f>
        <v>93.40000000000002</v>
      </c>
      <c r="DP30" s="17">
        <f>DO30*VLOOKUP('Données projet'!$B$14,Paramètres!$A$1:$I$89,3,0)*VLOOKUP('Données projet'!$B$14,Paramètres!$A$1:$I$89,5,0)</f>
        <v>88.879440000000017</v>
      </c>
      <c r="DQ30" s="13">
        <f t="shared" si="43"/>
        <v>24.294776159113649</v>
      </c>
      <c r="DR30" s="20">
        <f t="shared" si="16"/>
        <v>197.11175981045631</v>
      </c>
      <c r="DS30" s="59">
        <f t="shared" si="17"/>
        <v>470.0652595854686</v>
      </c>
      <c r="DT30" s="59">
        <f ca="1">AVERAGE(OFFSET($DS$3,0,0,'Données projet'!$E$14+1,1))-AVERAGE(OFFSET($H$3,0,0,'Données projet'!$E$14+1,1))</f>
        <v>544.64394576312384</v>
      </c>
      <c r="DU30" s="59">
        <f t="shared" si="44"/>
        <v>310.67291035925484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3.6</v>
      </c>
      <c r="EJ30" s="12">
        <f>IF('Données projet'!$A$192&gt;35,EJ29+EI30-ER29,IF(A30&lt;'Données projet'!$A$192,$EG$205^A30,IF(A30='Données projet'!$A$192,'Données projet'!$B$192,EJ29+EI30-ER29)))</f>
        <v>43.2</v>
      </c>
      <c r="EK30" s="17">
        <f>EJ30*VLOOKUP('Données projet'!$B$15,Paramètres!$A$1:$I$89,3,0)*VLOOKUP('Données projet'!$B$15,Paramètres!$A$1:$I$89,5,0)</f>
        <v>41.783040000000007</v>
      </c>
      <c r="EL30" s="13">
        <f t="shared" si="45"/>
        <v>12.470035662559953</v>
      </c>
      <c r="EM30" s="20">
        <f t="shared" si="19"/>
        <v>94.490773445625265</v>
      </c>
      <c r="EN30" s="59">
        <f t="shared" si="20"/>
        <v>367.44427322063757</v>
      </c>
      <c r="EO30" s="59">
        <f ca="1">AVERAGE(OFFSET($EN$3,0,0,'Données projet'!$E$15+1,1))-AVERAGE(OFFSET($H$3,0,0,'Données projet'!$E$15+1,1))</f>
        <v>276.72865583771579</v>
      </c>
      <c r="EP30" s="59">
        <f t="shared" si="46"/>
        <v>174.3587092851154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64.451863575003358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9.9899999999999984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4.25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15.583333333333334</v>
      </c>
      <c r="H31" s="67">
        <f t="shared" si="1"/>
        <v>222.56666666666669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19.498076923076908</v>
      </c>
      <c r="N31" s="13">
        <f>IF('Données projet'!$A$36&gt;35,N30+M31-V30,IF(A31&lt;'Données projet'!$A$36,$K$205^A31,IF(A31='Données projet'!$A$36,'Données projet'!$B$36,N30+M31-V30)))</f>
        <v>241.42692307692306</v>
      </c>
      <c r="O31" s="13">
        <f>N31*VLOOKUP('Données projet'!$B$9,Paramètres!$A$1:$I$89,3,0)*VLOOKUP('Données projet'!$B$9,Paramètres!$A$1:$I$89,5,0)</f>
        <v>144.3733</v>
      </c>
      <c r="P31" s="13">
        <f t="shared" si="33"/>
        <v>37.297066515496802</v>
      </c>
      <c r="Q31" s="20">
        <f t="shared" si="2"/>
        <v>316.40922168115691</v>
      </c>
      <c r="R31" s="59">
        <f t="shared" si="0"/>
        <v>591.5620818009545</v>
      </c>
      <c r="S31" s="59">
        <f ca="1">AVERAGE(OFFSET($R$3,0,0,'Données projet'!$E$9+1,1))-AVERAGE(OFFSET($H$3,0,0,'Données projet'!$E$9+1,1))</f>
        <v>341.11752883785607</v>
      </c>
      <c r="T31" s="59">
        <f t="shared" si="34"/>
        <v>423.15445896616234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1.6121149900909044</v>
      </c>
      <c r="AA31" s="21">
        <f>EXP(-LN(2)/25)*AA30+(1-EXP(-LN(2)/25))/(LN(2)/25)*Calculateur!V31*Calculateur!X31*VLOOKUP('Données projet'!$B$9,Paramètres!$A$1:$I$89,3,0)*0.475*44/12</f>
        <v>11.566736864204691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13.178851854295594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92.832480000000018</v>
      </c>
      <c r="AK31" s="13">
        <f t="shared" si="35"/>
        <v>25.247114117480137</v>
      </c>
      <c r="AL31" s="20">
        <f t="shared" si="4"/>
        <v>205.65529308794461</v>
      </c>
      <c r="AM31" s="59">
        <f t="shared" si="5"/>
        <v>480.80815320774218</v>
      </c>
      <c r="AN31" s="59">
        <f ca="1">AVERAGE(OFFSET($AM$3,0,0,'Données projet'!$E$10+1,1))-AVERAGE(OFFSET($H$3,0,0,'Données projet'!$E$10+1,1))</f>
        <v>521.72266623522626</v>
      </c>
      <c r="AO31" s="59">
        <f t="shared" si="36"/>
        <v>298.49205684341825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16.020512820512824</v>
      </c>
      <c r="BD31" s="12">
        <f>IF('Données projet'!$A$88&gt;35,BD30+BC31-BL30,IF(A31&lt;'Données projet'!$A$88,$BA$205^A31,IF(A31='Données projet'!$A$88,'Données projet'!$B$88,BD30+BC31-BL30)))</f>
        <v>183.61282051282055</v>
      </c>
      <c r="BE31" s="13">
        <f>BD31*VLOOKUP('Données projet'!$B$11,Paramètres!$A$1:$I$89,3,0)*VLOOKUP('Données projet'!$B$11,Paramètres!$A$1:$I$89,5,0)</f>
        <v>109.80046666666669</v>
      </c>
      <c r="BF31" s="13">
        <f t="shared" si="37"/>
        <v>29.283967996494283</v>
      </c>
      <c r="BG31" s="20">
        <f t="shared" si="7"/>
        <v>242.23872370500536</v>
      </c>
      <c r="BH31" s="59">
        <f t="shared" si="8"/>
        <v>517.39158382480286</v>
      </c>
      <c r="BI31" s="59">
        <f ca="1">AVERAGE(OFFSET($BH$3,0,0,'Données projet'!$E$11+1,1))-AVERAGE(OFFSET($H$3,0,0,'Données projet'!$E$11+1,1))</f>
        <v>376.5647919688821</v>
      </c>
      <c r="BJ31" s="59">
        <f t="shared" si="38"/>
        <v>340.34037344565581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1.3328624784667762</v>
      </c>
      <c r="BQ31" s="21">
        <f>EXP(-LN(2)/25)*BQ30+(1-EXP(-LN(2)/25))/(LN(2)/25)*Calculateur!BL31*Calculateur!BN31*VLOOKUP('Données projet'!$B$11,Paramètres!$A$1:$I$89,3,0)*0.475*44/12</f>
        <v>7.7235195965649988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9.0563820750317756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8.1999999999999993</v>
      </c>
      <c r="BY31" s="12">
        <f>IF('Données projet'!$A$114&gt;35,BY30+BX31-CG30,IF(A31&lt;'Données projet'!$A$114,$BV$205^A31,IF(A31='Données projet'!$A$114,'Données projet'!$B$114,BY30+BX31-CG30)))</f>
        <v>97.59999999999998</v>
      </c>
      <c r="BZ31" s="13">
        <f>BY31*VLOOKUP('Données projet'!$B$12,Paramètres!$A$1:$I$89,3,0)*VLOOKUP('Données projet'!$B$12,Paramètres!$A$1:$I$89,5,0)</f>
        <v>98.966399999999993</v>
      </c>
      <c r="CA31" s="13">
        <f t="shared" si="39"/>
        <v>26.715607900934952</v>
      </c>
      <c r="CB31" s="20">
        <f t="shared" si="10"/>
        <v>218.89616376079505</v>
      </c>
      <c r="CC31" s="59">
        <f t="shared" si="11"/>
        <v>494.04902388059259</v>
      </c>
      <c r="CD31" s="59">
        <f ca="1">AVERAGE(OFFSET($CC$3,0,0,'Données projet'!$E$12+1,1))-AVERAGE(OFFSET($H$3,0,0,'Données projet'!$E$12+1,1))</f>
        <v>473.09076714002885</v>
      </c>
      <c r="CE31" s="59">
        <f t="shared" si="40"/>
        <v>311.6454557566534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129.4</v>
      </c>
      <c r="CU31" s="17">
        <f>CT31*VLOOKUP('Données projet'!$B$13,Paramètres!$A$1:$I$89,3,0)*VLOOKUP('Données projet'!$B$13,Paramètres!$A$1:$I$89,5,0)</f>
        <v>113.04384000000002</v>
      </c>
      <c r="CV31" s="13">
        <f t="shared" si="41"/>
        <v>30.046993788338579</v>
      </c>
      <c r="CW31" s="20">
        <f t="shared" si="13"/>
        <v>249.2165355146897</v>
      </c>
      <c r="CX31" s="59">
        <f t="shared" si="14"/>
        <v>524.3693956344872</v>
      </c>
      <c r="CY31" s="59">
        <f ca="1">AVERAGE(OFFSET($CX$3,0,0,'Données projet'!$E$13+1,1))-AVERAGE(OFFSET($H$3,0,0,'Données projet'!$E$13+1,1))</f>
        <v>379.66247682099424</v>
      </c>
      <c r="CZ31" s="59">
        <f t="shared" si="42"/>
        <v>342.92507939604081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9.1999999999999993</v>
      </c>
      <c r="DO31" s="12">
        <f>IF('Données projet'!$A$166&gt;35,DO30+DN31-DW30,IF(A31&lt;'Données projet'!$A$166,$DL$205^A31,IF(A31='Données projet'!$A$166,'Données projet'!$B$166,DO30+DN31-DW30)))</f>
        <v>102.60000000000002</v>
      </c>
      <c r="DP31" s="17">
        <f>DO31*VLOOKUP('Données projet'!$B$14,Paramètres!$A$1:$I$89,3,0)*VLOOKUP('Données projet'!$B$14,Paramètres!$A$1:$I$89,5,0)</f>
        <v>97.634160000000023</v>
      </c>
      <c r="DQ31" s="13">
        <f t="shared" si="43"/>
        <v>26.397585802010184</v>
      </c>
      <c r="DR31" s="20">
        <f t="shared" si="16"/>
        <v>216.02195727183445</v>
      </c>
      <c r="DS31" s="59">
        <f t="shared" si="17"/>
        <v>491.17481739163202</v>
      </c>
      <c r="DT31" s="59">
        <f ca="1">AVERAGE(OFFSET($DS$3,0,0,'Données projet'!$E$14+1,1))-AVERAGE(OFFSET($H$3,0,0,'Données projet'!$E$14+1,1))</f>
        <v>544.64394576312384</v>
      </c>
      <c r="DU31" s="59">
        <f t="shared" si="44"/>
        <v>310.67291035925484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3.6</v>
      </c>
      <c r="EJ31" s="12">
        <f>IF('Données projet'!$A$192&gt;35,EJ30+EI31-ER30,IF(A31&lt;'Données projet'!$A$192,$EG$205^A31,IF(A31='Données projet'!$A$192,'Données projet'!$B$192,EJ30+EI31-ER30)))</f>
        <v>46.800000000000004</v>
      </c>
      <c r="EK31" s="17">
        <f>EJ31*VLOOKUP('Données projet'!$B$15,Paramètres!$A$1:$I$89,3,0)*VLOOKUP('Données projet'!$B$15,Paramètres!$A$1:$I$89,5,0)</f>
        <v>45.264960000000002</v>
      </c>
      <c r="EL31" s="13">
        <f t="shared" si="45"/>
        <v>13.383924947719283</v>
      </c>
      <c r="EM31" s="20">
        <f t="shared" si="19"/>
        <v>102.14680795061109</v>
      </c>
      <c r="EN31" s="59">
        <f t="shared" si="20"/>
        <v>377.29966807040864</v>
      </c>
      <c r="EO31" s="59">
        <f ca="1">AVERAGE(OFFSET($EN$3,0,0,'Données projet'!$E$15+1,1))-AVERAGE(OFFSET($H$3,0,0,'Données projet'!$E$15+1,1))</f>
        <v>276.72865583771579</v>
      </c>
      <c r="EP31" s="59">
        <f t="shared" si="46"/>
        <v>174.3587092851154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64.681689123581151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10.359999999999998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4.25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15.583333333333334</v>
      </c>
      <c r="H32" s="67">
        <f t="shared" si="1"/>
        <v>222.56666666666669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19.498076923076908</v>
      </c>
      <c r="N32" s="13">
        <f>IF('Données projet'!$A$36&gt;35,N31+M32-V31,IF(A32&lt;'Données projet'!$A$36,$K$205^A32,IF(A32='Données projet'!$A$36,'Données projet'!$B$36,N31+M32-V31)))</f>
        <v>260.92499999999995</v>
      </c>
      <c r="O32" s="13">
        <f>N32*VLOOKUP('Données projet'!$B$9,Paramètres!$A$1:$I$89,3,0)*VLOOKUP('Données projet'!$B$9,Paramètres!$A$1:$I$89,5,0)</f>
        <v>156.03314999999998</v>
      </c>
      <c r="P32" s="13">
        <f t="shared" si="33"/>
        <v>39.946478197047639</v>
      </c>
      <c r="Q32" s="20">
        <f t="shared" si="2"/>
        <v>341.33118577652459</v>
      </c>
      <c r="R32" s="59">
        <f t="shared" si="0"/>
        <v>618.66878738977289</v>
      </c>
      <c r="S32" s="59">
        <f ca="1">AVERAGE(OFFSET($R$3,0,0,'Données projet'!$E$9+1,1))-AVERAGE(OFFSET($H$3,0,0,'Données projet'!$E$9+1,1))</f>
        <v>341.11752883785607</v>
      </c>
      <c r="T32" s="59">
        <f t="shared" si="34"/>
        <v>423.15445896616234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1.5805023984282736</v>
      </c>
      <c r="AA32" s="21">
        <f>EXP(-LN(2)/25)*AA31+(1-EXP(-LN(2)/25))/(LN(2)/25)*Calculateur!V32*Calculateur!X32*VLOOKUP('Données projet'!$B$9,Paramètres!$A$1:$I$89,3,0)*0.475*44/12</f>
        <v>11.250443836384758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12.83094623481303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101.15664000000001</v>
      </c>
      <c r="AK32" s="13">
        <f t="shared" si="35"/>
        <v>27.237366379381644</v>
      </c>
      <c r="AL32" s="20">
        <f t="shared" si="4"/>
        <v>223.61956111075639</v>
      </c>
      <c r="AM32" s="59">
        <f t="shared" si="5"/>
        <v>500.95716272400477</v>
      </c>
      <c r="AN32" s="59">
        <f ca="1">AVERAGE(OFFSET($AM$3,0,0,'Données projet'!$E$10+1,1))-AVERAGE(OFFSET($H$3,0,0,'Données projet'!$E$10+1,1))</f>
        <v>521.72266623522626</v>
      </c>
      <c r="AO32" s="59">
        <f t="shared" si="36"/>
        <v>298.49205684341825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16.020512820512824</v>
      </c>
      <c r="BD32" s="12">
        <f>IF('Données projet'!$A$88&gt;35,BD31+BC32-BL31,IF(A32&lt;'Données projet'!$A$88,$BA$205^A32,IF(A32='Données projet'!$A$88,'Données projet'!$B$88,BD31+BC32-BL31)))</f>
        <v>199.63333333333338</v>
      </c>
      <c r="BE32" s="13">
        <f>BD32*VLOOKUP('Données projet'!$B$11,Paramètres!$A$1:$I$89,3,0)*VLOOKUP('Données projet'!$B$11,Paramètres!$A$1:$I$89,5,0)</f>
        <v>119.38073333333337</v>
      </c>
      <c r="BF32" s="13">
        <f t="shared" si="37"/>
        <v>31.530522050233152</v>
      </c>
      <c r="BG32" s="20">
        <f t="shared" si="7"/>
        <v>262.83710312637839</v>
      </c>
      <c r="BH32" s="59">
        <f t="shared" si="8"/>
        <v>540.1747047396268</v>
      </c>
      <c r="BI32" s="59">
        <f ca="1">AVERAGE(OFFSET($BH$3,0,0,'Données projet'!$E$11+1,1))-AVERAGE(OFFSET($H$3,0,0,'Données projet'!$E$11+1,1))</f>
        <v>376.5647919688821</v>
      </c>
      <c r="BJ32" s="59">
        <f t="shared" si="38"/>
        <v>340.34037344565581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1.3067258582298809</v>
      </c>
      <c r="BQ32" s="21">
        <f>EXP(-LN(2)/25)*BQ31+(1-EXP(-LN(2)/25))/(LN(2)/25)*Calculateur!BL32*Calculateur!BN32*VLOOKUP('Données projet'!$B$11,Paramètres!$A$1:$I$89,3,0)*0.475*44/12</f>
        <v>7.5123195470346857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8.8190454052645659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8.1999999999999993</v>
      </c>
      <c r="BY32" s="12">
        <f>IF('Données projet'!$A$114&gt;35,BY31+BX32-CG31,IF(A32&lt;'Données projet'!$A$114,$BV$205^A32,IF(A32='Données projet'!$A$114,'Données projet'!$B$114,BY31+BX32-CG31)))</f>
        <v>105.79999999999998</v>
      </c>
      <c r="BZ32" s="13">
        <f>BY32*VLOOKUP('Données projet'!$B$12,Paramètres!$A$1:$I$89,3,0)*VLOOKUP('Données projet'!$B$12,Paramètres!$A$1:$I$89,5,0)</f>
        <v>107.2812</v>
      </c>
      <c r="CA32" s="13">
        <f t="shared" si="39"/>
        <v>28.68948404302737</v>
      </c>
      <c r="CB32" s="20">
        <f t="shared" si="10"/>
        <v>236.81560804160597</v>
      </c>
      <c r="CC32" s="59">
        <f t="shared" si="11"/>
        <v>514.15320965485432</v>
      </c>
      <c r="CD32" s="59">
        <f ca="1">AVERAGE(OFFSET($CC$3,0,0,'Données projet'!$E$12+1,1))-AVERAGE(OFFSET($H$3,0,0,'Données projet'!$E$12+1,1))</f>
        <v>473.09076714002885</v>
      </c>
      <c r="CE32" s="59">
        <f t="shared" si="40"/>
        <v>311.6454557566534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139.20000000000002</v>
      </c>
      <c r="CU32" s="17">
        <f>CT32*VLOOKUP('Données projet'!$B$13,Paramètres!$A$1:$I$89,3,0)*VLOOKUP('Données projet'!$B$13,Paramètres!$A$1:$I$89,5,0)</f>
        <v>121.60512000000003</v>
      </c>
      <c r="CV32" s="13">
        <f t="shared" si="41"/>
        <v>32.049077176455789</v>
      </c>
      <c r="CW32" s="20">
        <f t="shared" si="13"/>
        <v>267.61439341566057</v>
      </c>
      <c r="CX32" s="59">
        <f t="shared" si="14"/>
        <v>544.95199502890887</v>
      </c>
      <c r="CY32" s="59">
        <f ca="1">AVERAGE(OFFSET($CX$3,0,0,'Données projet'!$E$13+1,1))-AVERAGE(OFFSET($H$3,0,0,'Données projet'!$E$13+1,1))</f>
        <v>379.66247682099424</v>
      </c>
      <c r="CZ32" s="59">
        <f t="shared" si="42"/>
        <v>342.92507939604081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9.1999999999999993</v>
      </c>
      <c r="DO32" s="12">
        <f>IF('Données projet'!$A$166&gt;35,DO31+DN32-DW31,IF(A32&lt;'Données projet'!$A$166,$DL$205^A32,IF(A32='Données projet'!$A$166,'Données projet'!$B$166,DO31+DN32-DW31)))</f>
        <v>111.80000000000003</v>
      </c>
      <c r="DP32" s="17">
        <f>DO32*VLOOKUP('Données projet'!$B$14,Paramètres!$A$1:$I$89,3,0)*VLOOKUP('Données projet'!$B$14,Paramètres!$A$1:$I$89,5,0)</f>
        <v>106.38888000000001</v>
      </c>
      <c r="DQ32" s="13">
        <f t="shared" si="43"/>
        <v>28.478530760975403</v>
      </c>
      <c r="DR32" s="20">
        <f t="shared" si="16"/>
        <v>234.89407374203219</v>
      </c>
      <c r="DS32" s="59">
        <f t="shared" si="17"/>
        <v>512.23167535528057</v>
      </c>
      <c r="DT32" s="59">
        <f ca="1">AVERAGE(OFFSET($DS$3,0,0,'Données projet'!$E$14+1,1))-AVERAGE(OFFSET($H$3,0,0,'Données projet'!$E$14+1,1))</f>
        <v>544.64394576312384</v>
      </c>
      <c r="DU32" s="59">
        <f t="shared" si="44"/>
        <v>310.67291035925484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3.6</v>
      </c>
      <c r="EJ32" s="12">
        <f>IF('Données projet'!$A$192&gt;35,EJ31+EI32-ER31,IF(A32&lt;'Données projet'!$A$192,$EG$205^A32,IF(A32='Données projet'!$A$192,'Données projet'!$B$192,EJ31+EI32-ER31)))</f>
        <v>50.400000000000006</v>
      </c>
      <c r="EK32" s="17">
        <f>EJ32*VLOOKUP('Données projet'!$B$15,Paramètres!$A$1:$I$89,3,0)*VLOOKUP('Données projet'!$B$15,Paramètres!$A$1:$I$89,5,0)</f>
        <v>48.746880000000012</v>
      </c>
      <c r="EL32" s="13">
        <f t="shared" si="45"/>
        <v>14.2896594492068</v>
      </c>
      <c r="EM32" s="20">
        <f t="shared" si="19"/>
        <v>109.78863954070187</v>
      </c>
      <c r="EN32" s="59">
        <f t="shared" si="20"/>
        <v>387.12624115395022</v>
      </c>
      <c r="EO32" s="59">
        <f ca="1">AVERAGE(OFFSET($EN$3,0,0,'Données projet'!$E$15+1,1))-AVERAGE(OFFSET($H$3,0,0,'Données projet'!$E$15+1,1))</f>
        <v>276.72865583771579</v>
      </c>
      <c r="EP32" s="59">
        <f t="shared" si="46"/>
        <v>174.3587092851154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64.907527712704095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10.729999999999999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4.25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15.583333333333334</v>
      </c>
      <c r="H33" s="67">
        <f t="shared" si="1"/>
        <v>222.56666666666669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K33" s="12">
        <f>VLOOKUP(A33,'Données projet'!$A$35:$I$55,2,0)</f>
        <v>280.42307692307691</v>
      </c>
      <c r="L33" s="12">
        <f>VLOOKUP(A33,'Données projet'!$A$35:$I$55,9,0)</f>
        <v>19.498076923076908</v>
      </c>
      <c r="M33" s="12">
        <f t="array" ref="M33">INDEX(L:L,MIN(IF(ISNUMBER(L33:L229),ROW(L33:L229),"")))</f>
        <v>19.498076923076908</v>
      </c>
      <c r="N33" s="13">
        <f>IF('Données projet'!$A$36&gt;35,N32+M33-V32,IF(A33&lt;'Données projet'!$A$36,$K$205^A33,IF(A33='Données projet'!$A$36,'Données projet'!$B$36,N32+M33-V32)))</f>
        <v>280.42307692307685</v>
      </c>
      <c r="O33" s="13">
        <f>N33*VLOOKUP('Données projet'!$B$9,Paramètres!$A$1:$I$89,3,0)*VLOOKUP('Données projet'!$B$9,Paramètres!$A$1:$I$89,5,0)</f>
        <v>167.69299999999996</v>
      </c>
      <c r="P33" s="13">
        <f t="shared" si="33"/>
        <v>42.572922166359888</v>
      </c>
      <c r="Q33" s="20">
        <f t="shared" si="2"/>
        <v>366.21314777307674</v>
      </c>
      <c r="R33" s="59">
        <f t="shared" si="0"/>
        <v>645.72112563282906</v>
      </c>
      <c r="S33" s="59">
        <f ca="1">AVERAGE(OFFSET($R$3,0,0,'Données projet'!$E$9+1,1))-AVERAGE(OFFSET($H$3,0,0,'Données projet'!$E$9+1,1))</f>
        <v>341.11752883785607</v>
      </c>
      <c r="T33" s="59">
        <f t="shared" si="34"/>
        <v>423.15445896616234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4.5000000000000005E-2</v>
      </c>
      <c r="X33" s="16">
        <f>IF(ISNA(VLOOKUP(A33,'Données projet'!$A$35:$I$55,6,0)),0%,VLOOKUP(A33,'Données projet'!$A$35:$I$55,6,0)*VLOOKUP('Données projet'!$B$9,Paramètres!$A$1:$I$89,7,0))</f>
        <v>0.18000000000000002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1.54950971040637</v>
      </c>
      <c r="AA33" s="21">
        <f>EXP(-LN(2)/25)*AA32+(1-EXP(-LN(2)/25))/(LN(2)/25)*Calculateur!V33*Calculateur!X33*VLOOKUP('Données projet'!$B$9,Paramètres!$A$1:$I$89,3,0)*0.475*44/12</f>
        <v>10.942799858043688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12.492309568450059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109.48080000000002</v>
      </c>
      <c r="AK33" s="13">
        <f t="shared" si="35"/>
        <v>29.208623339903898</v>
      </c>
      <c r="AL33" s="20">
        <f t="shared" si="4"/>
        <v>241.55074565033269</v>
      </c>
      <c r="AM33" s="59">
        <f t="shared" si="5"/>
        <v>521.05872351008497</v>
      </c>
      <c r="AN33" s="59">
        <f ca="1">AVERAGE(OFFSET($AM$3,0,0,'Données projet'!$E$10+1,1))-AVERAGE(OFFSET($H$3,0,0,'Données projet'!$E$10+1,1))</f>
        <v>521.72266623522626</v>
      </c>
      <c r="AO33" s="59">
        <f t="shared" si="36"/>
        <v>298.49205684341825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BA33" s="12">
        <f>VLOOKUP(A33,'Données projet'!$A$87:$I$107,2,0)</f>
        <v>215.65384615384616</v>
      </c>
      <c r="BB33" s="12">
        <f>VLOOKUP(A33,'Données projet'!$A$87:$I$107,9,0)</f>
        <v>16.020512820512824</v>
      </c>
      <c r="BC33" s="12">
        <f t="array" ref="BC33">INDEX(BB:BB,MIN(IF(ISNUMBER(BB33:BB229),ROW(BB33:BB229),"")))</f>
        <v>16.020512820512824</v>
      </c>
      <c r="BD33" s="12">
        <f>IF('Données projet'!$A$88&gt;35,BD32+BC33-BL32,IF(A33&lt;'Données projet'!$A$88,$BA$205^A33,IF(A33='Données projet'!$A$88,'Données projet'!$B$88,BD32+BC33-BL32)))</f>
        <v>215.65384615384622</v>
      </c>
      <c r="BE33" s="13">
        <f>BD33*VLOOKUP('Données projet'!$B$11,Paramètres!$A$1:$I$89,3,0)*VLOOKUP('Données projet'!$B$11,Paramètres!$A$1:$I$89,5,0)</f>
        <v>128.96100000000004</v>
      </c>
      <c r="BF33" s="13">
        <f t="shared" si="37"/>
        <v>33.756164929705356</v>
      </c>
      <c r="BG33" s="20">
        <f t="shared" si="7"/>
        <v>283.39906225257022</v>
      </c>
      <c r="BH33" s="59">
        <f t="shared" si="8"/>
        <v>562.90704011232253</v>
      </c>
      <c r="BI33" s="59">
        <f ca="1">AVERAGE(OFFSET($BH$3,0,0,'Données projet'!$E$11+1,1))-AVERAGE(OFFSET($H$3,0,0,'Données projet'!$E$11+1,1))</f>
        <v>376.5647919688821</v>
      </c>
      <c r="BJ33" s="59">
        <f t="shared" si="38"/>
        <v>340.34037344565581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55.869230769230761</v>
      </c>
      <c r="BM33" s="16">
        <f>IF(ISNA(VLOOKUP(A33,'Données projet'!$A$87:$I$107,5,0)),0%,VLOOKUP(A33,'Données projet'!$A$87:$I$107,5,0)*VLOOKUP('Données projet'!$B$11,Paramètres!$A$1:$I$89,7,0))</f>
        <v>4.5000000000000005E-2</v>
      </c>
      <c r="BN33" s="16">
        <f>IF(ISNA(VLOOKUP(A33,'Données projet'!$A$87:$I$107,6,0)),0%,VLOOKUP(A33,'Données projet'!$A$87:$I$107,6,0)*VLOOKUP('Données projet'!$B$11,Paramètres!$A$1:$I$89,7,0))</f>
        <v>0.18000000000000002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3.2755131526245442</v>
      </c>
      <c r="BQ33" s="21">
        <f>EXP(-LN(2)/25)*BQ32+(1-EXP(-LN(2)/25))/(LN(2)/25)*Calculateur!BL33*Calculateur!BN33*VLOOKUP('Données projet'!$B$11,Paramètres!$A$1:$I$89,3,0)*0.475*44/12</f>
        <v>15.253129309453385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18.528642462077929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BV33" s="12">
        <f>VLOOKUP(A33,'Données projet'!$A$113:$I$133,2,0)</f>
        <v>114</v>
      </c>
      <c r="BW33" s="12">
        <f>VLOOKUP(A33,'Données projet'!$A$113:$I$133,9,0)</f>
        <v>8.1999999999999993</v>
      </c>
      <c r="BX33" s="12">
        <f t="array" ref="BX33">INDEX(BW:BW,MIN(IF(ISNUMBER(BW33:BW229),ROW(BW33:BW229),"")))</f>
        <v>8.1999999999999993</v>
      </c>
      <c r="BY33" s="12">
        <f>IF('Données projet'!$A$114&gt;35,BY32+BX33-CG32,IF(A33&lt;'Données projet'!$A$114,$BV$205^A33,IF(A33='Données projet'!$A$114,'Données projet'!$B$114,BY32+BX33-CG32)))</f>
        <v>113.99999999999999</v>
      </c>
      <c r="BZ33" s="13">
        <f>BY33*VLOOKUP('Données projet'!$B$12,Paramètres!$A$1:$I$89,3,0)*VLOOKUP('Données projet'!$B$12,Paramètres!$A$1:$I$89,5,0)</f>
        <v>115.59599999999999</v>
      </c>
      <c r="CA33" s="13">
        <f t="shared" si="39"/>
        <v>30.645614103483879</v>
      </c>
      <c r="CB33" s="20">
        <f t="shared" si="10"/>
        <v>254.70414456356775</v>
      </c>
      <c r="CC33" s="59">
        <f t="shared" si="11"/>
        <v>534.21212242332012</v>
      </c>
      <c r="CD33" s="59">
        <f ca="1">AVERAGE(OFFSET($CC$3,0,0,'Données projet'!$E$12+1,1))-AVERAGE(OFFSET($H$3,0,0,'Données projet'!$E$12+1,1))</f>
        <v>473.09076714002885</v>
      </c>
      <c r="CE33" s="59">
        <f t="shared" si="40"/>
        <v>311.6454557566534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CQ33" s="12">
        <f>VLOOKUP(A33,'Données projet'!$A$139:$I$159,2,0)</f>
        <v>149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149.00000000000003</v>
      </c>
      <c r="CU33" s="17">
        <f>CT33*VLOOKUP('Données projet'!$B$13,Paramètres!$A$1:$I$89,3,0)*VLOOKUP('Données projet'!$B$13,Paramètres!$A$1:$I$89,5,0)</f>
        <v>130.16640000000004</v>
      </c>
      <c r="CV33" s="13">
        <f t="shared" si="41"/>
        <v>34.034806623706302</v>
      </c>
      <c r="CW33" s="20">
        <f t="shared" si="13"/>
        <v>285.98376820295522</v>
      </c>
      <c r="CX33" s="59">
        <f t="shared" si="14"/>
        <v>565.49174606270753</v>
      </c>
      <c r="CY33" s="59">
        <f ca="1">AVERAGE(OFFSET($CX$3,0,0,'Données projet'!$E$13+1,1))-AVERAGE(OFFSET($H$3,0,0,'Données projet'!$E$13+1,1))</f>
        <v>379.66247682099424</v>
      </c>
      <c r="CZ33" s="59">
        <f t="shared" si="42"/>
        <v>342.92507939604081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27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DL33" s="12">
        <f>VLOOKUP(A33,'Données projet'!$A$165:$I$185,2,0)</f>
        <v>121</v>
      </c>
      <c r="DM33" s="12">
        <f>VLOOKUP(A33,'Données projet'!$A$165:$I$185,9,0)</f>
        <v>9.1999999999999993</v>
      </c>
      <c r="DN33" s="12">
        <f t="array" ref="DN33">INDEX(DM:DM,MIN(IF(ISNUMBER(DM33:DM229),ROW(DM33:DM229),"")))</f>
        <v>9.1999999999999993</v>
      </c>
      <c r="DO33" s="12">
        <f>IF('Données projet'!$A$166&gt;35,DO32+DN33-DW32,IF(A33&lt;'Données projet'!$A$166,$DL$205^A33,IF(A33='Données projet'!$A$166,'Données projet'!$B$166,DO32+DN33-DW32)))</f>
        <v>121.00000000000003</v>
      </c>
      <c r="DP33" s="17">
        <f>DO33*VLOOKUP('Données projet'!$B$14,Paramètres!$A$1:$I$89,3,0)*VLOOKUP('Données projet'!$B$14,Paramètres!$A$1:$I$89,5,0)</f>
        <v>115.14360000000003</v>
      </c>
      <c r="DQ33" s="13">
        <f t="shared" si="43"/>
        <v>30.539614832250251</v>
      </c>
      <c r="DR33" s="20">
        <f t="shared" si="16"/>
        <v>253.73159916616927</v>
      </c>
      <c r="DS33" s="59">
        <f t="shared" si="17"/>
        <v>533.23957702592156</v>
      </c>
      <c r="DT33" s="59">
        <f ca="1">AVERAGE(OFFSET($DS$3,0,0,'Données projet'!$E$14+1,1))-AVERAGE(OFFSET($H$3,0,0,'Données projet'!$E$14+1,1))</f>
        <v>544.64394576312384</v>
      </c>
      <c r="DU33" s="59">
        <f t="shared" si="44"/>
        <v>310.67291035925484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EG33" s="12">
        <f>VLOOKUP(A33,'Données projet'!$A$191:$I$211,2,0)</f>
        <v>54</v>
      </c>
      <c r="EH33" s="12">
        <f>VLOOKUP(A33,'Données projet'!$A$191:$I$211,9,0)</f>
        <v>3.6</v>
      </c>
      <c r="EI33" s="12">
        <f t="array" ref="EI33">INDEX(EH:EH,MIN(IF(ISNUMBER(EH33:EH229),ROW(EH33:EH229),"")))</f>
        <v>3.6</v>
      </c>
      <c r="EJ33" s="12">
        <f>IF('Données projet'!$A$192&gt;35,EJ32+EI33-ER32,IF(A33&lt;'Données projet'!$A$192,$EG$205^A33,IF(A33='Données projet'!$A$192,'Données projet'!$B$192,EJ32+EI33-ER32)))</f>
        <v>54.000000000000007</v>
      </c>
      <c r="EK33" s="17">
        <f>EJ33*VLOOKUP('Données projet'!$B$15,Paramètres!$A$1:$I$89,3,0)*VLOOKUP('Données projet'!$B$15,Paramètres!$A$1:$I$89,5,0)</f>
        <v>52.228800000000007</v>
      </c>
      <c r="EL33" s="13">
        <f t="shared" si="45"/>
        <v>15.18788789973001</v>
      </c>
      <c r="EM33" s="20">
        <f t="shared" si="19"/>
        <v>117.41739809202979</v>
      </c>
      <c r="EN33" s="59">
        <f t="shared" si="20"/>
        <v>396.92537595178209</v>
      </c>
      <c r="EO33" s="59">
        <f ca="1">AVERAGE(OFFSET($EN$3,0,0,'Données projet'!$E$15+1,1))-AVERAGE(OFFSET($H$3,0,0,'Données projet'!$E$15+1,1))</f>
        <v>276.72865583771579</v>
      </c>
      <c r="EP33" s="59">
        <f t="shared" si="46"/>
        <v>174.3587092851154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9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65.129448507205183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11.1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4.25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15.583333333333334</v>
      </c>
      <c r="H34" s="67">
        <f t="shared" si="1"/>
        <v>222.56666666666669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19.184615384615398</v>
      </c>
      <c r="N34" s="13">
        <f>IF('Données projet'!$A$36&gt;35,N33+M34-V33,IF(A34&lt;'Données projet'!$A$36,$K$205^A34,IF(A34='Données projet'!$A$36,'Données projet'!$B$36,N33+M34-V33)))</f>
        <v>299.60769230769222</v>
      </c>
      <c r="O34" s="13">
        <f>N34*VLOOKUP('Données projet'!$B$9,Paramètres!$A$1:$I$89,3,0)*VLOOKUP('Données projet'!$B$9,Paramètres!$A$1:$I$89,5,0)</f>
        <v>179.16539999999998</v>
      </c>
      <c r="P34" s="13">
        <f t="shared" si="33"/>
        <v>45.136452849152207</v>
      </c>
      <c r="Q34" s="20">
        <f t="shared" si="2"/>
        <v>390.65906037894001</v>
      </c>
      <c r="R34" s="59">
        <f t="shared" si="0"/>
        <v>666.93329844316827</v>
      </c>
      <c r="S34" s="59">
        <f ca="1">AVERAGE(OFFSET($R$3,0,0,'Données projet'!$E$9+1,1))-AVERAGE(OFFSET($H$3,0,0,'Données projet'!$E$9+1,1))</f>
        <v>341.11752883785607</v>
      </c>
      <c r="T34" s="59">
        <f t="shared" si="34"/>
        <v>423.15445896616234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1.5191247700929027</v>
      </c>
      <c r="AA34" s="21">
        <f>EXP(-LN(2)/25)*AA33+(1-EXP(-LN(2)/25))/(LN(2)/25)*Calculateur!V34*Calculateur!X34*VLOOKUP('Données projet'!$B$9,Paramètres!$A$1:$I$89,3,0)*0.475*44/12</f>
        <v>10.64356842046865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12.162693190561553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93.91824000000004</v>
      </c>
      <c r="AK34" s="13">
        <f t="shared" si="35"/>
        <v>25.507853654186022</v>
      </c>
      <c r="AL34" s="20">
        <f t="shared" si="4"/>
        <v>208.00044644770739</v>
      </c>
      <c r="AM34" s="59">
        <f t="shared" si="5"/>
        <v>484.27468451193556</v>
      </c>
      <c r="AN34" s="59">
        <f ca="1">AVERAGE(OFFSET($AM$3,0,0,'Données projet'!$E$10+1,1))-AVERAGE(OFFSET($H$3,0,0,'Données projet'!$E$10+1,1))</f>
        <v>521.72266623522626</v>
      </c>
      <c r="AO34" s="59">
        <f t="shared" si="36"/>
        <v>298.49205684341825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15.48351648351648</v>
      </c>
      <c r="BD34" s="12">
        <f>IF('Données projet'!$A$88&gt;35,BD33+BC34-BL33,IF(A34&lt;'Données projet'!$A$88,$BA$205^A34,IF(A34='Données projet'!$A$88,'Données projet'!$B$88,BD33+BC34-BL33)))</f>
        <v>175.26813186813192</v>
      </c>
      <c r="BE34" s="13">
        <f>BD34*VLOOKUP('Données projet'!$B$11,Paramètres!$A$1:$I$89,3,0)*VLOOKUP('Données projet'!$B$11,Paramètres!$A$1:$I$89,5,0)</f>
        <v>104.8103428571429</v>
      </c>
      <c r="BF34" s="13">
        <f t="shared" si="37"/>
        <v>28.104843056220705</v>
      </c>
      <c r="BG34" s="20">
        <f t="shared" si="7"/>
        <v>231.49394879910827</v>
      </c>
      <c r="BH34" s="59">
        <f t="shared" si="8"/>
        <v>507.7681868633365</v>
      </c>
      <c r="BI34" s="59">
        <f ca="1">AVERAGE(OFFSET($BH$3,0,0,'Données projet'!$E$11+1,1))-AVERAGE(OFFSET($H$3,0,0,'Données projet'!$E$11+1,1))</f>
        <v>376.5647919688821</v>
      </c>
      <c r="BJ34" s="59">
        <f t="shared" si="38"/>
        <v>340.34037344565581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3.2112823375673272</v>
      </c>
      <c r="BQ34" s="21">
        <f>EXP(-LN(2)/25)*BQ33+(1-EXP(-LN(2)/25))/(LN(2)/25)*Calculateur!BL34*Calculateur!BN34*VLOOKUP('Données projet'!$B$11,Paramètres!$A$1:$I$89,3,0)*0.475*44/12</f>
        <v>14.836031686359174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18.0473140239265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8.6</v>
      </c>
      <c r="BY34" s="12">
        <f>IF('Données projet'!$A$114&gt;35,BY33+BX34-CG33,IF(A34&lt;'Données projet'!$A$114,$BV$205^A34,IF(A34='Données projet'!$A$114,'Données projet'!$B$114,BY33+BX34-CG33)))</f>
        <v>101.59999999999998</v>
      </c>
      <c r="BZ34" s="13">
        <f>BY34*VLOOKUP('Données projet'!$B$12,Paramètres!$A$1:$I$89,3,0)*VLOOKUP('Données projet'!$B$12,Paramètres!$A$1:$I$89,5,0)</f>
        <v>103.02239999999999</v>
      </c>
      <c r="CA34" s="13">
        <f t="shared" si="39"/>
        <v>27.680790106744631</v>
      </c>
      <c r="CB34" s="20">
        <f t="shared" si="10"/>
        <v>227.64138943591354</v>
      </c>
      <c r="CC34" s="59">
        <f t="shared" si="11"/>
        <v>503.91562750014174</v>
      </c>
      <c r="CD34" s="59">
        <f ca="1">AVERAGE(OFFSET($CC$3,0,0,'Données projet'!$E$12+1,1))-AVERAGE(OFFSET($H$3,0,0,'Données projet'!$E$12+1,1))</f>
        <v>473.09076714002885</v>
      </c>
      <c r="CE34" s="59">
        <f t="shared" si="40"/>
        <v>311.6454557566534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9.1999999999999993</v>
      </c>
      <c r="CT34" s="12">
        <f>IF('Données projet'!$A$140&gt;35,CT33+CS34-DB33,IF(A34&lt;'Données projet'!$A$140,$CQ$205^A34,IF(A34='Données projet'!$A$140,'Données projet'!$B$140,CT33+CS34-DB33)))</f>
        <v>131.20000000000002</v>
      </c>
      <c r="CU34" s="17">
        <f>CT34*VLOOKUP('Données projet'!$B$13,Paramètres!$A$1:$I$89,3,0)*VLOOKUP('Données projet'!$B$13,Paramètres!$A$1:$I$89,5,0)</f>
        <v>114.61632000000004</v>
      </c>
      <c r="CV34" s="13">
        <f t="shared" si="41"/>
        <v>30.416009647934409</v>
      </c>
      <c r="CW34" s="20">
        <f t="shared" si="13"/>
        <v>252.59797413681915</v>
      </c>
      <c r="CX34" s="59">
        <f t="shared" si="14"/>
        <v>528.87221220104732</v>
      </c>
      <c r="CY34" s="59">
        <f ca="1">AVERAGE(OFFSET($CX$3,0,0,'Données projet'!$E$13+1,1))-AVERAGE(OFFSET($H$3,0,0,'Données projet'!$E$13+1,1))</f>
        <v>379.66247682099424</v>
      </c>
      <c r="CZ34" s="59">
        <f t="shared" si="42"/>
        <v>342.92507939604081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103.80000000000004</v>
      </c>
      <c r="DP34" s="17">
        <f>DO34*VLOOKUP('Données projet'!$B$14,Paramètres!$A$1:$I$89,3,0)*VLOOKUP('Données projet'!$B$14,Paramètres!$A$1:$I$89,5,0)</f>
        <v>98.77608000000005</v>
      </c>
      <c r="DQ34" s="13">
        <f t="shared" si="43"/>
        <v>26.670206833473124</v>
      </c>
      <c r="DR34" s="20">
        <f t="shared" si="16"/>
        <v>218.48561623496576</v>
      </c>
      <c r="DS34" s="59">
        <f t="shared" si="17"/>
        <v>494.75985429919399</v>
      </c>
      <c r="DT34" s="59">
        <f ca="1">AVERAGE(OFFSET($DS$3,0,0,'Données projet'!$E$14+1,1))-AVERAGE(OFFSET($H$3,0,0,'Données projet'!$E$14+1,1))</f>
        <v>544.64394576312384</v>
      </c>
      <c r="DU34" s="59">
        <f t="shared" si="44"/>
        <v>310.67291035925484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3.6</v>
      </c>
      <c r="EJ34" s="12">
        <f>IF('Données projet'!$A$192&gt;35,EJ33+EI34-ER33,IF(A34&lt;'Données projet'!$A$192,$EG$205^A34,IF(A34='Données projet'!$A$192,'Données projet'!$B$192,EJ33+EI34-ER33)))</f>
        <v>48.600000000000009</v>
      </c>
      <c r="EK34" s="17">
        <f>EJ34*VLOOKUP('Données projet'!$B$15,Paramètres!$A$1:$I$89,3,0)*VLOOKUP('Données projet'!$B$15,Paramètres!$A$1:$I$89,5,0)</f>
        <v>47.00592000000001</v>
      </c>
      <c r="EL34" s="13">
        <f t="shared" si="45"/>
        <v>13.83776861377101</v>
      </c>
      <c r="EM34" s="20">
        <f t="shared" si="19"/>
        <v>105.9694243356512</v>
      </c>
      <c r="EN34" s="59">
        <f t="shared" si="20"/>
        <v>382.24366239987938</v>
      </c>
      <c r="EO34" s="59">
        <f ca="1">AVERAGE(OFFSET($EN$3,0,0,'Données projet'!$E$15+1,1))-AVERAGE(OFFSET($H$3,0,0,'Données projet'!$E$15+1,1))</f>
        <v>276.72865583771579</v>
      </c>
      <c r="EP34" s="59">
        <f t="shared" si="46"/>
        <v>174.3587092851154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65.347519472062245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4.25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15.583333333333334</v>
      </c>
      <c r="H35" s="67">
        <f t="shared" si="1"/>
        <v>222.56666666666669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19.184615384615398</v>
      </c>
      <c r="M35" s="12">
        <f t="array" ref="M35">INDEX(L:L,MIN(IF(ISNUMBER(L35:L231),ROW(L35:L231),"")))</f>
        <v>19.184615384615398</v>
      </c>
      <c r="N35" s="13">
        <f>IF('Données projet'!$A$36&gt;35,N34+M35-V34,IF(A35&lt;'Données projet'!$A$36,$K$205^A35,IF(A35='Données projet'!$A$36,'Données projet'!$B$36,N34+M35-V34)))</f>
        <v>318.79230769230765</v>
      </c>
      <c r="O35" s="13">
        <f>N35*VLOOKUP('Données projet'!$B$9,Paramètres!$A$1:$I$89,3,0)*VLOOKUP('Données projet'!$B$9,Paramètres!$A$1:$I$89,5,0)</f>
        <v>190.63779999999997</v>
      </c>
      <c r="P35" s="13">
        <f t="shared" si="33"/>
        <v>47.680933861376566</v>
      </c>
      <c r="Q35" s="20">
        <f t="shared" ref="Q35:Q66" si="53">(O35+P35)*0.475*44/12</f>
        <v>415.07179480856411</v>
      </c>
      <c r="R35" s="59">
        <f t="shared" si="0"/>
        <v>692.13175525034399</v>
      </c>
      <c r="S35" s="59">
        <f ca="1">AVERAGE(OFFSET($R$3,0,0,'Données projet'!$E$9+1,1))-AVERAGE(OFFSET($H$3,0,0,'Données projet'!$E$9+1,1))</f>
        <v>341.11752883785607</v>
      </c>
      <c r="T35" s="59">
        <f t="shared" si="34"/>
        <v>423.15445896616234</v>
      </c>
      <c r="U35" s="15">
        <f>IF(ISNA(VLOOKUP(A35,'Données projet'!$A$35:$I$55,3,0)),0,VLOOKUP(A35,'Données projet'!$A$35:$I$55,3,0))</f>
        <v>6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9.0000000000000011E-2</v>
      </c>
      <c r="X35" s="16">
        <f>IF(ISNA(VLOOKUP(A35,'Données projet'!$A$35:$I$55,6,0)),0%,VLOOKUP(A35,'Données projet'!$A$35:$I$55,6,0)*VLOOKUP('Données projet'!$B$9,Paramètres!$A$1:$I$89,7,0))</f>
        <v>0.22500000000000001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6.0960058379479198</v>
      </c>
      <c r="AA35" s="21">
        <f>EXP(-LN(2)/25)*AA34+(1-EXP(-LN(2)/25))/(LN(2)/25)*Calculateur!V35*Calculateur!X35*VLOOKUP('Données projet'!$B$9,Paramètres!$A$1:$I$89,3,0)*0.475*44/12</f>
        <v>21.823849387920244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27.919855225868165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103.69008000000004</v>
      </c>
      <c r="AK35" s="13">
        <f t="shared" si="35"/>
        <v>27.83924565319537</v>
      </c>
      <c r="AL35" s="20">
        <f t="shared" si="4"/>
        <v>229.08024217931529</v>
      </c>
      <c r="AM35" s="59">
        <f t="shared" si="5"/>
        <v>506.14020262109511</v>
      </c>
      <c r="AN35" s="59">
        <f ca="1">AVERAGE(OFFSET($AM$3,0,0,'Données projet'!$E$10+1,1))-AVERAGE(OFFSET($H$3,0,0,'Données projet'!$E$10+1,1))</f>
        <v>521.72266623522626</v>
      </c>
      <c r="AO35" s="59">
        <f t="shared" si="36"/>
        <v>298.49205684341825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15.48351648351648</v>
      </c>
      <c r="BD35" s="12">
        <f>IF('Données projet'!$A$88&gt;35,BD34+BC35-BL34,IF(A35&lt;'Données projet'!$A$88,$BA$205^A35,IF(A35='Données projet'!$A$88,'Données projet'!$B$88,BD34+BC35-BL34)))</f>
        <v>190.75164835164838</v>
      </c>
      <c r="BE35" s="13">
        <f>BD35*VLOOKUP('Données projet'!$B$11,Paramètres!$A$1:$I$89,3,0)*VLOOKUP('Données projet'!$B$11,Paramètres!$A$1:$I$89,5,0)</f>
        <v>114.06948571428575</v>
      </c>
      <c r="BF35" s="13">
        <f t="shared" si="37"/>
        <v>30.287750600607666</v>
      </c>
      <c r="BG35" s="20">
        <f t="shared" si="7"/>
        <v>251.42218658177271</v>
      </c>
      <c r="BH35" s="59">
        <f t="shared" si="8"/>
        <v>528.48214702355256</v>
      </c>
      <c r="BI35" s="59">
        <f ca="1">AVERAGE(OFFSET($BH$3,0,0,'Données projet'!$E$11+1,1))-AVERAGE(OFFSET($H$3,0,0,'Données projet'!$E$11+1,1))</f>
        <v>376.5647919688821</v>
      </c>
      <c r="BJ35" s="59">
        <f t="shared" si="38"/>
        <v>340.34037344565581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3.1483110496164532</v>
      </c>
      <c r="BQ35" s="21">
        <f>EXP(-LN(2)/25)*BQ34+(1-EXP(-LN(2)/25))/(LN(2)/25)*Calculateur!BL35*Calculateur!BN35*VLOOKUP('Données projet'!$B$11,Paramètres!$A$1:$I$89,3,0)*0.475*44/12</f>
        <v>14.430339619702684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17.578650669319138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8.6</v>
      </c>
      <c r="BY35" s="12">
        <f>IF('Données projet'!$A$114&gt;35,BY34+BX35-CG34,IF(A35&lt;'Données projet'!$A$114,$BV$205^A35,IF(A35='Données projet'!$A$114,'Données projet'!$B$114,BY34+BX35-CG34)))</f>
        <v>110.19999999999997</v>
      </c>
      <c r="BZ35" s="13">
        <f>BY35*VLOOKUP('Données projet'!$B$12,Paramètres!$A$1:$I$89,3,0)*VLOOKUP('Données projet'!$B$12,Paramètres!$A$1:$I$89,5,0)</f>
        <v>111.74279999999997</v>
      </c>
      <c r="CA35" s="13">
        <f t="shared" si="39"/>
        <v>29.741225429709573</v>
      </c>
      <c r="CB35" s="20">
        <f t="shared" si="10"/>
        <v>246.4180109567441</v>
      </c>
      <c r="CC35" s="59">
        <f t="shared" si="11"/>
        <v>523.47797139852389</v>
      </c>
      <c r="CD35" s="59">
        <f ca="1">AVERAGE(OFFSET($CC$3,0,0,'Données projet'!$E$12+1,1))-AVERAGE(OFFSET($H$3,0,0,'Données projet'!$E$12+1,1))</f>
        <v>473.09076714002885</v>
      </c>
      <c r="CE35" s="59">
        <f t="shared" si="40"/>
        <v>311.6454557566534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9.1999999999999993</v>
      </c>
      <c r="CT35" s="12">
        <f>IF('Données projet'!$A$140&gt;35,CT34+CS35-DB34,IF(A35&lt;'Données projet'!$A$140,$CQ$205^A35,IF(A35='Données projet'!$A$140,'Données projet'!$B$140,CT34+CS35-DB34)))</f>
        <v>140.4</v>
      </c>
      <c r="CU35" s="17">
        <f>CT35*VLOOKUP('Données projet'!$B$13,Paramètres!$A$1:$I$89,3,0)*VLOOKUP('Données projet'!$B$13,Paramètres!$A$1:$I$89,5,0)</f>
        <v>122.65344000000002</v>
      </c>
      <c r="CV35" s="13">
        <f t="shared" si="41"/>
        <v>32.293080640759037</v>
      </c>
      <c r="CW35" s="20">
        <f t="shared" si="13"/>
        <v>269.8651901159887</v>
      </c>
      <c r="CX35" s="59">
        <f t="shared" si="14"/>
        <v>546.92515055776857</v>
      </c>
      <c r="CY35" s="59">
        <f ca="1">AVERAGE(OFFSET($CX$3,0,0,'Données projet'!$E$13+1,1))-AVERAGE(OFFSET($H$3,0,0,'Données projet'!$E$13+1,1))</f>
        <v>379.66247682099424</v>
      </c>
      <c r="CZ35" s="59">
        <f t="shared" si="42"/>
        <v>342.92507939604081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114.60000000000004</v>
      </c>
      <c r="DP35" s="17">
        <f>DO35*VLOOKUP('Données projet'!$B$14,Paramètres!$A$1:$I$89,3,0)*VLOOKUP('Données projet'!$B$14,Paramètres!$A$1:$I$89,5,0)</f>
        <v>109.05336000000004</v>
      </c>
      <c r="DQ35" s="13">
        <f t="shared" si="43"/>
        <v>29.107836736265032</v>
      </c>
      <c r="DR35" s="20">
        <f t="shared" si="16"/>
        <v>240.63075098232832</v>
      </c>
      <c r="DS35" s="59">
        <f t="shared" si="17"/>
        <v>517.69071142410814</v>
      </c>
      <c r="DT35" s="59">
        <f ca="1">AVERAGE(OFFSET($DS$3,0,0,'Données projet'!$E$14+1,1))-AVERAGE(OFFSET($H$3,0,0,'Données projet'!$E$14+1,1))</f>
        <v>544.64394576312384</v>
      </c>
      <c r="DU35" s="59">
        <f t="shared" si="44"/>
        <v>310.67291035925484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3.6</v>
      </c>
      <c r="EJ35" s="12">
        <f>IF('Données projet'!$A$192&gt;35,EJ34+EI35-ER34,IF(A35&lt;'Données projet'!$A$192,$EG$205^A35,IF(A35='Données projet'!$A$192,'Données projet'!$B$192,EJ34+EI35-ER34)))</f>
        <v>52.20000000000001</v>
      </c>
      <c r="EK35" s="17">
        <f>EJ35*VLOOKUP('Données projet'!$B$15,Paramètres!$A$1:$I$89,3,0)*VLOOKUP('Données projet'!$B$15,Paramètres!$A$1:$I$89,5,0)</f>
        <v>50.487840000000006</v>
      </c>
      <c r="EL35" s="13">
        <f t="shared" si="45"/>
        <v>14.73967518815938</v>
      </c>
      <c r="EM35" s="20">
        <f t="shared" si="19"/>
        <v>113.60458895271091</v>
      </c>
      <c r="EN35" s="59">
        <f t="shared" si="20"/>
        <v>390.66454939449073</v>
      </c>
      <c r="EO35" s="59">
        <f ca="1">AVERAGE(OFFSET($EN$3,0,0,'Données projet'!$E$15+1,1))-AVERAGE(OFFSET($H$3,0,0,'Données projet'!$E$15+1,1))</f>
        <v>276.72865583771579</v>
      </c>
      <c r="EP35" s="59">
        <f t="shared" si="46"/>
        <v>174.3587092851154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65.561807393212675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4.25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15.583333333333334</v>
      </c>
      <c r="H36" s="67">
        <f t="shared" si="1"/>
        <v>222.56666666666669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18.032692307692301</v>
      </c>
      <c r="N36" s="13">
        <f>IF('Données projet'!$A$36&gt;35,N35+M36-V35,IF(A36&lt;'Données projet'!$A$36,$K$205^A36,IF(A36='Données projet'!$A$36,'Données projet'!$B$36,N35+M36-V35)))</f>
        <v>272.301923076923</v>
      </c>
      <c r="O36" s="13">
        <f>N36*VLOOKUP('Données projet'!$B$9,Paramètres!$A$1:$I$89,3,0)*VLOOKUP('Données projet'!$B$9,Paramètres!$A$1:$I$89,5,0)</f>
        <v>162.83654999999996</v>
      </c>
      <c r="P36" s="13">
        <f t="shared" si="33"/>
        <v>41.481651357687618</v>
      </c>
      <c r="Q36" s="20">
        <f t="shared" si="53"/>
        <v>355.85420069797254</v>
      </c>
      <c r="R36" s="59">
        <f t="shared" si="0"/>
        <v>633.68625299066548</v>
      </c>
      <c r="S36" s="59">
        <f ca="1">AVERAGE(OFFSET($R$3,0,0,'Données projet'!$E$9+1,1))-AVERAGE(OFFSET($H$3,0,0,'Données projet'!$E$9+1,1))</f>
        <v>341.11752883785607</v>
      </c>
      <c r="T36" s="59">
        <f t="shared" si="34"/>
        <v>423.15445896616234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5.9764668816621809</v>
      </c>
      <c r="AA36" s="21">
        <f>EXP(-LN(2)/25)*AA35+(1-EXP(-LN(2)/25))/(LN(2)/25)*Calculateur!V36*Calculateur!X36*VLOOKUP('Données projet'!$B$9,Paramètres!$A$1:$I$89,3,0)*0.475*44/12</f>
        <v>21.227075078741205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27.203541960403385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113.46192000000002</v>
      </c>
      <c r="AK36" s="13">
        <f t="shared" si="35"/>
        <v>30.145163126535493</v>
      </c>
      <c r="AL36" s="20">
        <f t="shared" si="4"/>
        <v>250.11566977871598</v>
      </c>
      <c r="AM36" s="59">
        <f t="shared" si="5"/>
        <v>527.94772207140898</v>
      </c>
      <c r="AN36" s="59">
        <f ca="1">AVERAGE(OFFSET($AM$3,0,0,'Données projet'!$E$10+1,1))-AVERAGE(OFFSET($H$3,0,0,'Données projet'!$E$10+1,1))</f>
        <v>521.72266623522626</v>
      </c>
      <c r="AO36" s="59">
        <f t="shared" si="36"/>
        <v>298.49205684341825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15.48351648351648</v>
      </c>
      <c r="BD36" s="12">
        <f>IF('Données projet'!$A$88&gt;35,BD35+BC36-BL35,IF(A36&lt;'Données projet'!$A$88,$BA$205^A36,IF(A36='Données projet'!$A$88,'Données projet'!$B$88,BD35+BC36-BL35)))</f>
        <v>206.23516483516485</v>
      </c>
      <c r="BE36" s="13">
        <f>BD36*VLOOKUP('Données projet'!$B$11,Paramètres!$A$1:$I$89,3,0)*VLOOKUP('Données projet'!$B$11,Paramètres!$A$1:$I$89,5,0)</f>
        <v>123.3286285714286</v>
      </c>
      <c r="BF36" s="13">
        <f t="shared" si="37"/>
        <v>32.450106672465495</v>
      </c>
      <c r="BG36" s="20">
        <f t="shared" si="7"/>
        <v>271.31463054978218</v>
      </c>
      <c r="BH36" s="59">
        <f t="shared" si="8"/>
        <v>549.14668284247523</v>
      </c>
      <c r="BI36" s="59">
        <f ca="1">AVERAGE(OFFSET($BH$3,0,0,'Données projet'!$E$11+1,1))-AVERAGE(OFFSET($H$3,0,0,'Données projet'!$E$11+1,1))</f>
        <v>376.5647919688821</v>
      </c>
      <c r="BJ36" s="59">
        <f t="shared" si="38"/>
        <v>340.34037344565581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3.086574590213603</v>
      </c>
      <c r="BQ36" s="21">
        <f>EXP(-LN(2)/25)*BQ35+(1-EXP(-LN(2)/25))/(LN(2)/25)*Calculateur!BL36*Calculateur!BN36*VLOOKUP('Données projet'!$B$11,Paramètres!$A$1:$I$89,3,0)*0.475*44/12</f>
        <v>14.035741223943335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17.122315814156938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8.6</v>
      </c>
      <c r="BY36" s="12">
        <f>IF('Données projet'!$A$114&gt;35,BY35+BX36-CG35,IF(A36&lt;'Données projet'!$A$114,$BV$205^A36,IF(A36='Données projet'!$A$114,'Données projet'!$B$114,BY35+BX36-CG35)))</f>
        <v>118.79999999999997</v>
      </c>
      <c r="BZ36" s="13">
        <f>BY36*VLOOKUP('Données projet'!$B$12,Paramètres!$A$1:$I$89,3,0)*VLOOKUP('Données projet'!$B$12,Paramètres!$A$1:$I$89,5,0)</f>
        <v>120.46319999999999</v>
      </c>
      <c r="CA36" s="13">
        <f t="shared" si="39"/>
        <v>31.783008852299023</v>
      </c>
      <c r="CB36" s="20">
        <f t="shared" si="10"/>
        <v>265.16214708442078</v>
      </c>
      <c r="CC36" s="59">
        <f t="shared" si="11"/>
        <v>542.99419937711377</v>
      </c>
      <c r="CD36" s="59">
        <f ca="1">AVERAGE(OFFSET($CC$3,0,0,'Données projet'!$E$12+1,1))-AVERAGE(OFFSET($H$3,0,0,'Données projet'!$E$12+1,1))</f>
        <v>473.09076714002885</v>
      </c>
      <c r="CE36" s="59">
        <f t="shared" si="40"/>
        <v>311.6454557566534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9.1999999999999993</v>
      </c>
      <c r="CT36" s="12">
        <f>IF('Données projet'!$A$140&gt;35,CT35+CS36-DB35,IF(A36&lt;'Données projet'!$A$140,$CQ$205^A36,IF(A36='Données projet'!$A$140,'Données projet'!$B$140,CT35+CS36-DB35)))</f>
        <v>149.6</v>
      </c>
      <c r="CU36" s="17">
        <f>CT36*VLOOKUP('Données projet'!$B$13,Paramètres!$A$1:$I$89,3,0)*VLOOKUP('Données projet'!$B$13,Paramètres!$A$1:$I$89,5,0)</f>
        <v>130.69056000000003</v>
      </c>
      <c r="CV36" s="13">
        <f t="shared" si="41"/>
        <v>34.155878238422723</v>
      </c>
      <c r="CW36" s="20">
        <f t="shared" si="13"/>
        <v>287.10754659858628</v>
      </c>
      <c r="CX36" s="59">
        <f t="shared" si="14"/>
        <v>564.93959889127927</v>
      </c>
      <c r="CY36" s="59">
        <f ca="1">AVERAGE(OFFSET($CX$3,0,0,'Données projet'!$E$13+1,1))-AVERAGE(OFFSET($H$3,0,0,'Données projet'!$E$13+1,1))</f>
        <v>379.66247682099424</v>
      </c>
      <c r="CZ36" s="59">
        <f t="shared" si="42"/>
        <v>342.92507939604081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125.40000000000003</v>
      </c>
      <c r="DP36" s="17">
        <f>DO36*VLOOKUP('Données projet'!$B$14,Paramètres!$A$1:$I$89,3,0)*VLOOKUP('Données projet'!$B$14,Paramètres!$A$1:$I$89,5,0)</f>
        <v>119.33064000000003</v>
      </c>
      <c r="DQ36" s="13">
        <f t="shared" si="43"/>
        <v>31.518831278912842</v>
      </c>
      <c r="DR36" s="20">
        <f t="shared" si="16"/>
        <v>262.72949581077319</v>
      </c>
      <c r="DS36" s="59">
        <f t="shared" si="17"/>
        <v>540.56154810346618</v>
      </c>
      <c r="DT36" s="59">
        <f ca="1">AVERAGE(OFFSET($DS$3,0,0,'Données projet'!$E$14+1,1))-AVERAGE(OFFSET($H$3,0,0,'Données projet'!$E$14+1,1))</f>
        <v>544.64394576312384</v>
      </c>
      <c r="DU36" s="59">
        <f t="shared" si="44"/>
        <v>310.67291035925484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3.6</v>
      </c>
      <c r="EJ36" s="12">
        <f>IF('Données projet'!$A$192&gt;35,EJ35+EI36-ER35,IF(A36&lt;'Données projet'!$A$192,$EG$205^A36,IF(A36='Données projet'!$A$192,'Données projet'!$B$192,EJ35+EI36-ER35)))</f>
        <v>55.800000000000011</v>
      </c>
      <c r="EK36" s="17">
        <f>EJ36*VLOOKUP('Données projet'!$B$15,Paramètres!$A$1:$I$89,3,0)*VLOOKUP('Données projet'!$B$15,Paramètres!$A$1:$I$89,5,0)</f>
        <v>53.969760000000008</v>
      </c>
      <c r="EL36" s="13">
        <f t="shared" si="45"/>
        <v>15.634364575776658</v>
      </c>
      <c r="EM36" s="20">
        <f t="shared" si="19"/>
        <v>121.22718363614437</v>
      </c>
      <c r="EN36" s="59">
        <f t="shared" si="20"/>
        <v>399.05923592883738</v>
      </c>
      <c r="EO36" s="59">
        <f ca="1">AVERAGE(OFFSET($EN$3,0,0,'Données projet'!$E$15+1,1))-AVERAGE(OFFSET($H$3,0,0,'Données projet'!$E$15+1,1))</f>
        <v>276.72865583771579</v>
      </c>
      <c r="EP36" s="59">
        <f t="shared" si="46"/>
        <v>174.3587092851154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65.772377898007178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4.25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15.583333333333334</v>
      </c>
      <c r="H37" s="67">
        <f t="shared" si="1"/>
        <v>222.56666666666669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18.032692307692301</v>
      </c>
      <c r="N37" s="13">
        <f>IF('Données projet'!$A$36&gt;35,N36+M37-V36,IF(A37&lt;'Données projet'!$A$36,$K$205^A37,IF(A37='Données projet'!$A$36,'Données projet'!$B$36,N36+M37-V36)))</f>
        <v>290.33461538461529</v>
      </c>
      <c r="O37" s="13">
        <f>N37*VLOOKUP('Données projet'!$B$9,Paramètres!$A$1:$I$89,3,0)*VLOOKUP('Données projet'!$B$9,Paramètres!$A$1:$I$89,5,0)</f>
        <v>173.62009999999995</v>
      </c>
      <c r="P37" s="13">
        <f t="shared" si="33"/>
        <v>43.899808590489116</v>
      </c>
      <c r="Q37" s="20">
        <f t="shared" si="53"/>
        <v>378.84717412843514</v>
      </c>
      <c r="R37" s="59">
        <f t="shared" si="0"/>
        <v>657.4379242045668</v>
      </c>
      <c r="S37" s="59">
        <f ca="1">AVERAGE(OFFSET($R$3,0,0,'Données projet'!$E$9+1,1))-AVERAGE(OFFSET($H$3,0,0,'Données projet'!$E$9+1,1))</f>
        <v>341.11752883785607</v>
      </c>
      <c r="T37" s="59">
        <f t="shared" si="34"/>
        <v>423.15445896616234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5.8592720113976418</v>
      </c>
      <c r="AA37" s="21">
        <f>EXP(-LN(2)/25)*AA36+(1-EXP(-LN(2)/25))/(LN(2)/25)*Calculateur!V37*Calculateur!X37*VLOOKUP('Données projet'!$B$9,Paramètres!$A$1:$I$89,3,0)*0.475*44/12</f>
        <v>20.646619594429662</v>
      </c>
      <c r="AB37" s="21">
        <f>EXP(-LN(2)/2)*AB36+(1-EXP(-LN(2)/2))/(LN(2)/2)*V37*Y37*VLOOKUP('Données projet'!$B$9,Paramètres!$A$1:$I$89,3,0)*0.475*44/12</f>
        <v>0</v>
      </c>
      <c r="AC37" s="22">
        <f t="shared" si="3"/>
        <v>26.505891605827305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123.23376000000005</v>
      </c>
      <c r="AK37" s="13">
        <f t="shared" si="35"/>
        <v>32.428049504876491</v>
      </c>
      <c r="AL37" s="20">
        <f t="shared" si="4"/>
        <v>271.11098488765998</v>
      </c>
      <c r="AM37" s="59">
        <f t="shared" si="5"/>
        <v>549.70173496379152</v>
      </c>
      <c r="AN37" s="59">
        <f ca="1">AVERAGE(OFFSET($AM$3,0,0,'Données projet'!$E$10+1,1))-AVERAGE(OFFSET($H$3,0,0,'Données projet'!$E$10+1,1))</f>
        <v>521.72266623522626</v>
      </c>
      <c r="AO37" s="59">
        <f t="shared" si="36"/>
        <v>298.49205684341825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15.48351648351648</v>
      </c>
      <c r="BD37" s="12">
        <f>IF('Données projet'!$A$88&gt;35,BD36+BC37-BL36,IF(A37&lt;'Données projet'!$A$88,$BA$205^A37,IF(A37='Données projet'!$A$88,'Données projet'!$B$88,BD36+BC37-BL36)))</f>
        <v>221.71868131868132</v>
      </c>
      <c r="BE37" s="13">
        <f>BD37*VLOOKUP('Données projet'!$B$11,Paramètres!$A$1:$I$89,3,0)*VLOOKUP('Données projet'!$B$11,Paramètres!$A$1:$I$89,5,0)</f>
        <v>132.58777142857144</v>
      </c>
      <c r="BF37" s="13">
        <f t="shared" si="37"/>
        <v>34.593629659414489</v>
      </c>
      <c r="BG37" s="20">
        <f t="shared" si="7"/>
        <v>291.17427356157549</v>
      </c>
      <c r="BH37" s="59">
        <f t="shared" si="8"/>
        <v>569.76502363770715</v>
      </c>
      <c r="BI37" s="59">
        <f ca="1">AVERAGE(OFFSET($BH$3,0,0,'Données projet'!$E$11+1,1))-AVERAGE(OFFSET($H$3,0,0,'Données projet'!$E$11+1,1))</f>
        <v>376.5647919688821</v>
      </c>
      <c r="BJ37" s="59">
        <f t="shared" si="38"/>
        <v>340.34037344565581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3.0260487451241205</v>
      </c>
      <c r="BQ37" s="21">
        <f>EXP(-LN(2)/25)*BQ36+(1-EXP(-LN(2)/25))/(LN(2)/25)*Calculateur!BL37*Calculateur!BN37*VLOOKUP('Données projet'!$B$11,Paramètres!$A$1:$I$89,3,0)*0.475*44/12</f>
        <v>13.651933142067053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16.677981887191173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8.6</v>
      </c>
      <c r="BY37" s="12">
        <f>IF('Données projet'!$A$114&gt;35,BY36+BX37-CG36,IF(A37&lt;'Données projet'!$A$114,$BV$205^A37,IF(A37='Données projet'!$A$114,'Données projet'!$B$114,BY36+BX37-CG36)))</f>
        <v>127.39999999999996</v>
      </c>
      <c r="BZ37" s="13">
        <f>BY37*VLOOKUP('Données projet'!$B$12,Paramètres!$A$1:$I$89,3,0)*VLOOKUP('Données projet'!$B$12,Paramètres!$A$1:$I$89,5,0)</f>
        <v>129.18359999999996</v>
      </c>
      <c r="CA37" s="13">
        <f t="shared" si="39"/>
        <v>33.807644151387656</v>
      </c>
      <c r="CB37" s="20">
        <f t="shared" si="10"/>
        <v>283.87641689700007</v>
      </c>
      <c r="CC37" s="59">
        <f t="shared" si="11"/>
        <v>562.46716697313173</v>
      </c>
      <c r="CD37" s="59">
        <f ca="1">AVERAGE(OFFSET($CC$3,0,0,'Données projet'!$E$12+1,1))-AVERAGE(OFFSET($H$3,0,0,'Données projet'!$E$12+1,1))</f>
        <v>473.09076714002885</v>
      </c>
      <c r="CE37" s="59">
        <f t="shared" si="40"/>
        <v>311.6454557566534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9.1999999999999993</v>
      </c>
      <c r="CT37" s="12">
        <f>IF('Données projet'!$A$140&gt;35,CT36+CS37-DB36,IF(A37&lt;'Données projet'!$A$140,$CQ$205^A37,IF(A37='Données projet'!$A$140,'Données projet'!$B$140,CT36+CS37-DB36)))</f>
        <v>158.79999999999998</v>
      </c>
      <c r="CU37" s="17">
        <f>CT37*VLOOKUP('Données projet'!$B$13,Paramètres!$A$1:$I$89,3,0)*VLOOKUP('Données projet'!$B$13,Paramètres!$A$1:$I$89,5,0)</f>
        <v>138.72767999999999</v>
      </c>
      <c r="CV37" s="13">
        <f t="shared" si="41"/>
        <v>36.005380160492741</v>
      </c>
      <c r="CW37" s="20">
        <f t="shared" si="13"/>
        <v>304.32674644619152</v>
      </c>
      <c r="CX37" s="59">
        <f t="shared" si="14"/>
        <v>582.91749652232306</v>
      </c>
      <c r="CY37" s="59">
        <f ca="1">AVERAGE(OFFSET($CX$3,0,0,'Données projet'!$E$13+1,1))-AVERAGE(OFFSET($H$3,0,0,'Données projet'!$E$13+1,1))</f>
        <v>379.66247682099424</v>
      </c>
      <c r="CZ37" s="59">
        <f t="shared" si="42"/>
        <v>342.92507939604081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136.20000000000005</v>
      </c>
      <c r="DP37" s="17">
        <f>DO37*VLOOKUP('Données projet'!$B$14,Paramètres!$A$1:$I$89,3,0)*VLOOKUP('Données projet'!$B$14,Paramètres!$A$1:$I$89,5,0)</f>
        <v>129.60792000000004</v>
      </c>
      <c r="DQ37" s="13">
        <f t="shared" si="43"/>
        <v>33.905745235418173</v>
      </c>
      <c r="DR37" s="20">
        <f t="shared" si="16"/>
        <v>284.78630028501999</v>
      </c>
      <c r="DS37" s="59">
        <f t="shared" si="17"/>
        <v>563.37705036115153</v>
      </c>
      <c r="DT37" s="59">
        <f ca="1">AVERAGE(OFFSET($DS$3,0,0,'Données projet'!$E$14+1,1))-AVERAGE(OFFSET($H$3,0,0,'Données projet'!$E$14+1,1))</f>
        <v>544.64394576312384</v>
      </c>
      <c r="DU37" s="59">
        <f t="shared" si="44"/>
        <v>310.67291035925484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3.6</v>
      </c>
      <c r="EJ37" s="12">
        <f>IF('Données projet'!$A$192&gt;35,EJ36+EI37-ER36,IF(A37&lt;'Données projet'!$A$192,$EG$205^A37,IF(A37='Données projet'!$A$192,'Données projet'!$B$192,EJ36+EI37-ER36)))</f>
        <v>59.400000000000013</v>
      </c>
      <c r="EK37" s="17">
        <f>EJ37*VLOOKUP('Données projet'!$B$15,Paramètres!$A$1:$I$89,3,0)*VLOOKUP('Données projet'!$B$15,Paramètres!$A$1:$I$89,5,0)</f>
        <v>57.451680000000017</v>
      </c>
      <c r="EL37" s="13">
        <f t="shared" si="45"/>
        <v>16.522355395881359</v>
      </c>
      <c r="EM37" s="20">
        <f t="shared" si="19"/>
        <v>128.83811164782671</v>
      </c>
      <c r="EN37" s="59">
        <f t="shared" si="20"/>
        <v>407.42886172395833</v>
      </c>
      <c r="EO37" s="59">
        <f ca="1">AVERAGE(OFFSET($EN$3,0,0,'Données projet'!$E$15+1,1))-AVERAGE(OFFSET($H$3,0,0,'Données projet'!$E$15+1,1))</f>
        <v>276.72865583771579</v>
      </c>
      <c r="EP37" s="59">
        <f t="shared" si="46"/>
        <v>174.3587092851154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65.979295475308618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4.25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15.583333333333334</v>
      </c>
      <c r="H38" s="67">
        <f t="shared" si="1"/>
        <v>222.56666666666669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18.032692307692301</v>
      </c>
      <c r="N38" s="13">
        <f>IF('Données projet'!$A$36&gt;35,N37+M38-V37,IF(A38&lt;'Données projet'!$A$36,$K$205^A38,IF(A38='Données projet'!$A$36,'Données projet'!$B$36,N37+M38-V37)))</f>
        <v>308.36730769230758</v>
      </c>
      <c r="O38" s="13">
        <f>N38*VLOOKUP('Données projet'!$B$9,Paramètres!$A$1:$I$89,3,0)*VLOOKUP('Données projet'!$B$9,Paramètres!$A$1:$I$89,5,0)</f>
        <v>184.40364999999994</v>
      </c>
      <c r="P38" s="13">
        <f t="shared" si="33"/>
        <v>46.300534710480434</v>
      </c>
      <c r="Q38" s="20">
        <f t="shared" si="53"/>
        <v>401.80978837075327</v>
      </c>
      <c r="R38" s="59">
        <f t="shared" si="0"/>
        <v>681.14607451997495</v>
      </c>
      <c r="S38" s="59">
        <f ca="1">AVERAGE(OFFSET($R$3,0,0,'Données projet'!$E$9+1,1))-AVERAGE(OFFSET($H$3,0,0,'Données projet'!$E$9+1,1))</f>
        <v>341.11752883785607</v>
      </c>
      <c r="T38" s="59">
        <f t="shared" si="34"/>
        <v>423.15445896616234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5.7443752610571774</v>
      </c>
      <c r="AA38" s="21">
        <f>EXP(-LN(2)/25)*AA37+(1-EXP(-LN(2)/25))/(LN(2)/25)*Calculateur!V38*Calculateur!X38*VLOOKUP('Données projet'!$B$9,Paramètres!$A$1:$I$89,3,0)*0.475*44/12</f>
        <v>20.082036695861447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25.826411956918626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133.00560000000004</v>
      </c>
      <c r="AK38" s="13">
        <f t="shared" si="35"/>
        <v>34.689938673073549</v>
      </c>
      <c r="AL38" s="20">
        <f t="shared" si="4"/>
        <v>292.06972985560316</v>
      </c>
      <c r="AM38" s="59">
        <f t="shared" si="5"/>
        <v>571.40601600482478</v>
      </c>
      <c r="AN38" s="59">
        <f ca="1">AVERAGE(OFFSET($AM$3,0,0,'Données projet'!$E$10+1,1))-AVERAGE(OFFSET($H$3,0,0,'Données projet'!$E$10+1,1))</f>
        <v>521.72266623522626</v>
      </c>
      <c r="AO38" s="59">
        <f t="shared" si="36"/>
        <v>298.49205684341825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15.48351648351648</v>
      </c>
      <c r="BD38" s="12">
        <f>IF('Données projet'!$A$88&gt;35,BD37+BC38-BL37,IF(A38&lt;'Données projet'!$A$88,$BA$205^A38,IF(A38='Données projet'!$A$88,'Données projet'!$B$88,BD37+BC38-BL37)))</f>
        <v>237.20219780219779</v>
      </c>
      <c r="BE38" s="13">
        <f>BD38*VLOOKUP('Données projet'!$B$11,Paramètres!$A$1:$I$89,3,0)*VLOOKUP('Données projet'!$B$11,Paramètres!$A$1:$I$89,5,0)</f>
        <v>141.84691428571429</v>
      </c>
      <c r="BF38" s="13">
        <f t="shared" si="37"/>
        <v>36.719784353381193</v>
      </c>
      <c r="BG38" s="20">
        <f t="shared" si="7"/>
        <v>311.00366679642457</v>
      </c>
      <c r="BH38" s="59">
        <f t="shared" si="8"/>
        <v>590.33995294564625</v>
      </c>
      <c r="BI38" s="59">
        <f ca="1">AVERAGE(OFFSET($BH$3,0,0,'Données projet'!$E$11+1,1))-AVERAGE(OFFSET($H$3,0,0,'Données projet'!$E$11+1,1))</f>
        <v>376.5647919688821</v>
      </c>
      <c r="BJ38" s="59">
        <f t="shared" si="38"/>
        <v>340.34037344565581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2.9667097749397224</v>
      </c>
      <c r="BQ38" s="21">
        <f>EXP(-LN(2)/25)*BQ37+(1-EXP(-LN(2)/25))/(LN(2)/25)*Calculateur!BL38*Calculateur!BN38*VLOOKUP('Données projet'!$B$11,Paramètres!$A$1:$I$89,3,0)*0.475*44/12</f>
        <v>13.278620312373267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16.24533008731299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136</v>
      </c>
      <c r="BW38" s="12">
        <f>VLOOKUP(A38,'Données projet'!$A$113:$I$133,9,0)</f>
        <v>8.6</v>
      </c>
      <c r="BX38" s="12">
        <f t="array" ref="BX38">INDEX(BW:BW,MIN(IF(ISNUMBER(BW38:BW234),ROW(BW38:BW234),"")))</f>
        <v>8.6</v>
      </c>
      <c r="BY38" s="12">
        <f>IF('Données projet'!$A$114&gt;35,BY37+BX38-CG37,IF(A38&lt;'Données projet'!$A$114,$BV$205^A38,IF(A38='Données projet'!$A$114,'Données projet'!$B$114,BY37+BX38-CG37)))</f>
        <v>135.99999999999997</v>
      </c>
      <c r="BZ38" s="13">
        <f>BY38*VLOOKUP('Données projet'!$B$12,Paramètres!$A$1:$I$89,3,0)*VLOOKUP('Données projet'!$B$12,Paramètres!$A$1:$I$89,5,0)</f>
        <v>137.904</v>
      </c>
      <c r="CA38" s="13">
        <f t="shared" si="39"/>
        <v>35.816420593519346</v>
      </c>
      <c r="CB38" s="20">
        <f t="shared" si="10"/>
        <v>302.56306586704619</v>
      </c>
      <c r="CC38" s="59">
        <f t="shared" si="11"/>
        <v>581.89935201626781</v>
      </c>
      <c r="CD38" s="59">
        <f ca="1">AVERAGE(OFFSET($CC$3,0,0,'Données projet'!$E$12+1,1))-AVERAGE(OFFSET($H$3,0,0,'Données projet'!$E$12+1,1))</f>
        <v>473.09076714002885</v>
      </c>
      <c r="CE38" s="59">
        <f t="shared" si="40"/>
        <v>311.6454557566534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168</v>
      </c>
      <c r="CR38" s="12">
        <f>VLOOKUP(A38,'Données projet'!$A$139:$I$159,9,0)</f>
        <v>9.1999999999999993</v>
      </c>
      <c r="CS38" s="12">
        <f t="array" ref="CS38">INDEX(CR:CR,MIN(IF(ISNUMBER(CR38:CR234),ROW(CR38:CR234),"")))</f>
        <v>9.1999999999999993</v>
      </c>
      <c r="CT38" s="12">
        <f>IF('Données projet'!$A$140&gt;35,CT37+CS38-DB37,IF(A38&lt;'Données projet'!$A$140,$CQ$205^A38,IF(A38='Données projet'!$A$140,'Données projet'!$B$140,CT37+CS38-DB37)))</f>
        <v>167.99999999999997</v>
      </c>
      <c r="CU38" s="17">
        <f>CT38*VLOOKUP('Données projet'!$B$13,Paramètres!$A$1:$I$89,3,0)*VLOOKUP('Données projet'!$B$13,Paramètres!$A$1:$I$89,5,0)</f>
        <v>146.76480000000001</v>
      </c>
      <c r="CV38" s="13">
        <f t="shared" si="41"/>
        <v>37.842444439956665</v>
      </c>
      <c r="CW38" s="20">
        <f t="shared" si="13"/>
        <v>321.52428406625785</v>
      </c>
      <c r="CX38" s="59">
        <f t="shared" si="14"/>
        <v>600.86057021547947</v>
      </c>
      <c r="CY38" s="59">
        <f ca="1">AVERAGE(OFFSET($CX$3,0,0,'Données projet'!$E$13+1,1))-AVERAGE(OFFSET($H$3,0,0,'Données projet'!$E$13+1,1))</f>
        <v>379.66247682099424</v>
      </c>
      <c r="CZ38" s="59">
        <f t="shared" si="42"/>
        <v>342.92507939604081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27</v>
      </c>
      <c r="DC38" s="16">
        <f>IF(ISNA(VLOOKUP(A38,'Données projet'!$A$139:$I$159,5,0)),0%,VLOOKUP(A38,'Données projet'!$A$139:$I$159,5,0)*VLOOKUP('Données projet'!$B$13,Paramètres!$A$1:$I$89,7,0))</f>
        <v>0.25800000000000001</v>
      </c>
      <c r="DD38" s="16">
        <f>IF(ISNA(VLOOKUP(A38,'Données projet'!$A$139:$I$159,6,0)),0%,VLOOKUP(A38,'Données projet'!$A$139:$I$159,6,0)*VLOOKUP('Données projet'!$B$13,Paramètres!$A$1:$I$89,7,0))</f>
        <v>8.6000000000000007E-2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6.727337341518858</v>
      </c>
      <c r="DG38" s="21">
        <f>EXP(-LN(2)/25)*DG37+(1-EXP(-LN(2)/25))/(LN(2)/25)*Calculateur!DB38*Calculateur!DD38*VLOOKUP('Données projet'!$B$13,Paramètres!$A$1:$I$89,3,0)*0.475*44/12</f>
        <v>2.2336164170296033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8.9609537585484613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147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147.00000000000006</v>
      </c>
      <c r="DP38" s="17">
        <f>DO38*VLOOKUP('Données projet'!$B$14,Paramètres!$A$1:$I$89,3,0)*VLOOKUP('Données projet'!$B$14,Paramètres!$A$1:$I$89,5,0)</f>
        <v>139.88520000000005</v>
      </c>
      <c r="DQ38" s="13">
        <f t="shared" si="43"/>
        <v>36.270705171602728</v>
      </c>
      <c r="DR38" s="20">
        <f t="shared" si="16"/>
        <v>306.80486817387487</v>
      </c>
      <c r="DS38" s="59">
        <f t="shared" si="17"/>
        <v>586.14115432309654</v>
      </c>
      <c r="DT38" s="59">
        <f ca="1">AVERAGE(OFFSET($DS$3,0,0,'Données projet'!$E$14+1,1))-AVERAGE(OFFSET($H$3,0,0,'Données projet'!$E$14+1,1))</f>
        <v>544.64394576312384</v>
      </c>
      <c r="DU38" s="59">
        <f t="shared" si="44"/>
        <v>310.67291035925484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63</v>
      </c>
      <c r="EH38" s="12">
        <f>VLOOKUP(A38,'Données projet'!$A$191:$I$211,9,0)</f>
        <v>3.6</v>
      </c>
      <c r="EI38" s="12">
        <f t="array" ref="EI38">INDEX(EH:EH,MIN(IF(ISNUMBER(EH38:EH234),ROW(EH38:EH234),"")))</f>
        <v>3.6</v>
      </c>
      <c r="EJ38" s="12">
        <f>IF('Données projet'!$A$192&gt;35,EJ37+EI38-ER37,IF(A38&lt;'Données projet'!$A$192,$EG$205^A38,IF(A38='Données projet'!$A$192,'Données projet'!$B$192,EJ37+EI38-ER37)))</f>
        <v>63.000000000000014</v>
      </c>
      <c r="EK38" s="17">
        <f>EJ38*VLOOKUP('Données projet'!$B$15,Paramètres!$A$1:$I$89,3,0)*VLOOKUP('Données projet'!$B$15,Paramètres!$A$1:$I$89,5,0)</f>
        <v>60.93360000000002</v>
      </c>
      <c r="EL38" s="13">
        <f t="shared" si="45"/>
        <v>17.404099852856145</v>
      </c>
      <c r="EM38" s="20">
        <f t="shared" si="19"/>
        <v>136.4381605770578</v>
      </c>
      <c r="EN38" s="59">
        <f t="shared" si="20"/>
        <v>415.77444672627939</v>
      </c>
      <c r="EO38" s="59">
        <f ca="1">AVERAGE(OFFSET($EN$3,0,0,'Données projet'!$E$15+1,1))-AVERAGE(OFFSET($H$3,0,0,'Données projet'!$E$15+1,1))</f>
        <v>276.72865583771579</v>
      </c>
      <c r="EP38" s="59">
        <f t="shared" si="46"/>
        <v>174.3587092851154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8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66.182623495242268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4.25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15.583333333333334</v>
      </c>
      <c r="H39" s="67">
        <f t="shared" si="1"/>
        <v>222.56666666666669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326.39999999999998</v>
      </c>
      <c r="L39" s="12">
        <f>VLOOKUP(A39,'Données projet'!$A$35:$I$55,9,0)</f>
        <v>18.032692307692301</v>
      </c>
      <c r="M39" s="12">
        <f t="array" ref="M39">INDEX(L:L,MIN(IF(ISNUMBER(L39:L235),ROW(L39:L235),"")))</f>
        <v>18.032692307692301</v>
      </c>
      <c r="N39" s="13">
        <f>IF('Données projet'!$A$36&gt;35,N38+M39-V38,IF(A39&lt;'Données projet'!$A$36,$K$205^A39,IF(A39='Données projet'!$A$36,'Données projet'!$B$36,N38+M39-V38)))</f>
        <v>326.39999999999986</v>
      </c>
      <c r="O39" s="13">
        <f>N39*VLOOKUP('Données projet'!$B$9,Paramètres!$A$1:$I$89,3,0)*VLOOKUP('Données projet'!$B$9,Paramètres!$A$1:$I$89,5,0)</f>
        <v>195.18719999999993</v>
      </c>
      <c r="P39" s="13">
        <f t="shared" si="33"/>
        <v>48.684965171431614</v>
      </c>
      <c r="Q39" s="20">
        <f t="shared" si="53"/>
        <v>424.74402100690992</v>
      </c>
      <c r="R39" s="59">
        <f t="shared" si="0"/>
        <v>704.81290984512248</v>
      </c>
      <c r="S39" s="59">
        <f ca="1">AVERAGE(OFFSET($R$3,0,0,'Données projet'!$E$9+1,1))-AVERAGE(OFFSET($H$3,0,0,'Données projet'!$E$9+1,1))</f>
        <v>341.11752883785607</v>
      </c>
      <c r="T39" s="59">
        <f t="shared" si="34"/>
        <v>423.15445896616234</v>
      </c>
      <c r="U39" s="15">
        <f>IF(ISNA(VLOOKUP(A39,'Données projet'!$A$35:$I$55,3,0)),0,VLOOKUP(A39,'Données projet'!$A$35:$I$55,3,0))</f>
        <v>7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9.0000000000000011E-2</v>
      </c>
      <c r="X39" s="16">
        <f>IF(ISNA(VLOOKUP(A39,'Données projet'!$A$35:$I$55,6,0)),0%,VLOOKUP(A39,'Données projet'!$A$35:$I$55,6,0)*VLOOKUP('Données projet'!$B$9,Paramètres!$A$1:$I$89,7,0))</f>
        <v>0.22500000000000001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5.6317315659107914</v>
      </c>
      <c r="AA39" s="21">
        <f>EXP(-LN(2)/25)*AA38+(1-EXP(-LN(2)/25))/(LN(2)/25)*Calculateur!V39*Calculateur!X39*VLOOKUP('Données projet'!$B$9,Paramètres!$A$1:$I$89,3,0)*0.475*44/12</f>
        <v>19.532892346344703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25.164623912255493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117.80496000000004</v>
      </c>
      <c r="AK39" s="13">
        <f t="shared" si="35"/>
        <v>31.162493487829593</v>
      </c>
      <c r="AL39" s="20">
        <f t="shared" si="4"/>
        <v>259.45164815796994</v>
      </c>
      <c r="AM39" s="59">
        <f t="shared" si="5"/>
        <v>539.5205369961825</v>
      </c>
      <c r="AN39" s="59">
        <f ca="1">AVERAGE(OFFSET($AM$3,0,0,'Données projet'!$E$10+1,1))-AVERAGE(OFFSET($H$3,0,0,'Données projet'!$E$10+1,1))</f>
        <v>521.72266623522626</v>
      </c>
      <c r="AO39" s="59">
        <f t="shared" si="36"/>
        <v>298.49205684341825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15.48351648351648</v>
      </c>
      <c r="BD39" s="12">
        <f>IF('Données projet'!$A$88&gt;35,BD38+BC39-BL38,IF(A39&lt;'Données projet'!$A$88,$BA$205^A39,IF(A39='Données projet'!$A$88,'Données projet'!$B$88,BD38+BC39-BL38)))</f>
        <v>252.68571428571425</v>
      </c>
      <c r="BE39" s="13">
        <f>BD39*VLOOKUP('Données projet'!$B$11,Paramètres!$A$1:$I$89,3,0)*VLOOKUP('Données projet'!$B$11,Paramètres!$A$1:$I$89,5,0)</f>
        <v>151.10605714285714</v>
      </c>
      <c r="BF39" s="13">
        <f t="shared" si="37"/>
        <v>38.829833501111224</v>
      </c>
      <c r="BG39" s="20">
        <f t="shared" si="7"/>
        <v>330.80500953824486</v>
      </c>
      <c r="BH39" s="59">
        <f t="shared" si="8"/>
        <v>610.87389837645742</v>
      </c>
      <c r="BI39" s="59">
        <f ca="1">AVERAGE(OFFSET($BH$3,0,0,'Données projet'!$E$11+1,1))-AVERAGE(OFFSET($H$3,0,0,'Données projet'!$E$11+1,1))</f>
        <v>376.5647919688821</v>
      </c>
      <c r="BJ39" s="59">
        <f t="shared" si="38"/>
        <v>340.34037344565581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2.9085344057674427</v>
      </c>
      <c r="BQ39" s="21">
        <f>EXP(-LN(2)/25)*BQ38+(1-EXP(-LN(2)/25))/(LN(2)/25)*Calculateur!BL39*Calculateur!BN39*VLOOKUP('Données projet'!$B$11,Paramètres!$A$1:$I$89,3,0)*0.475*44/12</f>
        <v>12.915515741639126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15.824050147406568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8.8000000000000007</v>
      </c>
      <c r="BY39" s="12">
        <f>IF('Données projet'!$A$114&gt;35,BY38+BX39-CG38,IF(A39&lt;'Données projet'!$A$114,$BV$205^A39,IF(A39='Données projet'!$A$114,'Données projet'!$B$114,BY38+BX39-CG38)))</f>
        <v>121.79999999999998</v>
      </c>
      <c r="BZ39" s="13">
        <f>BY39*VLOOKUP('Données projet'!$B$12,Paramètres!$A$1:$I$89,3,0)*VLOOKUP('Données projet'!$B$12,Paramètres!$A$1:$I$89,5,0)</f>
        <v>123.50519999999999</v>
      </c>
      <c r="CA39" s="13">
        <f t="shared" si="39"/>
        <v>32.491154690686002</v>
      </c>
      <c r="CB39" s="20">
        <f t="shared" si="10"/>
        <v>271.69365108627807</v>
      </c>
      <c r="CC39" s="59">
        <f t="shared" si="11"/>
        <v>551.76253992449062</v>
      </c>
      <c r="CD39" s="59">
        <f ca="1">AVERAGE(OFFSET($CC$3,0,0,'Données projet'!$E$12+1,1))-AVERAGE(OFFSET($H$3,0,0,'Données projet'!$E$12+1,1))</f>
        <v>473.09076714002885</v>
      </c>
      <c r="CE39" s="59">
        <f t="shared" si="40"/>
        <v>311.6454557566534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8.8000000000000007</v>
      </c>
      <c r="CT39" s="12">
        <f>IF('Données projet'!$A$140&gt;35,CT38+CS39-DB38,IF(A39&lt;'Données projet'!$A$140,$CQ$205^A39,IF(A39='Données projet'!$A$140,'Données projet'!$B$140,CT38+CS39-DB38)))</f>
        <v>149.79999999999998</v>
      </c>
      <c r="CU39" s="17">
        <f>CT39*VLOOKUP('Données projet'!$B$13,Paramètres!$A$1:$I$89,3,0)*VLOOKUP('Données projet'!$B$13,Paramètres!$A$1:$I$89,5,0)</f>
        <v>130.86528000000001</v>
      </c>
      <c r="CV39" s="13">
        <f t="shared" si="41"/>
        <v>34.19622287336729</v>
      </c>
      <c r="CW39" s="20">
        <f t="shared" si="13"/>
        <v>287.48211750444801</v>
      </c>
      <c r="CX39" s="59">
        <f t="shared" si="14"/>
        <v>567.55100634266057</v>
      </c>
      <c r="CY39" s="59">
        <f ca="1">AVERAGE(OFFSET($CX$3,0,0,'Données projet'!$E$13+1,1))-AVERAGE(OFFSET($H$3,0,0,'Données projet'!$E$13+1,1))</f>
        <v>379.66247682099424</v>
      </c>
      <c r="CZ39" s="59">
        <f t="shared" si="42"/>
        <v>342.92507939604081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6.5954183595222871</v>
      </c>
      <c r="DG39" s="21">
        <f>EXP(-LN(2)/25)*DG38+(1-EXP(-LN(2)/25))/(LN(2)/25)*Calculateur!DB39*Calculateur!DD39*VLOOKUP('Données projet'!$B$13,Paramètres!$A$1:$I$89,3,0)*0.475*44/12</f>
        <v>2.1725380586451464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8.767956418167433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11.2</v>
      </c>
      <c r="DO39" s="12">
        <f>IF('Données projet'!$A$166&gt;35,DO38+DN39-DW38,IF(A39&lt;'Données projet'!$A$166,$DL$205^A39,IF(A39='Données projet'!$A$166,'Données projet'!$B$166,DO38+DN39-DW38)))</f>
        <v>130.20000000000005</v>
      </c>
      <c r="DP39" s="17">
        <f>DO39*VLOOKUP('Données projet'!$B$14,Paramètres!$A$1:$I$89,3,0)*VLOOKUP('Données projet'!$B$14,Paramètres!$A$1:$I$89,5,0)</f>
        <v>123.89832000000004</v>
      </c>
      <c r="DQ39" s="13">
        <f t="shared" si="43"/>
        <v>32.58251980094704</v>
      </c>
      <c r="DR39" s="20">
        <f t="shared" si="16"/>
        <v>272.53746265331614</v>
      </c>
      <c r="DS39" s="59">
        <f t="shared" si="17"/>
        <v>552.6063514915287</v>
      </c>
      <c r="DT39" s="59">
        <f ca="1">AVERAGE(OFFSET($DS$3,0,0,'Données projet'!$E$14+1,1))-AVERAGE(OFFSET($H$3,0,0,'Données projet'!$E$14+1,1))</f>
        <v>544.64394576312384</v>
      </c>
      <c r="DU39" s="59">
        <f t="shared" si="44"/>
        <v>310.67291035925484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4</v>
      </c>
      <c r="EJ39" s="12">
        <f>IF('Données projet'!$A$192&gt;35,EJ38+EI39-ER38,IF(A39&lt;'Données projet'!$A$192,$EG$205^A39,IF(A39='Données projet'!$A$192,'Données projet'!$B$192,EJ38+EI39-ER38)))</f>
        <v>59.000000000000014</v>
      </c>
      <c r="EK39" s="17">
        <f>EJ39*VLOOKUP('Données projet'!$B$15,Paramètres!$A$1:$I$89,3,0)*VLOOKUP('Données projet'!$B$15,Paramètres!$A$1:$I$89,5,0)</f>
        <v>57.064800000000012</v>
      </c>
      <c r="EL39" s="13">
        <f t="shared" si="45"/>
        <v>16.424005972947395</v>
      </c>
      <c r="EM39" s="20">
        <f t="shared" si="19"/>
        <v>127.99300373621674</v>
      </c>
      <c r="EN39" s="59">
        <f t="shared" si="20"/>
        <v>408.06189257442929</v>
      </c>
      <c r="EO39" s="59">
        <f ca="1">AVERAGE(OFFSET($EN$3,0,0,'Données projet'!$E$15+1,1))-AVERAGE(OFFSET($H$3,0,0,'Données projet'!$E$15+1,1))</f>
        <v>276.72865583771579</v>
      </c>
      <c r="EP39" s="59">
        <f t="shared" si="46"/>
        <v>174.3587092851154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66.382424228603426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4.25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15.583333333333334</v>
      </c>
      <c r="H40" s="67">
        <f t="shared" si="1"/>
        <v>222.56666666666669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18.078846153846172</v>
      </c>
      <c r="N40" s="13">
        <f>IF('Données projet'!$A$36&gt;35,N39+M40-V39,IF(A40&lt;'Données projet'!$A$36,$K$205^A40,IF(A40='Données projet'!$A$36,'Données projet'!$B$36,N39+M40-V39)))</f>
        <v>344.47884615384601</v>
      </c>
      <c r="O40" s="13">
        <f>N40*VLOOKUP('Données projet'!$B$9,Paramètres!$A$1:$I$89,3,0)*VLOOKUP('Données projet'!$B$9,Paramètres!$A$1:$I$89,5,0)</f>
        <v>205.99834999999993</v>
      </c>
      <c r="P40" s="13">
        <f t="shared" si="33"/>
        <v>51.060147743454785</v>
      </c>
      <c r="Q40" s="20">
        <f t="shared" si="53"/>
        <v>447.71021690318361</v>
      </c>
      <c r="R40" s="59">
        <f t="shared" si="0"/>
        <v>728.49899941158742</v>
      </c>
      <c r="S40" s="59">
        <f ca="1">AVERAGE(OFFSET($R$3,0,0,'Données projet'!$E$9+1,1))-AVERAGE(OFFSET($H$3,0,0,'Données projet'!$E$9+1,1))</f>
        <v>341.11752883785607</v>
      </c>
      <c r="T40" s="59">
        <f t="shared" si="34"/>
        <v>423.15445896616234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5.521296744920356</v>
      </c>
      <c r="AA40" s="21">
        <f>EXP(-LN(2)/25)*AA39+(1-EXP(-LN(2)/25))/(LN(2)/25)*Calculateur!V40*Calculateur!X40*VLOOKUP('Données projet'!$B$9,Paramètres!$A$1:$I$89,3,0)*0.475*44/12</f>
        <v>18.99876437794374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24.520061122864096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127.93872000000003</v>
      </c>
      <c r="AK40" s="13">
        <f t="shared" si="35"/>
        <v>33.519615889545641</v>
      </c>
      <c r="AL40" s="20">
        <f t="shared" si="4"/>
        <v>281.20660167429202</v>
      </c>
      <c r="AM40" s="59">
        <f t="shared" si="5"/>
        <v>561.99538418269572</v>
      </c>
      <c r="AN40" s="59">
        <f ca="1">AVERAGE(OFFSET($AM$3,0,0,'Données projet'!$E$10+1,1))-AVERAGE(OFFSET($H$3,0,0,'Données projet'!$E$10+1,1))</f>
        <v>521.72266623522626</v>
      </c>
      <c r="AO40" s="59">
        <f t="shared" si="36"/>
        <v>298.49205684341825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268.16923076923075</v>
      </c>
      <c r="BB40" s="12">
        <f>VLOOKUP(A40,'Données projet'!$A$87:$I$107,9,0)</f>
        <v>15.48351648351648</v>
      </c>
      <c r="BC40" s="12">
        <f t="array" ref="BC40">INDEX(BB:BB,MIN(IF(ISNUMBER(BB40:BB236),ROW(BB40:BB236),"")))</f>
        <v>15.48351648351648</v>
      </c>
      <c r="BD40" s="12">
        <f>IF('Données projet'!$A$88&gt;35,BD39+BC40-BL39,IF(A40&lt;'Données projet'!$A$88,$BA$205^A40,IF(A40='Données projet'!$A$88,'Données projet'!$B$88,BD39+BC40-BL39)))</f>
        <v>268.16923076923075</v>
      </c>
      <c r="BE40" s="13">
        <f>BD40*VLOOKUP('Données projet'!$B$11,Paramètres!$A$1:$I$89,3,0)*VLOOKUP('Données projet'!$B$11,Paramètres!$A$1:$I$89,5,0)</f>
        <v>160.36520000000002</v>
      </c>
      <c r="BF40" s="13">
        <f t="shared" si="37"/>
        <v>40.924876352970031</v>
      </c>
      <c r="BG40" s="20">
        <f t="shared" si="7"/>
        <v>350.58021631475617</v>
      </c>
      <c r="BH40" s="59">
        <f t="shared" si="8"/>
        <v>631.36899882315993</v>
      </c>
      <c r="BI40" s="59">
        <f ca="1">AVERAGE(OFFSET($BH$3,0,0,'Données projet'!$E$11+1,1))-AVERAGE(OFFSET($H$3,0,0,'Données projet'!$E$11+1,1))</f>
        <v>376.5647919688821</v>
      </c>
      <c r="BJ40" s="59">
        <f t="shared" si="38"/>
        <v>340.34037344565581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43.623076923076923</v>
      </c>
      <c r="BM40" s="16">
        <f>IF(ISNA(VLOOKUP(A40,'Données projet'!$A$87:$I$107,5,0)),0%,VLOOKUP(A40,'Données projet'!$A$87:$I$107,5,0)*VLOOKUP('Données projet'!$B$11,Paramètres!$A$1:$I$89,7,0))</f>
        <v>9.0000000000000011E-2</v>
      </c>
      <c r="BN40" s="16">
        <f>IF(ISNA(VLOOKUP(A40,'Données projet'!$A$87:$I$107,6,0)),0%,VLOOKUP(A40,'Données projet'!$A$87:$I$107,6,0)*VLOOKUP('Données projet'!$B$11,Paramètres!$A$1:$I$89,7,0))</f>
        <v>0.22500000000000001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5.9659998891953805</v>
      </c>
      <c r="BQ40" s="21">
        <f>EXP(-LN(2)/25)*BQ39+(1-EXP(-LN(2)/25))/(LN(2)/25)*Calculateur!BL40*Calculateur!BN40*VLOOKUP('Données projet'!$B$11,Paramètres!$A$1:$I$89,3,0)*0.475*44/12</f>
        <v>20.317933023498131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26.283932912693512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8.8000000000000007</v>
      </c>
      <c r="BY40" s="12">
        <f>IF('Données projet'!$A$114&gt;35,BY39+BX40-CG39,IF(A40&lt;'Données projet'!$A$114,$BV$205^A40,IF(A40='Données projet'!$A$114,'Données projet'!$B$114,BY39+BX40-CG39)))</f>
        <v>130.6</v>
      </c>
      <c r="BZ40" s="13">
        <f>BY40*VLOOKUP('Données projet'!$B$12,Paramètres!$A$1:$I$89,3,0)*VLOOKUP('Données projet'!$B$12,Paramètres!$A$1:$I$89,5,0)</f>
        <v>132.42840000000001</v>
      </c>
      <c r="CA40" s="13">
        <f t="shared" si="39"/>
        <v>34.556885422887589</v>
      </c>
      <c r="CB40" s="20">
        <f t="shared" si="10"/>
        <v>290.8327054448626</v>
      </c>
      <c r="CC40" s="59">
        <f t="shared" si="11"/>
        <v>571.6214879532663</v>
      </c>
      <c r="CD40" s="59">
        <f ca="1">AVERAGE(OFFSET($CC$3,0,0,'Données projet'!$E$12+1,1))-AVERAGE(OFFSET($H$3,0,0,'Données projet'!$E$12+1,1))</f>
        <v>473.09076714002885</v>
      </c>
      <c r="CE40" s="59">
        <f t="shared" si="40"/>
        <v>311.6454557566534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8.8000000000000007</v>
      </c>
      <c r="CT40" s="12">
        <f>IF('Données projet'!$A$140&gt;35,CT39+CS40-DB39,IF(A40&lt;'Données projet'!$A$140,$CQ$205^A40,IF(A40='Données projet'!$A$140,'Données projet'!$B$140,CT39+CS40-DB39)))</f>
        <v>158.6</v>
      </c>
      <c r="CU40" s="17">
        <f>CT40*VLOOKUP('Données projet'!$B$13,Paramètres!$A$1:$I$89,3,0)*VLOOKUP('Données projet'!$B$13,Paramètres!$A$1:$I$89,5,0)</f>
        <v>138.55296000000001</v>
      </c>
      <c r="CV40" s="13">
        <f t="shared" si="41"/>
        <v>35.965308766301796</v>
      </c>
      <c r="CW40" s="20">
        <f t="shared" si="13"/>
        <v>303.95265143464229</v>
      </c>
      <c r="CX40" s="59">
        <f t="shared" si="14"/>
        <v>584.7414339430461</v>
      </c>
      <c r="CY40" s="59">
        <f ca="1">AVERAGE(OFFSET($CX$3,0,0,'Données projet'!$E$13+1,1))-AVERAGE(OFFSET($H$3,0,0,'Données projet'!$E$13+1,1))</f>
        <v>379.66247682099424</v>
      </c>
      <c r="CZ40" s="59">
        <f t="shared" si="42"/>
        <v>342.92507939604081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6.4660862283000347</v>
      </c>
      <c r="DG40" s="21">
        <f>EXP(-LN(2)/25)*DG39+(1-EXP(-LN(2)/25))/(LN(2)/25)*Calculateur!DB40*Calculateur!DD40*VLOOKUP('Données projet'!$B$13,Paramètres!$A$1:$I$89,3,0)*0.475*44/12</f>
        <v>2.1131298911826839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8.5792161194827194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11.2</v>
      </c>
      <c r="DO40" s="12">
        <f>IF('Données projet'!$A$166&gt;35,DO39+DN40-DW39,IF(A40&lt;'Données projet'!$A$166,$DL$205^A40,IF(A40='Données projet'!$A$166,'Données projet'!$B$166,DO39+DN40-DW39)))</f>
        <v>141.40000000000003</v>
      </c>
      <c r="DP40" s="17">
        <f>DO40*VLOOKUP('Données projet'!$B$14,Paramètres!$A$1:$I$89,3,0)*VLOOKUP('Données projet'!$B$14,Paramètres!$A$1:$I$89,5,0)</f>
        <v>134.55624000000003</v>
      </c>
      <c r="DQ40" s="13">
        <f t="shared" si="43"/>
        <v>35.047052600838754</v>
      </c>
      <c r="DR40" s="20">
        <f t="shared" si="16"/>
        <v>295.39240127979423</v>
      </c>
      <c r="DS40" s="59">
        <f t="shared" si="17"/>
        <v>576.18118378819804</v>
      </c>
      <c r="DT40" s="59">
        <f ca="1">AVERAGE(OFFSET($DS$3,0,0,'Données projet'!$E$14+1,1))-AVERAGE(OFFSET($H$3,0,0,'Données projet'!$E$14+1,1))</f>
        <v>544.64394576312384</v>
      </c>
      <c r="DU40" s="59">
        <f t="shared" si="44"/>
        <v>310.67291035925484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4</v>
      </c>
      <c r="EJ40" s="12">
        <f>IF('Données projet'!$A$192&gt;35,EJ39+EI40-ER39,IF(A40&lt;'Données projet'!$A$192,$EG$205^A40,IF(A40='Données projet'!$A$192,'Données projet'!$B$192,EJ39+EI40-ER39)))</f>
        <v>63.000000000000014</v>
      </c>
      <c r="EK40" s="17">
        <f>EJ40*VLOOKUP('Données projet'!$B$15,Paramètres!$A$1:$I$89,3,0)*VLOOKUP('Données projet'!$B$15,Paramètres!$A$1:$I$89,5,0)</f>
        <v>60.93360000000002</v>
      </c>
      <c r="EL40" s="13">
        <f t="shared" si="45"/>
        <v>17.404099852856145</v>
      </c>
      <c r="EM40" s="20">
        <f t="shared" si="19"/>
        <v>136.4381605770578</v>
      </c>
      <c r="EN40" s="59">
        <f t="shared" si="20"/>
        <v>417.22694308546158</v>
      </c>
      <c r="EO40" s="59">
        <f ca="1">AVERAGE(OFFSET($EN$3,0,0,'Données projet'!$E$15+1,1))-AVERAGE(OFFSET($H$3,0,0,'Données projet'!$E$15+1,1))</f>
        <v>276.72865583771579</v>
      </c>
      <c r="EP40" s="59">
        <f t="shared" si="46"/>
        <v>174.3587092851154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66.578758865928293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4.25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15.583333333333334</v>
      </c>
      <c r="H41" s="67">
        <f t="shared" si="1"/>
        <v>222.56666666666669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18.078846153846172</v>
      </c>
      <c r="N41" s="13">
        <f>IF('Données projet'!$A$36&gt;35,N40+M41-V40,IF(A41&lt;'Données projet'!$A$36,$K$205^A41,IF(A41='Données projet'!$A$36,'Données projet'!$B$36,N40+M41-V40)))</f>
        <v>362.55769230769215</v>
      </c>
      <c r="O41" s="13">
        <f>N41*VLOOKUP('Données projet'!$B$9,Paramètres!$A$1:$I$89,3,0)*VLOOKUP('Données projet'!$B$9,Paramètres!$A$1:$I$89,5,0)</f>
        <v>216.80949999999993</v>
      </c>
      <c r="P41" s="13">
        <f t="shared" si="33"/>
        <v>53.420857840881318</v>
      </c>
      <c r="Q41" s="20">
        <f t="shared" si="53"/>
        <v>470.65120657286815</v>
      </c>
      <c r="R41" s="59">
        <f t="shared" si="0"/>
        <v>752.14739420572641</v>
      </c>
      <c r="S41" s="59">
        <f ca="1">AVERAGE(OFFSET($R$3,0,0,'Données projet'!$E$9+1,1))-AVERAGE(OFFSET($H$3,0,0,'Données projet'!$E$9+1,1))</f>
        <v>341.11752883785607</v>
      </c>
      <c r="T41" s="59">
        <f t="shared" si="34"/>
        <v>423.15445896616234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5.4130274834109535</v>
      </c>
      <c r="AA41" s="21">
        <f>EXP(-LN(2)/25)*AA40+(1-EXP(-LN(2)/25))/(LN(2)/25)*Calculateur!V41*Calculateur!X41*VLOOKUP('Données projet'!$B$9,Paramètres!$A$1:$I$89,3,0)*0.475*44/12</f>
        <v>18.479242166927271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23.892269650338225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138.07248000000001</v>
      </c>
      <c r="AK41" s="13">
        <f t="shared" si="35"/>
        <v>35.85508207677799</v>
      </c>
      <c r="AL41" s="20">
        <f t="shared" si="4"/>
        <v>302.9238372837217</v>
      </c>
      <c r="AM41" s="59">
        <f t="shared" si="5"/>
        <v>584.42002491657991</v>
      </c>
      <c r="AN41" s="59">
        <f ca="1">AVERAGE(OFFSET($AM$3,0,0,'Données projet'!$E$10+1,1))-AVERAGE(OFFSET($H$3,0,0,'Données projet'!$E$10+1,1))</f>
        <v>521.72266623522626</v>
      </c>
      <c r="AO41" s="59">
        <f t="shared" si="36"/>
        <v>298.49205684341825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15.034615384615385</v>
      </c>
      <c r="BD41" s="12">
        <f>IF('Données projet'!$A$88&gt;35,BD40+BC41-BL40,IF(A41&lt;'Données projet'!$A$88,$BA$205^A41,IF(A41='Données projet'!$A$88,'Données projet'!$B$88,BD40+BC41-BL40)))</f>
        <v>239.58076923076922</v>
      </c>
      <c r="BE41" s="13">
        <f>BD41*VLOOKUP('Données projet'!$B$11,Paramètres!$A$1:$I$89,3,0)*VLOOKUP('Données projet'!$B$11,Paramètres!$A$1:$I$89,5,0)</f>
        <v>143.26930000000002</v>
      </c>
      <c r="BF41" s="13">
        <f t="shared" si="37"/>
        <v>37.044947058915035</v>
      </c>
      <c r="BG41" s="20">
        <f t="shared" si="7"/>
        <v>314.04731362761032</v>
      </c>
      <c r="BH41" s="59">
        <f t="shared" si="8"/>
        <v>595.54350126046859</v>
      </c>
      <c r="BI41" s="59">
        <f ca="1">AVERAGE(OFFSET($BH$3,0,0,'Données projet'!$E$11+1,1))-AVERAGE(OFFSET($H$3,0,0,'Données projet'!$E$11+1,1))</f>
        <v>376.5647919688821</v>
      </c>
      <c r="BJ41" s="59">
        <f t="shared" si="38"/>
        <v>340.34037344565581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5.84901027026888</v>
      </c>
      <c r="BQ41" s="21">
        <f>EXP(-LN(2)/25)*BQ40+(1-EXP(-LN(2)/25))/(LN(2)/25)*Calculateur!BL41*Calculateur!BN41*VLOOKUP('Données projet'!$B$11,Paramètres!$A$1:$I$89,3,0)*0.475*44/12</f>
        <v>19.762338076496913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25.611348346765794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8.8000000000000007</v>
      </c>
      <c r="BY41" s="12">
        <f>IF('Données projet'!$A$114&gt;35,BY40+BX41-CG40,IF(A41&lt;'Données projet'!$A$114,$BV$205^A41,IF(A41='Données projet'!$A$114,'Données projet'!$B$114,BY40+BX41-CG40)))</f>
        <v>139.4</v>
      </c>
      <c r="BZ41" s="13">
        <f>BY41*VLOOKUP('Données projet'!$B$12,Paramètres!$A$1:$I$89,3,0)*VLOOKUP('Données projet'!$B$12,Paramètres!$A$1:$I$89,5,0)</f>
        <v>141.35160000000002</v>
      </c>
      <c r="CA41" s="13">
        <f t="shared" si="39"/>
        <v>36.606464720907098</v>
      </c>
      <c r="CB41" s="20">
        <f t="shared" si="10"/>
        <v>309.94362938891322</v>
      </c>
      <c r="CC41" s="59">
        <f t="shared" si="11"/>
        <v>591.43981702177143</v>
      </c>
      <c r="CD41" s="59">
        <f ca="1">AVERAGE(OFFSET($CC$3,0,0,'Données projet'!$E$12+1,1))-AVERAGE(OFFSET($H$3,0,0,'Données projet'!$E$12+1,1))</f>
        <v>473.09076714002885</v>
      </c>
      <c r="CE41" s="59">
        <f t="shared" si="40"/>
        <v>311.6454557566534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8.8000000000000007</v>
      </c>
      <c r="CT41" s="12">
        <f>IF('Données projet'!$A$140&gt;35,CT40+CS41-DB40,IF(A41&lt;'Données projet'!$A$140,$CQ$205^A41,IF(A41='Données projet'!$A$140,'Données projet'!$B$140,CT40+CS41-DB40)))</f>
        <v>167.4</v>
      </c>
      <c r="CU41" s="17">
        <f>CT41*VLOOKUP('Données projet'!$B$13,Paramètres!$A$1:$I$89,3,0)*VLOOKUP('Données projet'!$B$13,Paramètres!$A$1:$I$89,5,0)</f>
        <v>146.24064000000001</v>
      </c>
      <c r="CV41" s="13">
        <f t="shared" si="41"/>
        <v>37.722999642090628</v>
      </c>
      <c r="CW41" s="20">
        <f t="shared" si="13"/>
        <v>320.40333904330788</v>
      </c>
      <c r="CX41" s="59">
        <f t="shared" si="14"/>
        <v>601.89952667616615</v>
      </c>
      <c r="CY41" s="59">
        <f ca="1">AVERAGE(OFFSET($CX$3,0,0,'Données projet'!$E$13+1,1))-AVERAGE(OFFSET($H$3,0,0,'Données projet'!$E$13+1,1))</f>
        <v>379.66247682099424</v>
      </c>
      <c r="CZ41" s="59">
        <f t="shared" si="42"/>
        <v>342.92507939604081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6.3392902212862401</v>
      </c>
      <c r="DG41" s="21">
        <f>EXP(-LN(2)/25)*DG40+(1-EXP(-LN(2)/25))/(LN(2)/25)*Calculateur!DB41*Calculateur!DD41*VLOOKUP('Données projet'!$B$13,Paramètres!$A$1:$I$89,3,0)*0.475*44/12</f>
        <v>2.0553462431836222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8.3946364644698619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11.2</v>
      </c>
      <c r="DO41" s="12">
        <f>IF('Données projet'!$A$166&gt;35,DO40+DN41-DW40,IF(A41&lt;'Données projet'!$A$166,$DL$205^A41,IF(A41='Données projet'!$A$166,'Données projet'!$B$166,DO40+DN41-DW40)))</f>
        <v>152.60000000000002</v>
      </c>
      <c r="DP41" s="17">
        <f>DO41*VLOOKUP('Données projet'!$B$14,Paramètres!$A$1:$I$89,3,0)*VLOOKUP('Données projet'!$B$14,Paramètres!$A$1:$I$89,5,0)</f>
        <v>145.21416000000002</v>
      </c>
      <c r="DQ41" s="13">
        <f t="shared" si="43"/>
        <v>37.488942346268111</v>
      </c>
      <c r="DR41" s="20">
        <f t="shared" si="16"/>
        <v>318.20790325308366</v>
      </c>
      <c r="DS41" s="59">
        <f t="shared" si="17"/>
        <v>599.70409088594192</v>
      </c>
      <c r="DT41" s="59">
        <f ca="1">AVERAGE(OFFSET($DS$3,0,0,'Données projet'!$E$14+1,1))-AVERAGE(OFFSET($H$3,0,0,'Données projet'!$E$14+1,1))</f>
        <v>544.64394576312384</v>
      </c>
      <c r="DU41" s="59">
        <f t="shared" si="44"/>
        <v>310.67291035925484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4</v>
      </c>
      <c r="EJ41" s="12">
        <f>IF('Données projet'!$A$192&gt;35,EJ40+EI41-ER40,IF(A41&lt;'Données projet'!$A$192,$EG$205^A41,IF(A41='Données projet'!$A$192,'Données projet'!$B$192,EJ40+EI41-ER40)))</f>
        <v>67.000000000000014</v>
      </c>
      <c r="EK41" s="17">
        <f>EJ41*VLOOKUP('Données projet'!$B$15,Paramètres!$A$1:$I$89,3,0)*VLOOKUP('Données projet'!$B$15,Paramètres!$A$1:$I$89,5,0)</f>
        <v>64.802400000000006</v>
      </c>
      <c r="EL41" s="13">
        <f t="shared" si="45"/>
        <v>18.376971951830182</v>
      </c>
      <c r="EM41" s="20">
        <f t="shared" si="19"/>
        <v>144.87073948277092</v>
      </c>
      <c r="EN41" s="59">
        <f t="shared" si="20"/>
        <v>426.36692711562921</v>
      </c>
      <c r="EO41" s="59">
        <f ca="1">AVERAGE(OFFSET($EN$3,0,0,'Données projet'!$E$15+1,1))-AVERAGE(OFFSET($H$3,0,0,'Données projet'!$E$15+1,1))</f>
        <v>276.72865583771579</v>
      </c>
      <c r="EP41" s="59">
        <f t="shared" si="46"/>
        <v>174.3587092851154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66.771687536234069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4.25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15.583333333333334</v>
      </c>
      <c r="H42" s="67">
        <f t="shared" si="1"/>
        <v>222.56666666666669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18.078846153846172</v>
      </c>
      <c r="N42" s="13">
        <f>IF('Données projet'!$A$36&gt;35,N41+M42-V41,IF(A42&lt;'Données projet'!$A$36,$K$205^A42,IF(A42='Données projet'!$A$36,'Données projet'!$B$36,N41+M42-V41)))</f>
        <v>380.63653846153829</v>
      </c>
      <c r="O42" s="13">
        <f>N42*VLOOKUP('Données projet'!$B$9,Paramètres!$A$1:$I$89,3,0)*VLOOKUP('Données projet'!$B$9,Paramètres!$A$1:$I$89,5,0)</f>
        <v>227.6206499999999</v>
      </c>
      <c r="P42" s="13">
        <f t="shared" si="33"/>
        <v>55.767899480654968</v>
      </c>
      <c r="Q42" s="20">
        <f t="shared" si="53"/>
        <v>493.56839034547392</v>
      </c>
      <c r="R42" s="59">
        <f t="shared" si="0"/>
        <v>775.75971120539839</v>
      </c>
      <c r="S42" s="59">
        <f ca="1">AVERAGE(OFFSET($R$3,0,0,'Données projet'!$E$9+1,1))-AVERAGE(OFFSET($H$3,0,0,'Données projet'!$E$9+1,1))</f>
        <v>341.11752883785607</v>
      </c>
      <c r="T42" s="59">
        <f t="shared" si="34"/>
        <v>423.15445896616234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5.3068813160820216</v>
      </c>
      <c r="AA42" s="21">
        <f>EXP(-LN(2)/25)*AA41+(1-EXP(-LN(2)/25))/(LN(2)/25)*Calculateur!V42*Calculateur!X42*VLOOKUP('Données projet'!$B$9,Paramètres!$A$1:$I$89,3,0)*0.475*44/12</f>
        <v>17.973926318091536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23.280807634173556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148.20624000000001</v>
      </c>
      <c r="AK42" s="13">
        <f t="shared" si="35"/>
        <v>38.170662245893794</v>
      </c>
      <c r="AL42" s="20">
        <f t="shared" si="4"/>
        <v>324.60643807826506</v>
      </c>
      <c r="AM42" s="59">
        <f t="shared" si="5"/>
        <v>606.79775893818942</v>
      </c>
      <c r="AN42" s="59">
        <f ca="1">AVERAGE(OFFSET($AM$3,0,0,'Données projet'!$E$10+1,1))-AVERAGE(OFFSET($H$3,0,0,'Données projet'!$E$10+1,1))</f>
        <v>521.72266623522626</v>
      </c>
      <c r="AO42" s="59">
        <f t="shared" si="36"/>
        <v>298.49205684341825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15.034615384615385</v>
      </c>
      <c r="BD42" s="12">
        <f>IF('Données projet'!$A$88&gt;35,BD41+BC42-BL41,IF(A42&lt;'Données projet'!$A$88,$BA$205^A42,IF(A42='Données projet'!$A$88,'Données projet'!$B$88,BD41+BC42-BL41)))</f>
        <v>254.61538461538461</v>
      </c>
      <c r="BE42" s="13">
        <f>BD42*VLOOKUP('Données projet'!$B$11,Paramètres!$A$1:$I$89,3,0)*VLOOKUP('Données projet'!$B$11,Paramètres!$A$1:$I$89,5,0)</f>
        <v>152.26</v>
      </c>
      <c r="BF42" s="13">
        <f t="shared" si="37"/>
        <v>39.091730876167595</v>
      </c>
      <c r="BG42" s="20">
        <f t="shared" si="7"/>
        <v>333.27093127599187</v>
      </c>
      <c r="BH42" s="59">
        <f t="shared" si="8"/>
        <v>615.46225213591629</v>
      </c>
      <c r="BI42" s="59">
        <f ca="1">AVERAGE(OFFSET($BH$3,0,0,'Données projet'!$E$11+1,1))-AVERAGE(OFFSET($H$3,0,0,'Données projet'!$E$11+1,1))</f>
        <v>376.5647919688821</v>
      </c>
      <c r="BJ42" s="59">
        <f t="shared" si="38"/>
        <v>340.34037344565581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5.7343147464129061</v>
      </c>
      <c r="BQ42" s="21">
        <f>EXP(-LN(2)/25)*BQ41+(1-EXP(-LN(2)/25))/(LN(2)/25)*Calculateur!BL42*Calculateur!BN42*VLOOKUP('Données projet'!$B$11,Paramètres!$A$1:$I$89,3,0)*0.475*44/12</f>
        <v>19.221935902538913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24.956250648951819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8.8000000000000007</v>
      </c>
      <c r="BY42" s="12">
        <f>IF('Données projet'!$A$114&gt;35,BY41+BX42-CG41,IF(A42&lt;'Données projet'!$A$114,$BV$205^A42,IF(A42='Données projet'!$A$114,'Données projet'!$B$114,BY41+BX42-CG41)))</f>
        <v>148.20000000000002</v>
      </c>
      <c r="BZ42" s="13">
        <f>BY42*VLOOKUP('Données projet'!$B$12,Paramètres!$A$1:$I$89,3,0)*VLOOKUP('Données projet'!$B$12,Paramètres!$A$1:$I$89,5,0)</f>
        <v>150.27480000000003</v>
      </c>
      <c r="CA42" s="13">
        <f t="shared" si="39"/>
        <v>38.641028252978359</v>
      </c>
      <c r="CB42" s="20">
        <f t="shared" si="10"/>
        <v>329.0284008739373</v>
      </c>
      <c r="CC42" s="59">
        <f t="shared" si="11"/>
        <v>611.21972173386166</v>
      </c>
      <c r="CD42" s="59">
        <f ca="1">AVERAGE(OFFSET($CC$3,0,0,'Données projet'!$E$12+1,1))-AVERAGE(OFFSET($H$3,0,0,'Données projet'!$E$12+1,1))</f>
        <v>473.09076714002885</v>
      </c>
      <c r="CE42" s="59">
        <f t="shared" si="40"/>
        <v>311.6454557566534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8.8000000000000007</v>
      </c>
      <c r="CT42" s="12">
        <f>IF('Données projet'!$A$140&gt;35,CT41+CS42-DB41,IF(A42&lt;'Données projet'!$A$140,$CQ$205^A42,IF(A42='Données projet'!$A$140,'Données projet'!$B$140,CT41+CS42-DB41)))</f>
        <v>176.20000000000002</v>
      </c>
      <c r="CU42" s="17">
        <f>CT42*VLOOKUP('Données projet'!$B$13,Paramètres!$A$1:$I$89,3,0)*VLOOKUP('Données projet'!$B$13,Paramètres!$A$1:$I$89,5,0)</f>
        <v>153.92832000000004</v>
      </c>
      <c r="CV42" s="13">
        <f t="shared" si="41"/>
        <v>39.469962836517794</v>
      </c>
      <c r="CW42" s="20">
        <f t="shared" si="13"/>
        <v>336.83534260693523</v>
      </c>
      <c r="CX42" s="59">
        <f t="shared" si="14"/>
        <v>619.02666346685965</v>
      </c>
      <c r="CY42" s="59">
        <f ca="1">AVERAGE(OFFSET($CX$3,0,0,'Données projet'!$E$13+1,1))-AVERAGE(OFFSET($H$3,0,0,'Données projet'!$E$13+1,1))</f>
        <v>379.66247682099424</v>
      </c>
      <c r="CZ42" s="59">
        <f t="shared" si="42"/>
        <v>342.92507939604081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6.2149806066320581</v>
      </c>
      <c r="DG42" s="21">
        <f>EXP(-LN(2)/25)*DG41+(1-EXP(-LN(2)/25))/(LN(2)/25)*Calculateur!DB42*Calculateur!DD42*VLOOKUP('Données projet'!$B$13,Paramètres!$A$1:$I$89,3,0)*0.475*44/12</f>
        <v>1.9991426920778048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8.2141232987098629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11.2</v>
      </c>
      <c r="DO42" s="12">
        <f>IF('Données projet'!$A$166&gt;35,DO41+DN42-DW41,IF(A42&lt;'Données projet'!$A$166,$DL$205^A42,IF(A42='Données projet'!$A$166,'Données projet'!$B$166,DO41+DN42-DW41)))</f>
        <v>163.80000000000001</v>
      </c>
      <c r="DP42" s="17">
        <f>DO42*VLOOKUP('Données projet'!$B$14,Paramètres!$A$1:$I$89,3,0)*VLOOKUP('Données projet'!$B$14,Paramètres!$A$1:$I$89,5,0)</f>
        <v>155.87208000000001</v>
      </c>
      <c r="DQ42" s="13">
        <f t="shared" si="43"/>
        <v>39.910039898694805</v>
      </c>
      <c r="DR42" s="20">
        <f t="shared" si="16"/>
        <v>340.98719215689346</v>
      </c>
      <c r="DS42" s="59">
        <f t="shared" si="17"/>
        <v>623.17851301681787</v>
      </c>
      <c r="DT42" s="59">
        <f ca="1">AVERAGE(OFFSET($DS$3,0,0,'Données projet'!$E$14+1,1))-AVERAGE(OFFSET($H$3,0,0,'Données projet'!$E$14+1,1))</f>
        <v>544.64394576312384</v>
      </c>
      <c r="DU42" s="59">
        <f t="shared" si="44"/>
        <v>310.67291035925484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4</v>
      </c>
      <c r="EJ42" s="12">
        <f>IF('Données projet'!$A$192&gt;35,EJ41+EI42-ER41,IF(A42&lt;'Données projet'!$A$192,$EG$205^A42,IF(A42='Données projet'!$A$192,'Données projet'!$B$192,EJ41+EI42-ER41)))</f>
        <v>71.000000000000014</v>
      </c>
      <c r="EK42" s="17">
        <f>EJ42*VLOOKUP('Données projet'!$B$15,Paramètres!$A$1:$I$89,3,0)*VLOOKUP('Données projet'!$B$15,Paramètres!$A$1:$I$89,5,0)</f>
        <v>68.671200000000013</v>
      </c>
      <c r="EL42" s="13">
        <f t="shared" si="45"/>
        <v>19.343102525659866</v>
      </c>
      <c r="EM42" s="20">
        <f t="shared" si="19"/>
        <v>153.29157689885758</v>
      </c>
      <c r="EN42" s="59">
        <f t="shared" si="20"/>
        <v>435.48289775878197</v>
      </c>
      <c r="EO42" s="59">
        <f ca="1">AVERAGE(OFFSET($EN$3,0,0,'Données projet'!$E$15+1,1))-AVERAGE(OFFSET($H$3,0,0,'Données projet'!$E$15+1,1))</f>
        <v>276.72865583771579</v>
      </c>
      <c r="EP42" s="59">
        <f t="shared" si="46"/>
        <v>174.3587092851154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66.961269325433932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4.25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15.583333333333334</v>
      </c>
      <c r="H43" s="67">
        <f t="shared" si="1"/>
        <v>222.56666666666669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398.71538461538466</v>
      </c>
      <c r="L43" s="12">
        <f>VLOOKUP(A43,'Données projet'!$A$35:$I$55,9,0)</f>
        <v>18.078846153846172</v>
      </c>
      <c r="M43" s="12">
        <f t="array" ref="M43">INDEX(L:L,MIN(IF(ISNUMBER(L43:L239),ROW(L43:L239),"")))</f>
        <v>18.078846153846172</v>
      </c>
      <c r="N43" s="13">
        <f>IF('Données projet'!$A$36&gt;35,N42+M43-V42,IF(A43&lt;'Données projet'!$A$36,$K$205^A43,IF(A43='Données projet'!$A$36,'Données projet'!$B$36,N42+M43-V42)))</f>
        <v>398.71538461538444</v>
      </c>
      <c r="O43" s="13">
        <f>N43*VLOOKUP('Données projet'!$B$9,Paramètres!$A$1:$I$89,3,0)*VLOOKUP('Données projet'!$B$9,Paramètres!$A$1:$I$89,5,0)</f>
        <v>238.4317999999999</v>
      </c>
      <c r="P43" s="13">
        <f t="shared" si="33"/>
        <v>58.101995988242486</v>
      </c>
      <c r="Q43" s="20">
        <f t="shared" si="53"/>
        <v>516.46302801285549</v>
      </c>
      <c r="R43" s="59">
        <f t="shared" si="0"/>
        <v>799.33742309244144</v>
      </c>
      <c r="S43" s="59">
        <f ca="1">AVERAGE(OFFSET($R$3,0,0,'Données projet'!$E$9+1,1))-AVERAGE(OFFSET($H$3,0,0,'Données projet'!$E$9+1,1))</f>
        <v>341.11752883785607</v>
      </c>
      <c r="T43" s="59">
        <f t="shared" si="34"/>
        <v>423.15445896616234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92.66153846153847</v>
      </c>
      <c r="W43" s="16">
        <f>IF(ISNA(VLOOKUP(A43,'Données projet'!$A$35:$I$55,5,0)),0%,VLOOKUP(A43,'Données projet'!$A$35:$I$55,5,0)*VLOOKUP('Données projet'!$B$9,Paramètres!$A$1:$I$89,7,0))</f>
        <v>9.0000000000000011E-2</v>
      </c>
      <c r="X43" s="16">
        <f>IF(ISNA(VLOOKUP(A43,'Données projet'!$A$35:$I$55,6,0)),0%,VLOOKUP(A43,'Données projet'!$A$35:$I$55,6,0)*VLOOKUP('Données projet'!$B$9,Paramètres!$A$1:$I$89,7,0))</f>
        <v>0.22500000000000001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11.818451918464667</v>
      </c>
      <c r="AA43" s="21">
        <f>EXP(-LN(2)/25)*AA42+(1-EXP(-LN(2)/25))/(LN(2)/25)*Calculateur!V43*Calculateur!X43*VLOOKUP('Données projet'!$B$9,Paramètres!$A$1:$I$89,3,0)*0.475*44/12</f>
        <v>33.956395935591388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45.774847854056055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158.34</v>
      </c>
      <c r="AK43" s="13">
        <f t="shared" si="35"/>
        <v>40.467870812652819</v>
      </c>
      <c r="AL43" s="20">
        <f t="shared" si="4"/>
        <v>346.25704166537031</v>
      </c>
      <c r="AM43" s="59">
        <f t="shared" si="5"/>
        <v>629.13143674495632</v>
      </c>
      <c r="AN43" s="59">
        <f ca="1">AVERAGE(OFFSET($AM$3,0,0,'Données projet'!$E$10+1,1))-AVERAGE(OFFSET($H$3,0,0,'Données projet'!$E$10+1,1))</f>
        <v>521.72266623522626</v>
      </c>
      <c r="AO43" s="59">
        <f t="shared" si="36"/>
        <v>298.49205684341825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15.034615384615385</v>
      </c>
      <c r="BD43" s="12">
        <f>IF('Données projet'!$A$88&gt;35,BD42+BC43-BL42,IF(A43&lt;'Données projet'!$A$88,$BA$205^A43,IF(A43='Données projet'!$A$88,'Données projet'!$B$88,BD42+BC43-BL42)))</f>
        <v>269.64999999999998</v>
      </c>
      <c r="BE43" s="13">
        <f>BD43*VLOOKUP('Données projet'!$B$11,Paramètres!$A$1:$I$89,3,0)*VLOOKUP('Données projet'!$B$11,Paramètres!$A$1:$I$89,5,0)</f>
        <v>161.25069999999999</v>
      </c>
      <c r="BF43" s="13">
        <f t="shared" si="37"/>
        <v>41.124486315944758</v>
      </c>
      <c r="BG43" s="20">
        <f t="shared" si="7"/>
        <v>352.47011616693709</v>
      </c>
      <c r="BH43" s="59">
        <f t="shared" si="8"/>
        <v>635.3445112465231</v>
      </c>
      <c r="BI43" s="59">
        <f ca="1">AVERAGE(OFFSET($BH$3,0,0,'Données projet'!$E$11+1,1))-AVERAGE(OFFSET($H$3,0,0,'Données projet'!$E$11+1,1))</f>
        <v>376.5647919688821</v>
      </c>
      <c r="BJ43" s="59">
        <f t="shared" si="38"/>
        <v>340.34037344565581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5.6218683318223865</v>
      </c>
      <c r="BQ43" s="21">
        <f>EXP(-LN(2)/25)*BQ42+(1-EXP(-LN(2)/25))/(LN(2)/25)*Calculateur!BL43*Calculateur!BN43*VLOOKUP('Données projet'!$B$11,Paramètres!$A$1:$I$89,3,0)*0.475*44/12</f>
        <v>18.696311054446308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24.318179386268696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157</v>
      </c>
      <c r="BW43" s="12">
        <f>VLOOKUP(A43,'Données projet'!$A$113:$I$133,9,0)</f>
        <v>8.8000000000000007</v>
      </c>
      <c r="BX43" s="12">
        <f t="array" ref="BX43">INDEX(BW:BW,MIN(IF(ISNUMBER(BW43:BW239),ROW(BW43:BW239),"")))</f>
        <v>8.8000000000000007</v>
      </c>
      <c r="BY43" s="12">
        <f>IF('Données projet'!$A$114&gt;35,BY42+BX43-CG42,IF(A43&lt;'Données projet'!$A$114,$BV$205^A43,IF(A43='Données projet'!$A$114,'Données projet'!$B$114,BY42+BX43-CG42)))</f>
        <v>157.00000000000003</v>
      </c>
      <c r="BZ43" s="13">
        <f>BY43*VLOOKUP('Données projet'!$B$12,Paramètres!$A$1:$I$89,3,0)*VLOOKUP('Données projet'!$B$12,Paramètres!$A$1:$I$89,5,0)</f>
        <v>159.19800000000004</v>
      </c>
      <c r="CA43" s="13">
        <f t="shared" si="39"/>
        <v>40.661569197787308</v>
      </c>
      <c r="CB43" s="20">
        <f t="shared" si="10"/>
        <v>348.08874968614629</v>
      </c>
      <c r="CC43" s="59">
        <f t="shared" si="11"/>
        <v>630.9631447657323</v>
      </c>
      <c r="CD43" s="59">
        <f ca="1">AVERAGE(OFFSET($CC$3,0,0,'Données projet'!$E$12+1,1))-AVERAGE(OFFSET($H$3,0,0,'Données projet'!$E$12+1,1))</f>
        <v>473.09076714002885</v>
      </c>
      <c r="CE43" s="59">
        <f t="shared" si="40"/>
        <v>311.6454557566534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25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185</v>
      </c>
      <c r="CR43" s="12">
        <f>VLOOKUP(A43,'Données projet'!$A$139:$I$159,9,0)</f>
        <v>8.8000000000000007</v>
      </c>
      <c r="CS43" s="12">
        <f t="array" ref="CS43">INDEX(CR:CR,MIN(IF(ISNUMBER(CR43:CR239),ROW(CR43:CR239),"")))</f>
        <v>8.8000000000000007</v>
      </c>
      <c r="CT43" s="12">
        <f>IF('Données projet'!$A$140&gt;35,CT42+CS43-DB42,IF(A43&lt;'Données projet'!$A$140,$CQ$205^A43,IF(A43='Données projet'!$A$140,'Données projet'!$B$140,CT42+CS43-DB42)))</f>
        <v>185.00000000000003</v>
      </c>
      <c r="CU43" s="17">
        <f>CT43*VLOOKUP('Données projet'!$B$13,Paramètres!$A$1:$I$89,3,0)*VLOOKUP('Données projet'!$B$13,Paramètres!$A$1:$I$89,5,0)</f>
        <v>161.61600000000004</v>
      </c>
      <c r="CV43" s="13">
        <f t="shared" si="41"/>
        <v>41.20679526204917</v>
      </c>
      <c r="CW43" s="20">
        <f t="shared" si="13"/>
        <v>353.24970174806907</v>
      </c>
      <c r="CX43" s="59">
        <f t="shared" si="14"/>
        <v>636.12409682765508</v>
      </c>
      <c r="CY43" s="59">
        <f ca="1">AVERAGE(OFFSET($CX$3,0,0,'Données projet'!$E$13+1,1))-AVERAGE(OFFSET($H$3,0,0,'Données projet'!$E$13+1,1))</f>
        <v>379.66247682099424</v>
      </c>
      <c r="CZ43" s="59">
        <f t="shared" si="42"/>
        <v>342.92507939604081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0.25800000000000001</v>
      </c>
      <c r="DD43" s="16">
        <f>IF(ISNA(VLOOKUP(A43,'Données projet'!$A$139:$I$159,6,0)),0%,VLOOKUP(A43,'Données projet'!$A$139:$I$159,6,0)*VLOOKUP('Données projet'!$B$13,Paramètres!$A$1:$I$89,7,0))</f>
        <v>8.6000000000000007E-2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12.820445969218724</v>
      </c>
      <c r="DG43" s="21">
        <f>EXP(-LN(2)/25)*DG42+(1-EXP(-LN(2)/25))/(LN(2)/25)*Calculateur!DB43*Calculateur!DD43*VLOOKUP('Données projet'!$B$13,Paramètres!$A$1:$I$89,3,0)*0.475*44/12</f>
        <v>4.1780924470621956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16.998538416280919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175</v>
      </c>
      <c r="DM43" s="12">
        <f>VLOOKUP(A43,'Données projet'!$A$165:$I$185,9,0)</f>
        <v>11.2</v>
      </c>
      <c r="DN43" s="12">
        <f t="array" ref="DN43">INDEX(DM:DM,MIN(IF(ISNUMBER(DM43:DM239),ROW(DM43:DM239),"")))</f>
        <v>11.2</v>
      </c>
      <c r="DO43" s="12">
        <f>IF('Données projet'!$A$166&gt;35,DO42+DN43-DW42,IF(A43&lt;'Données projet'!$A$166,$DL$205^A43,IF(A43='Données projet'!$A$166,'Données projet'!$B$166,DO42+DN43-DW42)))</f>
        <v>175</v>
      </c>
      <c r="DP43" s="17">
        <f>DO43*VLOOKUP('Données projet'!$B$14,Paramètres!$A$1:$I$89,3,0)*VLOOKUP('Données projet'!$B$14,Paramètres!$A$1:$I$89,5,0)</f>
        <v>166.53</v>
      </c>
      <c r="DQ43" s="13">
        <f t="shared" si="43"/>
        <v>42.311928683446922</v>
      </c>
      <c r="DR43" s="20">
        <f t="shared" si="16"/>
        <v>363.73302579033674</v>
      </c>
      <c r="DS43" s="59">
        <f t="shared" si="17"/>
        <v>646.60742086992275</v>
      </c>
      <c r="DT43" s="59">
        <f ca="1">AVERAGE(OFFSET($DS$3,0,0,'Données projet'!$E$14+1,1))-AVERAGE(OFFSET($H$3,0,0,'Données projet'!$E$14+1,1))</f>
        <v>544.64394576312384</v>
      </c>
      <c r="DU43" s="59">
        <f t="shared" si="44"/>
        <v>310.67291035925484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75</v>
      </c>
      <c r="EH43" s="12">
        <f>VLOOKUP(A43,'Données projet'!$A$191:$I$211,9,0)</f>
        <v>4</v>
      </c>
      <c r="EI43" s="12">
        <f t="array" ref="EI43">INDEX(EH:EH,MIN(IF(ISNUMBER(EH43:EH239),ROW(EH43:EH239),"")))</f>
        <v>4</v>
      </c>
      <c r="EJ43" s="12">
        <f>IF('Données projet'!$A$192&gt;35,EJ42+EI43-ER42,IF(A43&lt;'Données projet'!$A$192,$EG$205^A43,IF(A43='Données projet'!$A$192,'Données projet'!$B$192,EJ42+EI43-ER42)))</f>
        <v>75.000000000000014</v>
      </c>
      <c r="EK43" s="17">
        <f>EJ43*VLOOKUP('Données projet'!$B$15,Paramètres!$A$1:$I$89,3,0)*VLOOKUP('Données projet'!$B$15,Paramètres!$A$1:$I$89,5,0)</f>
        <v>72.54000000000002</v>
      </c>
      <c r="EL43" s="13">
        <f t="shared" si="45"/>
        <v>20.302914660456786</v>
      </c>
      <c r="EM43" s="20">
        <f t="shared" si="19"/>
        <v>161.70140970029561</v>
      </c>
      <c r="EN43" s="59">
        <f t="shared" si="20"/>
        <v>444.57580477988165</v>
      </c>
      <c r="EO43" s="59">
        <f ca="1">AVERAGE(OFFSET($EN$3,0,0,'Données projet'!$E$15+1,1))-AVERAGE(OFFSET($H$3,0,0,'Données projet'!$E$15+1,1))</f>
        <v>276.72865583771579</v>
      </c>
      <c r="EP43" s="59">
        <f t="shared" si="46"/>
        <v>174.3587092851154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9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67.147562294432547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4.25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15.583333333333334</v>
      </c>
      <c r="H44" s="67">
        <f t="shared" si="1"/>
        <v>222.56666666666669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15.25999999999998</v>
      </c>
      <c r="N44" s="13">
        <f>IF('Données projet'!$A$36&gt;35,N43+M44-V43,IF(A44&lt;'Données projet'!$A$36,$K$205^A44,IF(A44='Données projet'!$A$36,'Données projet'!$B$36,N43+M44-V43)))</f>
        <v>321.31384615384593</v>
      </c>
      <c r="O44" s="13">
        <f>N44*VLOOKUP('Données projet'!$B$9,Paramètres!$A$1:$I$89,3,0)*VLOOKUP('Données projet'!$B$9,Paramètres!$A$1:$I$89,5,0)</f>
        <v>192.14567999999989</v>
      </c>
      <c r="P44" s="13">
        <f t="shared" si="33"/>
        <v>48.014021748391599</v>
      </c>
      <c r="Q44" s="20">
        <f t="shared" si="53"/>
        <v>418.2781472117818</v>
      </c>
      <c r="R44" s="59">
        <f t="shared" si="0"/>
        <v>701.82376670044346</v>
      </c>
      <c r="S44" s="59">
        <f ca="1">AVERAGE(OFFSET($R$3,0,0,'Données projet'!$E$9+1,1))-AVERAGE(OFFSET($H$3,0,0,'Données projet'!$E$9+1,1))</f>
        <v>341.11752883785607</v>
      </c>
      <c r="T44" s="59">
        <f t="shared" si="34"/>
        <v>423.15445896616234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11.586699284887461</v>
      </c>
      <c r="AA44" s="21">
        <f>EXP(-LN(2)/25)*AA43+(1-EXP(-LN(2)/25))/(LN(2)/25)*Calculateur!V44*Calculateur!X44*VLOOKUP('Données projet'!$B$9,Paramètres!$A$1:$I$89,3,0)*0.475*44/12</f>
        <v>33.027856503043388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44.614555787930847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143.32032000000001</v>
      </c>
      <c r="AK44" s="13">
        <f t="shared" si="35"/>
        <v>37.056603420232349</v>
      </c>
      <c r="AL44" s="20">
        <f t="shared" si="4"/>
        <v>314.15647495690467</v>
      </c>
      <c r="AM44" s="59">
        <f t="shared" si="5"/>
        <v>597.70209444556633</v>
      </c>
      <c r="AN44" s="59">
        <f ca="1">AVERAGE(OFFSET($AM$3,0,0,'Données projet'!$E$10+1,1))-AVERAGE(OFFSET($H$3,0,0,'Données projet'!$E$10+1,1))</f>
        <v>521.72266623522626</v>
      </c>
      <c r="AO44" s="59">
        <f t="shared" si="36"/>
        <v>298.49205684341825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284.68461538461537</v>
      </c>
      <c r="BB44" s="12">
        <f>VLOOKUP(A44,'Données projet'!$A$87:$I$107,9,0)</f>
        <v>15.034615384615385</v>
      </c>
      <c r="BC44" s="12">
        <f t="array" ref="BC44">INDEX(BB:BB,MIN(IF(ISNUMBER(BB44:BB240),ROW(BB44:BB240),"")))</f>
        <v>15.034615384615385</v>
      </c>
      <c r="BD44" s="12">
        <f>IF('Données projet'!$A$88&gt;35,BD43+BC44-BL43,IF(A44&lt;'Données projet'!$A$88,$BA$205^A44,IF(A44='Données projet'!$A$88,'Données projet'!$B$88,BD43+BC44-BL43)))</f>
        <v>284.68461538461537</v>
      </c>
      <c r="BE44" s="13">
        <f>BD44*VLOOKUP('Données projet'!$B$11,Paramètres!$A$1:$I$89,3,0)*VLOOKUP('Données projet'!$B$11,Paramètres!$A$1:$I$89,5,0)</f>
        <v>170.2414</v>
      </c>
      <c r="BF44" s="13">
        <f t="shared" si="37"/>
        <v>43.144084689149309</v>
      </c>
      <c r="BG44" s="20">
        <f t="shared" si="7"/>
        <v>371.6463858336017</v>
      </c>
      <c r="BH44" s="59">
        <f t="shared" si="8"/>
        <v>655.19200532226341</v>
      </c>
      <c r="BI44" s="59">
        <f ca="1">AVERAGE(OFFSET($BH$3,0,0,'Données projet'!$E$11+1,1))-AVERAGE(OFFSET($H$3,0,0,'Données projet'!$E$11+1,1))</f>
        <v>376.5647919688821</v>
      </c>
      <c r="BJ44" s="59">
        <f t="shared" si="38"/>
        <v>340.34037344565581</v>
      </c>
      <c r="BK44" s="15">
        <f>IF(ISNA(VLOOKUP(A44,'Données projet'!$A$87:$I$107,3,0)),0,VLOOKUP(A44,'Données projet'!$A$87:$I$107,3,0))</f>
        <v>6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9.0000000000000011E-2</v>
      </c>
      <c r="BN44" s="16">
        <f>IF(ISNA(VLOOKUP(A44,'Données projet'!$A$87:$I$107,6,0)),0%,VLOOKUP(A44,'Données projet'!$A$87:$I$107,6,0)*VLOOKUP('Données projet'!$B$11,Paramètres!$A$1:$I$89,7,0))</f>
        <v>0.22500000000000001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5.5116269228364461</v>
      </c>
      <c r="BQ44" s="21">
        <f>EXP(-LN(2)/25)*BQ43+(1-EXP(-LN(2)/25))/(LN(2)/25)*Calculateur!BL44*Calculateur!BN44*VLOOKUP('Données projet'!$B$11,Paramètres!$A$1:$I$89,3,0)*0.475*44/12</f>
        <v>18.185059445466205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23.69668636830265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8.8000000000000007</v>
      </c>
      <c r="BY44" s="12">
        <f>IF('Données projet'!$A$114&gt;35,BY43+BX44-CG43,IF(A44&lt;'Données projet'!$A$114,$BV$205^A44,IF(A44='Données projet'!$A$114,'Données projet'!$B$114,BY43+BX44-CG43)))</f>
        <v>140.80000000000004</v>
      </c>
      <c r="BZ44" s="13">
        <f>BY44*VLOOKUP('Données projet'!$B$12,Paramètres!$A$1:$I$89,3,0)*VLOOKUP('Données projet'!$B$12,Paramètres!$A$1:$I$89,5,0)</f>
        <v>142.77120000000005</v>
      </c>
      <c r="CA44" s="13">
        <f t="shared" si="39"/>
        <v>36.93112247550409</v>
      </c>
      <c r="CB44" s="20">
        <f t="shared" si="10"/>
        <v>312.98154497816967</v>
      </c>
      <c r="CC44" s="59">
        <f t="shared" si="11"/>
        <v>596.52716446683132</v>
      </c>
      <c r="CD44" s="59">
        <f ca="1">AVERAGE(OFFSET($CC$3,0,0,'Données projet'!$E$12+1,1))-AVERAGE(OFFSET($H$3,0,0,'Données projet'!$E$12+1,1))</f>
        <v>473.09076714002885</v>
      </c>
      <c r="CE44" s="59">
        <f t="shared" si="40"/>
        <v>311.6454557566534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</v>
      </c>
      <c r="CT44" s="12">
        <f>IF('Données projet'!$A$140&gt;35,CT43+CS44-DB43,IF(A44&lt;'Données projet'!$A$140,$CQ$205^A44,IF(A44='Données projet'!$A$140,'Données projet'!$B$140,CT43+CS44-DB43)))</f>
        <v>166.00000000000003</v>
      </c>
      <c r="CU44" s="17">
        <f>CT44*VLOOKUP('Données projet'!$B$13,Paramètres!$A$1:$I$89,3,0)*VLOOKUP('Données projet'!$B$13,Paramètres!$A$1:$I$89,5,0)</f>
        <v>145.01760000000004</v>
      </c>
      <c r="CV44" s="13">
        <f t="shared" si="41"/>
        <v>37.444100932065233</v>
      </c>
      <c r="CW44" s="20">
        <f t="shared" si="13"/>
        <v>317.78746245668032</v>
      </c>
      <c r="CX44" s="59">
        <f t="shared" si="14"/>
        <v>601.33308194534197</v>
      </c>
      <c r="CY44" s="59">
        <f ca="1">AVERAGE(OFFSET($CX$3,0,0,'Données projet'!$E$13+1,1))-AVERAGE(OFFSET($H$3,0,0,'Données projet'!$E$13+1,1))</f>
        <v>379.66247682099424</v>
      </c>
      <c r="CZ44" s="59">
        <f t="shared" si="42"/>
        <v>342.92507939604081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12.569044843462255</v>
      </c>
      <c r="DG44" s="21">
        <f>EXP(-LN(2)/25)*DG43+(1-EXP(-LN(2)/25))/(LN(2)/25)*Calculateur!DB44*Calculateur!DD44*VLOOKUP('Données projet'!$B$13,Paramètres!$A$1:$I$89,3,0)*0.475*44/12</f>
        <v>4.0638422893809469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16.632887132843202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158.4</v>
      </c>
      <c r="DP44" s="17">
        <f>DO44*VLOOKUP('Données projet'!$B$14,Paramètres!$A$1:$I$89,3,0)*VLOOKUP('Données projet'!$B$14,Paramètres!$A$1:$I$89,5,0)</f>
        <v>150.73344</v>
      </c>
      <c r="DQ44" s="13">
        <f t="shared" si="43"/>
        <v>38.745215146763087</v>
      </c>
      <c r="DR44" s="20">
        <f t="shared" si="16"/>
        <v>330.00865771394569</v>
      </c>
      <c r="DS44" s="59">
        <f t="shared" si="17"/>
        <v>613.55427720260741</v>
      </c>
      <c r="DT44" s="59">
        <f ca="1">AVERAGE(OFFSET($DS$3,0,0,'Données projet'!$E$14+1,1))-AVERAGE(OFFSET($H$3,0,0,'Données projet'!$E$14+1,1))</f>
        <v>544.64394576312384</v>
      </c>
      <c r="DU44" s="59">
        <f t="shared" si="44"/>
        <v>310.67291035925484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3.8</v>
      </c>
      <c r="EJ44" s="12">
        <f>IF('Données projet'!$A$192&gt;35,EJ43+EI44-ER43,IF(A44&lt;'Données projet'!$A$192,$EG$205^A44,IF(A44='Données projet'!$A$192,'Données projet'!$B$192,EJ43+EI44-ER43)))</f>
        <v>69.800000000000011</v>
      </c>
      <c r="EK44" s="17">
        <f>EJ44*VLOOKUP('Données projet'!$B$15,Paramètres!$A$1:$I$89,3,0)*VLOOKUP('Données projet'!$B$15,Paramètres!$A$1:$I$89,5,0)</f>
        <v>67.510560000000012</v>
      </c>
      <c r="EL44" s="13">
        <f t="shared" si="45"/>
        <v>19.053945042628669</v>
      </c>
      <c r="EM44" s="20">
        <f t="shared" si="19"/>
        <v>150.76651294924497</v>
      </c>
      <c r="EN44" s="59">
        <f t="shared" si="20"/>
        <v>434.3121324379066</v>
      </c>
      <c r="EO44" s="59">
        <f ca="1">AVERAGE(OFFSET($EN$3,0,0,'Données projet'!$E$15+1,1))-AVERAGE(OFFSET($H$3,0,0,'Données projet'!$E$15+1,1))</f>
        <v>276.72865583771579</v>
      </c>
      <c r="EP44" s="59">
        <f t="shared" si="46"/>
        <v>174.3587092851154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67.330623496907734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4.25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15.583333333333334</v>
      </c>
      <c r="H45" s="67">
        <f t="shared" si="1"/>
        <v>222.56666666666669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15.25999999999998</v>
      </c>
      <c r="N45" s="13">
        <f>IF('Données projet'!$A$36&gt;35,N44+M45-V44,IF(A45&lt;'Données projet'!$A$36,$K$205^A45,IF(A45='Données projet'!$A$36,'Données projet'!$B$36,N44+M45-V44)))</f>
        <v>336.57384615384592</v>
      </c>
      <c r="O45" s="13">
        <f>N45*VLOOKUP('Données projet'!$B$9,Paramètres!$A$1:$I$89,3,0)*VLOOKUP('Données projet'!$B$9,Paramètres!$A$1:$I$89,5,0)</f>
        <v>201.2711599999999</v>
      </c>
      <c r="P45" s="13">
        <f t="shared" si="33"/>
        <v>50.023427124496244</v>
      </c>
      <c r="Q45" s="20">
        <f t="shared" si="53"/>
        <v>437.67140590849743</v>
      </c>
      <c r="R45" s="59">
        <f t="shared" si="0"/>
        <v>721.87660556337028</v>
      </c>
      <c r="S45" s="59">
        <f ca="1">AVERAGE(OFFSET($R$3,0,0,'Données projet'!$E$9+1,1))-AVERAGE(OFFSET($H$3,0,0,'Données projet'!$E$9+1,1))</f>
        <v>341.11752883785607</v>
      </c>
      <c r="T45" s="59">
        <f t="shared" si="34"/>
        <v>423.15445896616234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11.359491179099555</v>
      </c>
      <c r="AA45" s="21">
        <f>EXP(-LN(2)/25)*AA44+(1-EXP(-LN(2)/25))/(LN(2)/25)*Calculateur!V45*Calculateur!X45*VLOOKUP('Données projet'!$B$9,Paramètres!$A$1:$I$89,3,0)*0.475*44/12</f>
        <v>32.124708030108181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43.484199209207738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153.63504</v>
      </c>
      <c r="AK45" s="13">
        <f t="shared" si="35"/>
        <v>39.403506785222667</v>
      </c>
      <c r="AL45" s="20">
        <f t="shared" si="4"/>
        <v>336.20880231759617</v>
      </c>
      <c r="AM45" s="59">
        <f t="shared" si="5"/>
        <v>620.41400197246901</v>
      </c>
      <c r="AN45" s="59">
        <f ca="1">AVERAGE(OFFSET($AM$3,0,0,'Données projet'!$E$10+1,1))-AVERAGE(OFFSET($H$3,0,0,'Données projet'!$E$10+1,1))</f>
        <v>521.72266623522626</v>
      </c>
      <c r="AO45" s="59">
        <f t="shared" si="36"/>
        <v>298.49205684341825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15.627692307692314</v>
      </c>
      <c r="BD45" s="12">
        <f>IF('Données projet'!$A$88&gt;35,BD44+BC45-BL44,IF(A45&lt;'Données projet'!$A$88,$BA$205^A45,IF(A45='Données projet'!$A$88,'Données projet'!$B$88,BD44+BC45-BL44)))</f>
        <v>300.31230769230768</v>
      </c>
      <c r="BE45" s="13">
        <f>BD45*VLOOKUP('Données projet'!$B$11,Paramètres!$A$1:$I$89,3,0)*VLOOKUP('Données projet'!$B$11,Paramètres!$A$1:$I$89,5,0)</f>
        <v>179.58676000000003</v>
      </c>
      <c r="BF45" s="13">
        <f t="shared" si="37"/>
        <v>45.230235585284923</v>
      </c>
      <c r="BG45" s="20">
        <f t="shared" si="7"/>
        <v>391.55626731103797</v>
      </c>
      <c r="BH45" s="59">
        <f t="shared" si="8"/>
        <v>675.76146696591081</v>
      </c>
      <c r="BI45" s="59">
        <f ca="1">AVERAGE(OFFSET($BH$3,0,0,'Données projet'!$E$11+1,1))-AVERAGE(OFFSET($H$3,0,0,'Données projet'!$E$11+1,1))</f>
        <v>376.5647919688821</v>
      </c>
      <c r="BJ45" s="59">
        <f t="shared" si="38"/>
        <v>340.34037344565581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5.4035472806401001</v>
      </c>
      <c r="BQ45" s="21">
        <f>EXP(-LN(2)/25)*BQ44+(1-EXP(-LN(2)/25))/(LN(2)/25)*Calculateur!BL45*Calculateur!BN45*VLOOKUP('Données projet'!$B$11,Paramètres!$A$1:$I$89,3,0)*0.475*44/12</f>
        <v>17.687788038619217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23.091335319259318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8.8000000000000007</v>
      </c>
      <c r="BY45" s="12">
        <f>IF('Données projet'!$A$114&gt;35,BY44+BX45-CG44,IF(A45&lt;'Données projet'!$A$114,$BV$205^A45,IF(A45='Données projet'!$A$114,'Données projet'!$B$114,BY44+BX45-CG44)))</f>
        <v>149.60000000000005</v>
      </c>
      <c r="BZ45" s="13">
        <f>BY45*VLOOKUP('Données projet'!$B$12,Paramètres!$A$1:$I$89,3,0)*VLOOKUP('Données projet'!$B$12,Paramètres!$A$1:$I$89,5,0)</f>
        <v>151.69440000000006</v>
      </c>
      <c r="CA45" s="13">
        <f t="shared" si="39"/>
        <v>38.963392010880654</v>
      </c>
      <c r="CB45" s="20">
        <f t="shared" si="10"/>
        <v>332.06232108561721</v>
      </c>
      <c r="CC45" s="59">
        <f t="shared" si="11"/>
        <v>616.26752074049</v>
      </c>
      <c r="CD45" s="59">
        <f ca="1">AVERAGE(OFFSET($CC$3,0,0,'Données projet'!$E$12+1,1))-AVERAGE(OFFSET($H$3,0,0,'Données projet'!$E$12+1,1))</f>
        <v>473.09076714002885</v>
      </c>
      <c r="CE45" s="59">
        <f t="shared" si="40"/>
        <v>311.6454557566534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</v>
      </c>
      <c r="CT45" s="12">
        <f>IF('Données projet'!$A$140&gt;35,CT44+CS45-DB44,IF(A45&lt;'Données projet'!$A$140,$CQ$205^A45,IF(A45='Données projet'!$A$140,'Données projet'!$B$140,CT44+CS45-DB44)))</f>
        <v>174.00000000000003</v>
      </c>
      <c r="CU45" s="17">
        <f>CT45*VLOOKUP('Données projet'!$B$13,Paramètres!$A$1:$I$89,3,0)*VLOOKUP('Données projet'!$B$13,Paramètres!$A$1:$I$89,5,0)</f>
        <v>152.00640000000004</v>
      </c>
      <c r="CV45" s="13">
        <f t="shared" si="41"/>
        <v>39.034194016561486</v>
      </c>
      <c r="CW45" s="20">
        <f t="shared" si="13"/>
        <v>332.72903457884462</v>
      </c>
      <c r="CX45" s="59">
        <f t="shared" si="14"/>
        <v>616.93423423371746</v>
      </c>
      <c r="CY45" s="59">
        <f ca="1">AVERAGE(OFFSET($CX$3,0,0,'Données projet'!$E$13+1,1))-AVERAGE(OFFSET($H$3,0,0,'Données projet'!$E$13+1,1))</f>
        <v>379.66247682099424</v>
      </c>
      <c r="CZ45" s="59">
        <f t="shared" si="42"/>
        <v>342.92507939604081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12.322573540442324</v>
      </c>
      <c r="DG45" s="21">
        <f>EXP(-LN(2)/25)*DG44+(1-EXP(-LN(2)/25))/(LN(2)/25)*Calculateur!DB45*Calculateur!DD45*VLOOKUP('Données projet'!$B$13,Paramètres!$A$1:$I$89,3,0)*0.475*44/12</f>
        <v>3.9527163082696468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16.275289848711971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169.8</v>
      </c>
      <c r="DP45" s="17">
        <f>DO45*VLOOKUP('Données projet'!$B$14,Paramètres!$A$1:$I$89,3,0)*VLOOKUP('Données projet'!$B$14,Paramètres!$A$1:$I$89,5,0)</f>
        <v>161.58168000000001</v>
      </c>
      <c r="DQ45" s="13">
        <f t="shared" si="43"/>
        <v>41.199063244334951</v>
      </c>
      <c r="DR45" s="20">
        <f t="shared" si="16"/>
        <v>353.17646115055004</v>
      </c>
      <c r="DS45" s="59">
        <f t="shared" si="17"/>
        <v>637.38166080542283</v>
      </c>
      <c r="DT45" s="59">
        <f ca="1">AVERAGE(OFFSET($DS$3,0,0,'Données projet'!$E$14+1,1))-AVERAGE(OFFSET($H$3,0,0,'Données projet'!$E$14+1,1))</f>
        <v>544.64394576312384</v>
      </c>
      <c r="DU45" s="59">
        <f t="shared" si="44"/>
        <v>310.67291035925484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3.8</v>
      </c>
      <c r="EJ45" s="12">
        <f>IF('Données projet'!$A$192&gt;35,EJ44+EI45-ER44,IF(A45&lt;'Données projet'!$A$192,$EG$205^A45,IF(A45='Données projet'!$A$192,'Données projet'!$B$192,EJ44+EI45-ER44)))</f>
        <v>73.600000000000009</v>
      </c>
      <c r="EK45" s="17">
        <f>EJ45*VLOOKUP('Données projet'!$B$15,Paramètres!$A$1:$I$89,3,0)*VLOOKUP('Données projet'!$B$15,Paramètres!$A$1:$I$89,5,0)</f>
        <v>71.18592000000001</v>
      </c>
      <c r="EL45" s="13">
        <f t="shared" si="45"/>
        <v>19.967674734026197</v>
      </c>
      <c r="EM45" s="20">
        <f t="shared" si="19"/>
        <v>158.75917749509563</v>
      </c>
      <c r="EN45" s="59">
        <f t="shared" si="20"/>
        <v>442.96437714996847</v>
      </c>
      <c r="EO45" s="59">
        <f ca="1">AVERAGE(OFFSET($EN$3,0,0,'Données projet'!$E$15+1,1))-AVERAGE(OFFSET($H$3,0,0,'Données projet'!$E$15+1,1))</f>
        <v>276.72865583771579</v>
      </c>
      <c r="EP45" s="59">
        <f t="shared" si="46"/>
        <v>174.3587092851154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67.5105089967835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4.25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15.583333333333334</v>
      </c>
      <c r="H46" s="67">
        <f t="shared" si="1"/>
        <v>222.56666666666669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15.25999999999998</v>
      </c>
      <c r="N46" s="13">
        <f>IF('Données projet'!$A$36&gt;35,N45+M46-V45,IF(A46&lt;'Données projet'!$A$36,$K$205^A46,IF(A46='Données projet'!$A$36,'Données projet'!$B$36,N45+M46-V45)))</f>
        <v>351.83384615384591</v>
      </c>
      <c r="O46" s="13">
        <f>N46*VLOOKUP('Données projet'!$B$9,Paramètres!$A$1:$I$89,3,0)*VLOOKUP('Données projet'!$B$9,Paramètres!$A$1:$I$89,5,0)</f>
        <v>210.39663999999988</v>
      </c>
      <c r="P46" s="13">
        <f t="shared" si="33"/>
        <v>52.02225199638697</v>
      </c>
      <c r="Q46" s="20">
        <f t="shared" si="53"/>
        <v>457.04623689370709</v>
      </c>
      <c r="R46" s="59">
        <f t="shared" si="0"/>
        <v>741.89957447350764</v>
      </c>
      <c r="S46" s="59">
        <f ca="1">AVERAGE(OFFSET($R$3,0,0,'Données projet'!$E$9+1,1))-AVERAGE(OFFSET($H$3,0,0,'Données projet'!$E$9+1,1))</f>
        <v>341.11752883785607</v>
      </c>
      <c r="T46" s="59">
        <f t="shared" si="34"/>
        <v>423.15445896616234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11.136738485682889</v>
      </c>
      <c r="AA46" s="21">
        <f>EXP(-LN(2)/25)*AA45+(1-EXP(-LN(2)/25))/(LN(2)/25)*Calculateur!V46*Calculateur!X46*VLOOKUP('Données projet'!$B$9,Paramètres!$A$1:$I$89,3,0)*0.475*44/12</f>
        <v>31.2462561996599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42.382994685342787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163.94976</v>
      </c>
      <c r="AK46" s="13">
        <f t="shared" si="35"/>
        <v>41.732126457893308</v>
      </c>
      <c r="AL46" s="20">
        <f t="shared" si="4"/>
        <v>358.22928558083089</v>
      </c>
      <c r="AM46" s="59">
        <f t="shared" si="5"/>
        <v>643.08262316063144</v>
      </c>
      <c r="AN46" s="59">
        <f ca="1">AVERAGE(OFFSET($AM$3,0,0,'Données projet'!$E$10+1,1))-AVERAGE(OFFSET($H$3,0,0,'Données projet'!$E$10+1,1))</f>
        <v>521.72266623522626</v>
      </c>
      <c r="AO46" s="59">
        <f t="shared" si="36"/>
        <v>298.49205684341825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15.627692307692314</v>
      </c>
      <c r="BD46" s="12">
        <f>IF('Données projet'!$A$88&gt;35,BD45+BC46-BL45,IF(A46&lt;'Données projet'!$A$88,$BA$205^A46,IF(A46='Données projet'!$A$88,'Données projet'!$B$88,BD45+BC46-BL45)))</f>
        <v>315.94</v>
      </c>
      <c r="BE46" s="13">
        <f>BD46*VLOOKUP('Données projet'!$B$11,Paramètres!$A$1:$I$89,3,0)*VLOOKUP('Données projet'!$B$11,Paramètres!$A$1:$I$89,5,0)</f>
        <v>188.93212000000003</v>
      </c>
      <c r="BF46" s="13">
        <f t="shared" si="37"/>
        <v>47.303782355145671</v>
      </c>
      <c r="BG46" s="20">
        <f t="shared" si="7"/>
        <v>411.44419660187873</v>
      </c>
      <c r="BH46" s="59">
        <f t="shared" si="8"/>
        <v>696.29753418167934</v>
      </c>
      <c r="BI46" s="59">
        <f ca="1">AVERAGE(OFFSET($BH$3,0,0,'Données projet'!$E$11+1,1))-AVERAGE(OFFSET($H$3,0,0,'Données projet'!$E$11+1,1))</f>
        <v>376.5647919688821</v>
      </c>
      <c r="BJ46" s="59">
        <f t="shared" si="38"/>
        <v>340.34037344565581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5.2975870143051518</v>
      </c>
      <c r="BQ46" s="21">
        <f>EXP(-LN(2)/25)*BQ45+(1-EXP(-LN(2)/25))/(LN(2)/25)*Calculateur!BL46*Calculateur!BN46*VLOOKUP('Données projet'!$B$11,Paramètres!$A$1:$I$89,3,0)*0.475*44/12</f>
        <v>17.204114544542829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22.50170155884798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8.8000000000000007</v>
      </c>
      <c r="BY46" s="12">
        <f>IF('Données projet'!$A$114&gt;35,BY45+BX46-CG45,IF(A46&lt;'Données projet'!$A$114,$BV$205^A46,IF(A46='Données projet'!$A$114,'Données projet'!$B$114,BY45+BX46-CG45)))</f>
        <v>158.40000000000006</v>
      </c>
      <c r="BZ46" s="13">
        <f>BY46*VLOOKUP('Données projet'!$B$12,Paramètres!$A$1:$I$89,3,0)*VLOOKUP('Données projet'!$B$12,Paramètres!$A$1:$I$89,5,0)</f>
        <v>160.6176000000001</v>
      </c>
      <c r="CA46" s="13">
        <f t="shared" si="39"/>
        <v>40.981785561145109</v>
      </c>
      <c r="CB46" s="20">
        <f t="shared" si="10"/>
        <v>351.11892985232788</v>
      </c>
      <c r="CC46" s="59">
        <f t="shared" si="11"/>
        <v>635.97226743212843</v>
      </c>
      <c r="CD46" s="59">
        <f ca="1">AVERAGE(OFFSET($CC$3,0,0,'Données projet'!$E$12+1,1))-AVERAGE(OFFSET($H$3,0,0,'Données projet'!$E$12+1,1))</f>
        <v>473.09076714002885</v>
      </c>
      <c r="CE46" s="59">
        <f t="shared" si="40"/>
        <v>311.6454557566534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</v>
      </c>
      <c r="CT46" s="12">
        <f>IF('Données projet'!$A$140&gt;35,CT45+CS46-DB45,IF(A46&lt;'Données projet'!$A$140,$CQ$205^A46,IF(A46='Données projet'!$A$140,'Données projet'!$B$140,CT45+CS46-DB45)))</f>
        <v>182.00000000000003</v>
      </c>
      <c r="CU46" s="17">
        <f>CT46*VLOOKUP('Données projet'!$B$13,Paramètres!$A$1:$I$89,3,0)*VLOOKUP('Données projet'!$B$13,Paramètres!$A$1:$I$89,5,0)</f>
        <v>158.99520000000004</v>
      </c>
      <c r="CV46" s="13">
        <f t="shared" si="41"/>
        <v>40.615796933386044</v>
      </c>
      <c r="CW46" s="20">
        <f t="shared" si="13"/>
        <v>347.65581965898076</v>
      </c>
      <c r="CX46" s="59">
        <f t="shared" si="14"/>
        <v>632.50915723878131</v>
      </c>
      <c r="CY46" s="59">
        <f ca="1">AVERAGE(OFFSET($CX$3,0,0,'Données projet'!$E$13+1,1))-AVERAGE(OFFSET($H$3,0,0,'Données projet'!$E$13+1,1))</f>
        <v>379.66247682099424</v>
      </c>
      <c r="CZ46" s="59">
        <f t="shared" si="42"/>
        <v>342.92507939604081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12.080935389341963</v>
      </c>
      <c r="DG46" s="21">
        <f>EXP(-LN(2)/25)*DG45+(1-EXP(-LN(2)/25))/(LN(2)/25)*Calculateur!DB46*Calculateur!DD46*VLOOKUP('Données projet'!$B$13,Paramètres!$A$1:$I$89,3,0)*0.475*44/12</f>
        <v>3.8446290729556969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15.925564462297661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181.20000000000002</v>
      </c>
      <c r="DP46" s="17">
        <f>DO46*VLOOKUP('Données projet'!$B$14,Paramètres!$A$1:$I$89,3,0)*VLOOKUP('Données projet'!$B$14,Paramètres!$A$1:$I$89,5,0)</f>
        <v>172.42992000000001</v>
      </c>
      <c r="DQ46" s="13">
        <f t="shared" si="43"/>
        <v>43.633794490192969</v>
      </c>
      <c r="DR46" s="20">
        <f t="shared" si="16"/>
        <v>376.31096940375278</v>
      </c>
      <c r="DS46" s="59">
        <f t="shared" si="17"/>
        <v>661.16430698355339</v>
      </c>
      <c r="DT46" s="59">
        <f ca="1">AVERAGE(OFFSET($DS$3,0,0,'Données projet'!$E$14+1,1))-AVERAGE(OFFSET($H$3,0,0,'Données projet'!$E$14+1,1))</f>
        <v>544.64394576312384</v>
      </c>
      <c r="DU46" s="59">
        <f t="shared" si="44"/>
        <v>310.67291035925484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3.8</v>
      </c>
      <c r="EJ46" s="12">
        <f>IF('Données projet'!$A$192&gt;35,EJ45+EI46-ER45,IF(A46&lt;'Données projet'!$A$192,$EG$205^A46,IF(A46='Données projet'!$A$192,'Données projet'!$B$192,EJ45+EI46-ER45)))</f>
        <v>77.400000000000006</v>
      </c>
      <c r="EK46" s="17">
        <f>EJ46*VLOOKUP('Données projet'!$B$15,Paramètres!$A$1:$I$89,3,0)*VLOOKUP('Données projet'!$B$15,Paramètres!$A$1:$I$89,5,0)</f>
        <v>74.861280000000008</v>
      </c>
      <c r="EL46" s="13">
        <f t="shared" si="45"/>
        <v>20.875927007330482</v>
      </c>
      <c r="EM46" s="20">
        <f t="shared" si="19"/>
        <v>166.74230220443391</v>
      </c>
      <c r="EN46" s="59">
        <f t="shared" si="20"/>
        <v>451.59563978423444</v>
      </c>
      <c r="EO46" s="59">
        <f ca="1">AVERAGE(OFFSET($EN$3,0,0,'Données projet'!$E$15+1,1))-AVERAGE(OFFSET($H$3,0,0,'Données projet'!$E$15+1,1))</f>
        <v>276.72865583771579</v>
      </c>
      <c r="EP46" s="59">
        <f t="shared" si="46"/>
        <v>174.3587092851154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67.68727388540016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4.25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15.583333333333334</v>
      </c>
      <c r="H47" s="67">
        <f t="shared" si="1"/>
        <v>222.56666666666669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15.25999999999998</v>
      </c>
      <c r="N47" s="13">
        <f>IF('Données projet'!$A$36&gt;35,N46+M47-V46,IF(A47&lt;'Données projet'!$A$36,$K$205^A47,IF(A47='Données projet'!$A$36,'Données projet'!$B$36,N46+M47-V46)))</f>
        <v>367.0938461538459</v>
      </c>
      <c r="O47" s="13">
        <f>N47*VLOOKUP('Données projet'!$B$9,Paramètres!$A$1:$I$89,3,0)*VLOOKUP('Données projet'!$B$9,Paramètres!$A$1:$I$89,5,0)</f>
        <v>219.52211999999989</v>
      </c>
      <c r="P47" s="13">
        <f t="shared" si="33"/>
        <v>54.011007722384797</v>
      </c>
      <c r="Q47" s="20">
        <f t="shared" si="53"/>
        <v>476.40353078315326</v>
      </c>
      <c r="R47" s="59">
        <f t="shared" si="0"/>
        <v>761.89376254390345</v>
      </c>
      <c r="S47" s="59">
        <f ca="1">AVERAGE(OFFSET($R$3,0,0,'Données projet'!$E$9+1,1))-AVERAGE(OFFSET($H$3,0,0,'Données projet'!$E$9+1,1))</f>
        <v>341.11752883785607</v>
      </c>
      <c r="T47" s="59">
        <f t="shared" si="34"/>
        <v>423.15445896616234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10.918353836718396</v>
      </c>
      <c r="AA47" s="21">
        <f>EXP(-LN(2)/25)*AA46+(1-EXP(-LN(2)/25))/(LN(2)/25)*Calculateur!V47*Calculateur!X47*VLOOKUP('Données projet'!$B$9,Paramètres!$A$1:$I$89,3,0)*0.475*44/12</f>
        <v>30.391825680711001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41.310179517429397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174.26447999999999</v>
      </c>
      <c r="AK47" s="13">
        <f t="shared" si="35"/>
        <v>44.043743683739521</v>
      </c>
      <c r="AL47" s="20">
        <f t="shared" si="4"/>
        <v>380.22015624917964</v>
      </c>
      <c r="AM47" s="59">
        <f t="shared" si="5"/>
        <v>665.71038800992983</v>
      </c>
      <c r="AN47" s="59">
        <f ca="1">AVERAGE(OFFSET($AM$3,0,0,'Données projet'!$E$10+1,1))-AVERAGE(OFFSET($H$3,0,0,'Données projet'!$E$10+1,1))</f>
        <v>521.72266623522626</v>
      </c>
      <c r="AO47" s="59">
        <f t="shared" si="36"/>
        <v>298.49205684341825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15.627692307692314</v>
      </c>
      <c r="BD47" s="12">
        <f>IF('Données projet'!$A$88&gt;35,BD46+BC47-BL46,IF(A47&lt;'Données projet'!$A$88,$BA$205^A47,IF(A47='Données projet'!$A$88,'Données projet'!$B$88,BD46+BC47-BL46)))</f>
        <v>331.56769230769231</v>
      </c>
      <c r="BE47" s="13">
        <f>BD47*VLOOKUP('Données projet'!$B$11,Paramètres!$A$1:$I$89,3,0)*VLOOKUP('Données projet'!$B$11,Paramètres!$A$1:$I$89,5,0)</f>
        <v>198.27748000000003</v>
      </c>
      <c r="BF47" s="13">
        <f t="shared" si="37"/>
        <v>49.365419600590741</v>
      </c>
      <c r="BG47" s="20">
        <f t="shared" si="7"/>
        <v>431.31138347102888</v>
      </c>
      <c r="BH47" s="59">
        <f t="shared" si="8"/>
        <v>716.80161523177901</v>
      </c>
      <c r="BI47" s="59">
        <f ca="1">AVERAGE(OFFSET($BH$3,0,0,'Données projet'!$E$11+1,1))-AVERAGE(OFFSET($H$3,0,0,'Données projet'!$E$11+1,1))</f>
        <v>376.5647919688821</v>
      </c>
      <c r="BJ47" s="59">
        <f t="shared" si="38"/>
        <v>340.34037344565581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5.1937045641636512</v>
      </c>
      <c r="BQ47" s="21">
        <f>EXP(-LN(2)/25)*BQ46+(1-EXP(-LN(2)/25))/(LN(2)/25)*Calculateur!BL47*Calculateur!BN47*VLOOKUP('Données projet'!$B$11,Paramètres!$A$1:$I$89,3,0)*0.475*44/12</f>
        <v>16.733667127597244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21.927371691760897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8.8000000000000007</v>
      </c>
      <c r="BY47" s="12">
        <f>IF('Données projet'!$A$114&gt;35,BY46+BX47-CG46,IF(A47&lt;'Données projet'!$A$114,$BV$205^A47,IF(A47='Données projet'!$A$114,'Données projet'!$B$114,BY46+BX47-CG46)))</f>
        <v>167.20000000000007</v>
      </c>
      <c r="BZ47" s="13">
        <f>BY47*VLOOKUP('Données projet'!$B$12,Paramètres!$A$1:$I$89,3,0)*VLOOKUP('Données projet'!$B$12,Paramètres!$A$1:$I$89,5,0)</f>
        <v>169.54080000000008</v>
      </c>
      <c r="CA47" s="13">
        <f t="shared" si="39"/>
        <v>42.98716187643425</v>
      </c>
      <c r="CB47" s="20">
        <f t="shared" si="10"/>
        <v>370.15286693478976</v>
      </c>
      <c r="CC47" s="59">
        <f t="shared" si="11"/>
        <v>655.64309869553995</v>
      </c>
      <c r="CD47" s="59">
        <f ca="1">AVERAGE(OFFSET($CC$3,0,0,'Données projet'!$E$12+1,1))-AVERAGE(OFFSET($H$3,0,0,'Données projet'!$E$12+1,1))</f>
        <v>473.09076714002885</v>
      </c>
      <c r="CE47" s="59">
        <f t="shared" si="40"/>
        <v>311.6454557566534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</v>
      </c>
      <c r="CT47" s="12">
        <f>IF('Données projet'!$A$140&gt;35,CT46+CS47-DB46,IF(A47&lt;'Données projet'!$A$140,$CQ$205^A47,IF(A47='Données projet'!$A$140,'Données projet'!$B$140,CT46+CS47-DB46)))</f>
        <v>190.00000000000003</v>
      </c>
      <c r="CU47" s="17">
        <f>CT47*VLOOKUP('Données projet'!$B$13,Paramètres!$A$1:$I$89,3,0)*VLOOKUP('Données projet'!$B$13,Paramètres!$A$1:$I$89,5,0)</f>
        <v>165.98400000000004</v>
      </c>
      <c r="CV47" s="13">
        <f t="shared" si="41"/>
        <v>42.189325525922285</v>
      </c>
      <c r="CW47" s="20">
        <f t="shared" si="13"/>
        <v>362.56854195764805</v>
      </c>
      <c r="CX47" s="59">
        <f t="shared" si="14"/>
        <v>648.05877371839824</v>
      </c>
      <c r="CY47" s="59">
        <f ca="1">AVERAGE(OFFSET($CX$3,0,0,'Données projet'!$E$13+1,1))-AVERAGE(OFFSET($H$3,0,0,'Données projet'!$E$13+1,1))</f>
        <v>379.66247682099424</v>
      </c>
      <c r="CZ47" s="59">
        <f t="shared" si="42"/>
        <v>342.92507939604081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11.844035614999962</v>
      </c>
      <c r="DG47" s="21">
        <f>EXP(-LN(2)/25)*DG46+(1-EXP(-LN(2)/25))/(LN(2)/25)*Calculateur!DB47*Calculateur!DD47*VLOOKUP('Données projet'!$B$13,Paramètres!$A$1:$I$89,3,0)*0.475*44/12</f>
        <v>3.7394974887754673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15.58353310377543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192.60000000000002</v>
      </c>
      <c r="DP47" s="17">
        <f>DO47*VLOOKUP('Données projet'!$B$14,Paramètres!$A$1:$I$89,3,0)*VLOOKUP('Données projet'!$B$14,Paramètres!$A$1:$I$89,5,0)</f>
        <v>183.27816000000001</v>
      </c>
      <c r="DQ47" s="13">
        <f t="shared" si="43"/>
        <v>46.050748514194922</v>
      </c>
      <c r="DR47" s="20">
        <f t="shared" si="16"/>
        <v>399.41451566222281</v>
      </c>
      <c r="DS47" s="59">
        <f t="shared" si="17"/>
        <v>684.90474742297295</v>
      </c>
      <c r="DT47" s="59">
        <f ca="1">AVERAGE(OFFSET($DS$3,0,0,'Données projet'!$E$14+1,1))-AVERAGE(OFFSET($H$3,0,0,'Données projet'!$E$14+1,1))</f>
        <v>544.64394576312384</v>
      </c>
      <c r="DU47" s="59">
        <f t="shared" si="44"/>
        <v>310.67291035925484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3.8</v>
      </c>
      <c r="EJ47" s="12">
        <f>IF('Données projet'!$A$192&gt;35,EJ46+EI47-ER46,IF(A47&lt;'Données projet'!$A$192,$EG$205^A47,IF(A47='Données projet'!$A$192,'Données projet'!$B$192,EJ46+EI47-ER46)))</f>
        <v>81.2</v>
      </c>
      <c r="EK47" s="17">
        <f>EJ47*VLOOKUP('Données projet'!$B$15,Paramètres!$A$1:$I$89,3,0)*VLOOKUP('Données projet'!$B$15,Paramètres!$A$1:$I$89,5,0)</f>
        <v>78.536640000000006</v>
      </c>
      <c r="EL47" s="13">
        <f t="shared" si="45"/>
        <v>21.779001471873372</v>
      </c>
      <c r="EM47" s="20">
        <f t="shared" si="19"/>
        <v>174.71640889684613</v>
      </c>
      <c r="EN47" s="59">
        <f t="shared" si="20"/>
        <v>460.20664065759627</v>
      </c>
      <c r="EO47" s="59">
        <f ca="1">AVERAGE(OFFSET($EN$3,0,0,'Données projet'!$E$15+1,1))-AVERAGE(OFFSET($H$3,0,0,'Données projet'!$E$15+1,1))</f>
        <v>276.72865583771579</v>
      </c>
      <c r="EP47" s="59">
        <f t="shared" si="46"/>
        <v>174.3587092851154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67.8609722983864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4.25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15.583333333333334</v>
      </c>
      <c r="H48" s="67">
        <f t="shared" si="1"/>
        <v>222.56666666666669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382.35384615384606</v>
      </c>
      <c r="L48" s="12">
        <f>VLOOKUP(A48,'Données projet'!$A$35:$I$55,9,0)</f>
        <v>15.25999999999998</v>
      </c>
      <c r="M48" s="12">
        <f t="array" ref="M48">INDEX(L:L,MIN(IF(ISNUMBER(L48:L244),ROW(L48:L244),"")))</f>
        <v>15.25999999999998</v>
      </c>
      <c r="N48" s="13">
        <f>IF('Données projet'!$A$36&gt;35,N47+M48-V47,IF(A48&lt;'Données projet'!$A$36,$K$205^A48,IF(A48='Données projet'!$A$36,'Données projet'!$B$36,N47+M48-V47)))</f>
        <v>382.35384615384589</v>
      </c>
      <c r="O48" s="13">
        <f>N48*VLOOKUP('Données projet'!$B$9,Paramètres!$A$1:$I$89,3,0)*VLOOKUP('Données projet'!$B$9,Paramètres!$A$1:$I$89,5,0)</f>
        <v>228.64759999999987</v>
      </c>
      <c r="P48" s="13">
        <f t="shared" si="33"/>
        <v>55.990160741396586</v>
      </c>
      <c r="Q48" s="20">
        <f t="shared" si="53"/>
        <v>495.74409995793212</v>
      </c>
      <c r="R48" s="59">
        <f t="shared" si="0"/>
        <v>781.86017720947439</v>
      </c>
      <c r="S48" s="59">
        <f ca="1">AVERAGE(OFFSET($R$3,0,0,'Données projet'!$E$9+1,1))-AVERAGE(OFFSET($H$3,0,0,'Données projet'!$E$9+1,1))</f>
        <v>341.11752883785607</v>
      </c>
      <c r="T48" s="59">
        <f t="shared" si="34"/>
        <v>423.15445896616234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9.0000000000000011E-2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10.704251577518614</v>
      </c>
      <c r="AA48" s="21">
        <f>EXP(-LN(2)/25)*AA47+(1-EXP(-LN(2)/25))/(LN(2)/25)*Calculateur!V48*Calculateur!X48*VLOOKUP('Données projet'!$B$9,Paramètres!$A$1:$I$89,3,0)*0.475*44/12</f>
        <v>29.560759609235308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40.265011186753924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184.57920000000001</v>
      </c>
      <c r="AK48" s="13">
        <f t="shared" si="35"/>
        <v>46.339479465836661</v>
      </c>
      <c r="AL48" s="20">
        <f t="shared" si="4"/>
        <v>402.18336673633218</v>
      </c>
      <c r="AM48" s="59">
        <f t="shared" si="5"/>
        <v>688.2994439878745</v>
      </c>
      <c r="AN48" s="59">
        <f ca="1">AVERAGE(OFFSET($AM$3,0,0,'Données projet'!$E$10+1,1))-AVERAGE(OFFSET($H$3,0,0,'Données projet'!$E$10+1,1))</f>
        <v>521.72266623522626</v>
      </c>
      <c r="AO48" s="59">
        <f t="shared" si="36"/>
        <v>298.49205684341825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3.6128293130379046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3.6128293130379046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15.627692307692314</v>
      </c>
      <c r="BD48" s="12">
        <f>IF('Données projet'!$A$88&gt;35,BD47+BC48-BL47,IF(A48&lt;'Données projet'!$A$88,$BA$205^A48,IF(A48='Données projet'!$A$88,'Données projet'!$B$88,BD47+BC48-BL47)))</f>
        <v>347.19538461538463</v>
      </c>
      <c r="BE48" s="13">
        <f>BD48*VLOOKUP('Données projet'!$B$11,Paramètres!$A$1:$I$89,3,0)*VLOOKUP('Données projet'!$B$11,Paramètres!$A$1:$I$89,5,0)</f>
        <v>207.62284000000002</v>
      </c>
      <c r="BF48" s="13">
        <f t="shared" si="37"/>
        <v>51.41577274641886</v>
      </c>
      <c r="BG48" s="20">
        <f t="shared" si="7"/>
        <v>451.15891720001287</v>
      </c>
      <c r="BH48" s="59">
        <f t="shared" si="8"/>
        <v>737.27499445155513</v>
      </c>
      <c r="BI48" s="59">
        <f ca="1">AVERAGE(OFFSET($BH$3,0,0,'Données projet'!$E$11+1,1))-AVERAGE(OFFSET($H$3,0,0,'Données projet'!$E$11+1,1))</f>
        <v>376.5647919688821</v>
      </c>
      <c r="BJ48" s="59">
        <f t="shared" si="38"/>
        <v>340.34037344565581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5.0918591855073876</v>
      </c>
      <c r="BQ48" s="21">
        <f>EXP(-LN(2)/25)*BQ47+(1-EXP(-LN(2)/25))/(LN(2)/25)*Calculateur!BL48*Calculateur!BN48*VLOOKUP('Données projet'!$B$11,Paramètres!$A$1:$I$89,3,0)*0.475*44/12</f>
        <v>16.276084120007788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21.367943305515176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176</v>
      </c>
      <c r="BW48" s="12">
        <f>VLOOKUP(A48,'Données projet'!$A$113:$I$133,9,0)</f>
        <v>8.8000000000000007</v>
      </c>
      <c r="BX48" s="12">
        <f t="array" ref="BX48">INDEX(BW:BW,MIN(IF(ISNUMBER(BW48:BW244),ROW(BW48:BW244),"")))</f>
        <v>8.8000000000000007</v>
      </c>
      <c r="BY48" s="12">
        <f>IF('Données projet'!$A$114&gt;35,BY47+BX48-CG47,IF(A48&lt;'Données projet'!$A$114,$BV$205^A48,IF(A48='Données projet'!$A$114,'Données projet'!$B$114,BY47+BX48-CG47)))</f>
        <v>176.00000000000009</v>
      </c>
      <c r="BZ48" s="13">
        <f>BY48*VLOOKUP('Données projet'!$B$12,Paramètres!$A$1:$I$89,3,0)*VLOOKUP('Données projet'!$B$12,Paramètres!$A$1:$I$89,5,0)</f>
        <v>178.46400000000011</v>
      </c>
      <c r="CA48" s="13">
        <f t="shared" si="39"/>
        <v>44.980284206661857</v>
      </c>
      <c r="CB48" s="20">
        <f t="shared" si="10"/>
        <v>389.16546165993623</v>
      </c>
      <c r="CC48" s="59">
        <f t="shared" si="11"/>
        <v>675.28153891147849</v>
      </c>
      <c r="CD48" s="59">
        <f ca="1">AVERAGE(OFFSET($CC$3,0,0,'Données projet'!$E$12+1,1))-AVERAGE(OFFSET($H$3,0,0,'Données projet'!$E$12+1,1))</f>
        <v>473.09076714002885</v>
      </c>
      <c r="CE48" s="59">
        <f t="shared" si="40"/>
        <v>311.6454557566534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3.7596561200948639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3.7596561200948639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198</v>
      </c>
      <c r="CR48" s="12">
        <f>VLOOKUP(A48,'Données projet'!$A$139:$I$159,9,0)</f>
        <v>8</v>
      </c>
      <c r="CS48" s="12">
        <f t="array" ref="CS48">INDEX(CR:CR,MIN(IF(ISNUMBER(CR48:CR244),ROW(CR48:CR244),"")))</f>
        <v>8</v>
      </c>
      <c r="CT48" s="12">
        <f>IF('Données projet'!$A$140&gt;35,CT47+CS48-DB47,IF(A48&lt;'Données projet'!$A$140,$CQ$205^A48,IF(A48='Données projet'!$A$140,'Données projet'!$B$140,CT47+CS48-DB47)))</f>
        <v>198.00000000000003</v>
      </c>
      <c r="CU48" s="17">
        <f>CT48*VLOOKUP('Données projet'!$B$13,Paramètres!$A$1:$I$89,3,0)*VLOOKUP('Données projet'!$B$13,Paramètres!$A$1:$I$89,5,0)</f>
        <v>172.97280000000003</v>
      </c>
      <c r="CV48" s="13">
        <f t="shared" si="41"/>
        <v>43.75515863819728</v>
      </c>
      <c r="CW48" s="20">
        <f t="shared" si="13"/>
        <v>377.46786129486031</v>
      </c>
      <c r="CX48" s="59">
        <f t="shared" si="14"/>
        <v>663.58393854640258</v>
      </c>
      <c r="CY48" s="59">
        <f ca="1">AVERAGE(OFFSET($CX$3,0,0,'Données projet'!$E$13+1,1))-AVERAGE(OFFSET($H$3,0,0,'Données projet'!$E$13+1,1))</f>
        <v>379.66247682099424</v>
      </c>
      <c r="CZ48" s="59">
        <f t="shared" si="42"/>
        <v>342.92507939604081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26.000000000000004</v>
      </c>
      <c r="DC48" s="16">
        <f>IF(ISNA(VLOOKUP(A48,'Données projet'!$A$139:$I$159,5,0)),0%,VLOOKUP(A48,'Données projet'!$A$139:$I$159,5,0)*VLOOKUP('Données projet'!$B$13,Paramètres!$A$1:$I$89,7,0))</f>
        <v>0.25800000000000001</v>
      </c>
      <c r="DD48" s="16">
        <f>IF(ISNA(VLOOKUP(A48,'Données projet'!$A$139:$I$159,6,0)),0%,VLOOKUP(A48,'Données projet'!$A$139:$I$159,6,0)*VLOOKUP('Données projet'!$B$13,Paramètres!$A$1:$I$89,7,0))</f>
        <v>0.129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18.089957999978594</v>
      </c>
      <c r="DG48" s="21">
        <f>EXP(-LN(2)/25)*DG47+(1-EXP(-LN(2)/25))/(LN(2)/25)*Calculateur!DB48*Calculateur!DD48*VLOOKUP('Données projet'!$B$13,Paramètres!$A$1:$I$89,3,0)*0.475*44/12</f>
        <v>6.8635755578915925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24.953533557870188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204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204.00000000000003</v>
      </c>
      <c r="DP48" s="17">
        <f>DO48*VLOOKUP('Données projet'!$B$14,Paramètres!$A$1:$I$89,3,0)*VLOOKUP('Données projet'!$B$14,Paramètres!$A$1:$I$89,5,0)</f>
        <v>194.12640000000002</v>
      </c>
      <c r="DQ48" s="13">
        <f t="shared" si="43"/>
        <v>48.451097401781084</v>
      </c>
      <c r="DR48" s="20">
        <f t="shared" si="16"/>
        <v>422.48914130810203</v>
      </c>
      <c r="DS48" s="59">
        <f t="shared" si="17"/>
        <v>708.6052185596443</v>
      </c>
      <c r="DT48" s="59">
        <f ca="1">AVERAGE(OFFSET($DS$3,0,0,'Données projet'!$E$14+1,1))-AVERAGE(OFFSET($H$3,0,0,'Données projet'!$E$14+1,1))</f>
        <v>544.64394576312384</v>
      </c>
      <c r="DU48" s="59">
        <f t="shared" si="44"/>
        <v>310.67291035925484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28</v>
      </c>
      <c r="DX48" s="16">
        <f>IF(ISNA(VLOOKUP(A48,'Données projet'!$A$165:$I$185,5,0)),0%,VLOOKUP(A48,'Données projet'!$A$165:$I$185,5,0)*VLOOKUP('Données projet'!$B$14,Paramètres!$A$1:$I$89,7,0))</f>
        <v>0.129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3.7996997947467612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3.7996997947467612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85</v>
      </c>
      <c r="EH48" s="12">
        <f>VLOOKUP(A48,'Données projet'!$A$191:$I$211,9,0)</f>
        <v>3.8</v>
      </c>
      <c r="EI48" s="12">
        <f t="array" ref="EI48">INDEX(EH:EH,MIN(IF(ISNUMBER(EH48:EH244),ROW(EH48:EH244),"")))</f>
        <v>3.8</v>
      </c>
      <c r="EJ48" s="12">
        <f>IF('Données projet'!$A$192&gt;35,EJ47+EI48-ER47,IF(A48&lt;'Données projet'!$A$192,$EG$205^A48,IF(A48='Données projet'!$A$192,'Données projet'!$B$192,EJ47+EI48-ER47)))</f>
        <v>85</v>
      </c>
      <c r="EK48" s="17">
        <f>EJ48*VLOOKUP('Données projet'!$B$15,Paramètres!$A$1:$I$89,3,0)*VLOOKUP('Données projet'!$B$15,Paramètres!$A$1:$I$89,5,0)</f>
        <v>82.212000000000003</v>
      </c>
      <c r="EL48" s="13">
        <f t="shared" si="45"/>
        <v>22.677168109987953</v>
      </c>
      <c r="EM48" s="20">
        <f t="shared" si="19"/>
        <v>182.68196779156236</v>
      </c>
      <c r="EN48" s="59">
        <f t="shared" si="20"/>
        <v>468.79804504310471</v>
      </c>
      <c r="EO48" s="59">
        <f ca="1">AVERAGE(OFFSET($EN$3,0,0,'Données projet'!$E$15+1,1))-AVERAGE(OFFSET($H$3,0,0,'Données projet'!$E$15+1,1))</f>
        <v>276.72865583771579</v>
      </c>
      <c r="EP48" s="59">
        <f t="shared" si="46"/>
        <v>174.3587092851154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9</v>
      </c>
      <c r="ES48" s="16">
        <f>IF(ISNA(VLOOKUP(A48,'Données projet'!$A$191:$I$211,5,0)),0%,VLOOKUP(A48,'Données projet'!$A$191:$I$211,5,0)*VLOOKUP('Données projet'!$B$15,Paramètres!$A$1:$I$89,7,0))</f>
        <v>0.129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1.2413539142088368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1.2413539142088368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68.031657432238816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4.25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15.583333333333334</v>
      </c>
      <c r="H49" s="67">
        <f t="shared" si="1"/>
        <v>222.56666666666669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15.130769230769261</v>
      </c>
      <c r="N49" s="13">
        <f>IF('Données projet'!$A$36&gt;35,N48+M49-V48,IF(A49&lt;'Données projet'!$A$36,$K$205^A49,IF(A49='Données projet'!$A$36,'Données projet'!$B$36,N48+M49-V48)))</f>
        <v>397.48461538461515</v>
      </c>
      <c r="O49" s="13">
        <f>N49*VLOOKUP('Données projet'!$B$9,Paramètres!$A$1:$I$89,3,0)*VLOOKUP('Données projet'!$B$9,Paramètres!$A$1:$I$89,5,0)</f>
        <v>237.69579999999988</v>
      </c>
      <c r="P49" s="13">
        <f t="shared" si="33"/>
        <v>57.943492617788394</v>
      </c>
      <c r="Q49" s="20">
        <f t="shared" si="53"/>
        <v>514.90510130931455</v>
      </c>
      <c r="R49" s="59">
        <f t="shared" si="0"/>
        <v>801.6361670315647</v>
      </c>
      <c r="S49" s="59">
        <f ca="1">AVERAGE(OFFSET($R$3,0,0,'Données projet'!$E$9+1,1))-AVERAGE(OFFSET($H$3,0,0,'Données projet'!$E$9+1,1))</f>
        <v>341.11752883785607</v>
      </c>
      <c r="T49" s="59">
        <f t="shared" si="34"/>
        <v>423.15445896616234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10.494347733032257</v>
      </c>
      <c r="AA49" s="21">
        <f>EXP(-LN(2)/25)*AA48+(1-EXP(-LN(2)/25))/(LN(2)/25)*Calculateur!V49*Calculateur!X49*VLOOKUP('Données projet'!$B$9,Paramètres!$A$1:$I$89,3,0)*0.475*44/12</f>
        <v>28.752419083187984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39.246766816220244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169.19760000000002</v>
      </c>
      <c r="AK49" s="13">
        <f t="shared" si="35"/>
        <v>42.910263223432885</v>
      </c>
      <c r="AL49" s="20">
        <f t="shared" si="4"/>
        <v>369.42119511414558</v>
      </c>
      <c r="AM49" s="59">
        <f t="shared" si="5"/>
        <v>656.15226083639573</v>
      </c>
      <c r="AN49" s="59">
        <f ca="1">AVERAGE(OFFSET($AM$3,0,0,'Données projet'!$E$10+1,1))-AVERAGE(OFFSET($H$3,0,0,'Données projet'!$E$10+1,1))</f>
        <v>521.72266623522626</v>
      </c>
      <c r="AO49" s="59">
        <f t="shared" si="36"/>
        <v>298.49205684341825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3.5419839338175239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3.5419839338175239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362.82307692307694</v>
      </c>
      <c r="BB49" s="12">
        <f>VLOOKUP(A49,'Données projet'!$A$87:$I$107,9,0)</f>
        <v>15.627692307692314</v>
      </c>
      <c r="BC49" s="12">
        <f t="array" ref="BC49">INDEX(BB:BB,MIN(IF(ISNUMBER(BB49:BB245),ROW(BB49:BB245),"")))</f>
        <v>15.627692307692314</v>
      </c>
      <c r="BD49" s="12">
        <f>IF('Données projet'!$A$88&gt;35,BD48+BC49-BL48,IF(A49&lt;'Données projet'!$A$88,$BA$205^A49,IF(A49='Données projet'!$A$88,'Données projet'!$B$88,BD48+BC49-BL48)))</f>
        <v>362.82307692307694</v>
      </c>
      <c r="BE49" s="13">
        <f>BD49*VLOOKUP('Données projet'!$B$11,Paramètres!$A$1:$I$89,3,0)*VLOOKUP('Données projet'!$B$11,Paramètres!$A$1:$I$89,5,0)</f>
        <v>216.96820000000002</v>
      </c>
      <c r="BF49" s="13">
        <f t="shared" si="37"/>
        <v>53.455407732310853</v>
      </c>
      <c r="BG49" s="20">
        <f t="shared" si="7"/>
        <v>470.98778346710804</v>
      </c>
      <c r="BH49" s="59">
        <f t="shared" si="8"/>
        <v>757.71884918935825</v>
      </c>
      <c r="BI49" s="59">
        <f ca="1">AVERAGE(OFFSET($BH$3,0,0,'Données projet'!$E$11+1,1))-AVERAGE(OFFSET($H$3,0,0,'Données projet'!$E$11+1,1))</f>
        <v>376.5647919688821</v>
      </c>
      <c r="BJ49" s="59">
        <f t="shared" si="38"/>
        <v>340.34037344565581</v>
      </c>
      <c r="BK49" s="15">
        <f>IF(ISNA(VLOOKUP(A49,'Données projet'!$A$87:$I$107,3,0)),0,VLOOKUP(A49,'Données projet'!$A$87:$I$107,3,0))</f>
        <v>7</v>
      </c>
      <c r="BL49" s="15">
        <f>IF(ISNA(VLOOKUP(A49,'Données projet'!$A$87:$I$107,4,0)),0,VLOOKUP(A49,'Données projet'!$A$87:$I$107,4,0))</f>
        <v>72.561538461538461</v>
      </c>
      <c r="BM49" s="16">
        <f>IF(ISNA(VLOOKUP(A49,'Données projet'!$A$87:$I$107,5,0)),0%,VLOOKUP(A49,'Données projet'!$A$87:$I$107,5,0)*VLOOKUP('Données projet'!$B$11,Paramètres!$A$1:$I$89,7,0))</f>
        <v>9.0000000000000011E-2</v>
      </c>
      <c r="BN49" s="16">
        <f>IF(ISNA(VLOOKUP(A49,'Données projet'!$A$87:$I$107,6,0)),0%,VLOOKUP(A49,'Données projet'!$A$87:$I$107,6,0)*VLOOKUP('Données projet'!$B$11,Paramètres!$A$1:$I$89,7,0))</f>
        <v>0.22500000000000001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10.172592690985756</v>
      </c>
      <c r="BQ49" s="21">
        <f>EXP(-LN(2)/25)*BQ48+(1-EXP(-LN(2)/25))/(LN(2)/25)*Calculateur!BL49*Calculateur!BN49*VLOOKUP('Données projet'!$B$11,Paramètres!$A$1:$I$89,3,0)*0.475*44/12</f>
        <v>28.731473328923077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38.904066019908832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8.8000000000000007</v>
      </c>
      <c r="BY49" s="12">
        <f>IF('Données projet'!$A$114&gt;35,BY48+BX49-CG48,IF(A49&lt;'Données projet'!$A$114,$BV$205^A49,IF(A49='Données projet'!$A$114,'Données projet'!$B$114,BY48+BX49-CG48)))</f>
        <v>158.8000000000001</v>
      </c>
      <c r="BZ49" s="13">
        <f>BY49*VLOOKUP('Données projet'!$B$12,Paramètres!$A$1:$I$89,3,0)*VLOOKUP('Données projet'!$B$12,Paramètres!$A$1:$I$89,5,0)</f>
        <v>161.02320000000012</v>
      </c>
      <c r="CA49" s="13">
        <f t="shared" si="39"/>
        <v>41.073215330646072</v>
      </c>
      <c r="CB49" s="20">
        <f t="shared" si="10"/>
        <v>351.98459003420868</v>
      </c>
      <c r="CC49" s="59">
        <f t="shared" si="11"/>
        <v>638.71565575645877</v>
      </c>
      <c r="CD49" s="59">
        <f ca="1">AVERAGE(OFFSET($CC$3,0,0,'Données projet'!$E$12+1,1))-AVERAGE(OFFSET($H$3,0,0,'Données projet'!$E$12+1,1))</f>
        <v>473.09076714002885</v>
      </c>
      <c r="CE49" s="59">
        <f t="shared" si="40"/>
        <v>311.6454557566534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3.685931556743606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3.685931556743606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7.4</v>
      </c>
      <c r="CT49" s="12">
        <f>IF('Données projet'!$A$140&gt;35,CT48+CS49-DB48,IF(A49&lt;'Données projet'!$A$140,$CQ$205^A49,IF(A49='Données projet'!$A$140,'Données projet'!$B$140,CT48+CS49-DB48)))</f>
        <v>179.40000000000003</v>
      </c>
      <c r="CU49" s="17">
        <f>CT49*VLOOKUP('Données projet'!$B$13,Paramètres!$A$1:$I$89,3,0)*VLOOKUP('Données projet'!$B$13,Paramètres!$A$1:$I$89,5,0)</f>
        <v>156.72384000000005</v>
      </c>
      <c r="CV49" s="13">
        <f t="shared" si="41"/>
        <v>40.102680984620484</v>
      </c>
      <c r="CW49" s="20">
        <f t="shared" si="13"/>
        <v>342.80619071488076</v>
      </c>
      <c r="CX49" s="59">
        <f t="shared" si="14"/>
        <v>629.53725643713096</v>
      </c>
      <c r="CY49" s="59">
        <f ca="1">AVERAGE(OFFSET($CX$3,0,0,'Données projet'!$E$13+1,1))-AVERAGE(OFFSET($H$3,0,0,'Données projet'!$E$13+1,1))</f>
        <v>379.66247682099424</v>
      </c>
      <c r="CZ49" s="59">
        <f t="shared" si="42"/>
        <v>342.92507939604081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17.735224957383899</v>
      </c>
      <c r="DG49" s="21">
        <f>EXP(-LN(2)/25)*DG48+(1-EXP(-LN(2)/25))/(LN(2)/25)*Calculateur!DB49*Calculateur!DD49*VLOOKUP('Données projet'!$B$13,Paramètres!$A$1:$I$89,3,0)*0.475*44/12</f>
        <v>6.6758907233212952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24.411115680705194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187.00000000000003</v>
      </c>
      <c r="DP49" s="17">
        <f>DO49*VLOOKUP('Données projet'!$B$14,Paramètres!$A$1:$I$89,3,0)*VLOOKUP('Données projet'!$B$14,Paramètres!$A$1:$I$89,5,0)</f>
        <v>177.94920000000005</v>
      </c>
      <c r="DQ49" s="13">
        <f t="shared" si="43"/>
        <v>44.865617113963758</v>
      </c>
      <c r="DR49" s="20">
        <f t="shared" si="16"/>
        <v>388.06913980682026</v>
      </c>
      <c r="DS49" s="59">
        <f t="shared" si="17"/>
        <v>674.80020552907035</v>
      </c>
      <c r="DT49" s="59">
        <f ca="1">AVERAGE(OFFSET($DS$3,0,0,'Données projet'!$E$14+1,1))-AVERAGE(OFFSET($H$3,0,0,'Données projet'!$E$14+1,1))</f>
        <v>544.64394576312384</v>
      </c>
      <c r="DU49" s="59">
        <f t="shared" si="44"/>
        <v>310.67291035925484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3.7251899993598094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3.7251899993598094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3.8</v>
      </c>
      <c r="EJ49" s="12">
        <f>IF('Données projet'!$A$192&gt;35,EJ48+EI49-ER48,IF(A49&lt;'Données projet'!$A$192,$EG$205^A49,IF(A49='Données projet'!$A$192,'Données projet'!$B$192,EJ48+EI49-ER48)))</f>
        <v>79.8</v>
      </c>
      <c r="EK49" s="17">
        <f>EJ49*VLOOKUP('Données projet'!$B$15,Paramètres!$A$1:$I$89,3,0)*VLOOKUP('Données projet'!$B$15,Paramètres!$A$1:$I$89,5,0)</f>
        <v>77.182559999999995</v>
      </c>
      <c r="EL49" s="13">
        <f t="shared" si="45"/>
        <v>21.446874557671695</v>
      </c>
      <c r="EM49" s="20">
        <f t="shared" si="19"/>
        <v>171.77959852127819</v>
      </c>
      <c r="EN49" s="59">
        <f t="shared" si="20"/>
        <v>458.51066424352837</v>
      </c>
      <c r="EO49" s="59">
        <f ca="1">AVERAGE(OFFSET($EN$3,0,0,'Données projet'!$E$15+1,1))-AVERAGE(OFFSET($H$3,0,0,'Données projet'!$E$15+1,1))</f>
        <v>276.72865583771579</v>
      </c>
      <c r="EP49" s="59">
        <f t="shared" si="46"/>
        <v>174.3587092851154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1.2170117211023268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1.2170117211023268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68.199381560613674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4.25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15.583333333333334</v>
      </c>
      <c r="H50" s="67">
        <f t="shared" si="1"/>
        <v>222.56666666666669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15.130769230769261</v>
      </c>
      <c r="N50" s="13">
        <f>IF('Données projet'!$A$36&gt;35,N49+M50-V49,IF(A50&lt;'Données projet'!$A$36,$K$205^A50,IF(A50='Données projet'!$A$36,'Données projet'!$B$36,N49+M50-V49)))</f>
        <v>412.61538461538441</v>
      </c>
      <c r="O50" s="13">
        <f>N50*VLOOKUP('Données projet'!$B$9,Paramètres!$A$1:$I$89,3,0)*VLOOKUP('Données projet'!$B$9,Paramètres!$A$1:$I$89,5,0)</f>
        <v>246.74399999999991</v>
      </c>
      <c r="P50" s="13">
        <f t="shared" si="33"/>
        <v>59.888186384939445</v>
      </c>
      <c r="Q50" s="20">
        <f t="shared" si="53"/>
        <v>534.05105795376937</v>
      </c>
      <c r="R50" s="59">
        <f t="shared" si="0"/>
        <v>821.38644347166883</v>
      </c>
      <c r="S50" s="59">
        <f ca="1">AVERAGE(OFFSET($R$3,0,0,'Données projet'!$E$9+1,1))-AVERAGE(OFFSET($H$3,0,0,'Données projet'!$E$9+1,1))</f>
        <v>341.11752883785607</v>
      </c>
      <c r="T50" s="59">
        <f t="shared" si="34"/>
        <v>423.15445896616234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10.288559974907573</v>
      </c>
      <c r="AA50" s="21">
        <f>EXP(-LN(2)/25)*AA49+(1-EXP(-LN(2)/25))/(LN(2)/25)*Calculateur!V50*Calculateur!X50*VLOOKUP('Données projet'!$B$9,Paramètres!$A$1:$I$89,3,0)*0.475*44/12</f>
        <v>27.966182671334202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38.254742646241773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179.15040000000002</v>
      </c>
      <c r="AK50" s="13">
        <f t="shared" si="35"/>
        <v>45.133113803437304</v>
      </c>
      <c r="AL50" s="20">
        <f t="shared" si="4"/>
        <v>390.62711987431999</v>
      </c>
      <c r="AM50" s="59">
        <f t="shared" si="5"/>
        <v>677.96250539221933</v>
      </c>
      <c r="AN50" s="59">
        <f ca="1">AVERAGE(OFFSET($AM$3,0,0,'Données projet'!$E$10+1,1))-AVERAGE(OFFSET($H$3,0,0,'Données projet'!$E$10+1,1))</f>
        <v>521.72266623522626</v>
      </c>
      <c r="AO50" s="59">
        <f t="shared" si="36"/>
        <v>298.49205684341825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3.4725277892722404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3.4725277892722404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13.632692307692309</v>
      </c>
      <c r="BD50" s="12">
        <f>IF('Données projet'!$A$88&gt;35,BD49+BC50-BL49,IF(A50&lt;'Données projet'!$A$88,$BA$205^A50,IF(A50='Données projet'!$A$88,'Données projet'!$B$88,BD49+BC50-BL49)))</f>
        <v>303.89423076923077</v>
      </c>
      <c r="BE50" s="13">
        <f>BD50*VLOOKUP('Données projet'!$B$11,Paramètres!$A$1:$I$89,3,0)*VLOOKUP('Données projet'!$B$11,Paramètres!$A$1:$I$89,5,0)</f>
        <v>181.72874999999999</v>
      </c>
      <c r="BF50" s="13">
        <f t="shared" si="37"/>
        <v>45.706586970342428</v>
      </c>
      <c r="BG50" s="20">
        <f t="shared" si="7"/>
        <v>396.11654522334635</v>
      </c>
      <c r="BH50" s="59">
        <f t="shared" si="8"/>
        <v>683.45193074124575</v>
      </c>
      <c r="BI50" s="59">
        <f ca="1">AVERAGE(OFFSET($BH$3,0,0,'Données projet'!$E$11+1,1))-AVERAGE(OFFSET($H$3,0,0,'Données projet'!$E$11+1,1))</f>
        <v>376.5647919688821</v>
      </c>
      <c r="BJ50" s="59">
        <f t="shared" si="38"/>
        <v>340.34037344565581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9.9731143529844068</v>
      </c>
      <c r="BQ50" s="21">
        <f>EXP(-LN(2)/25)*BQ49+(1-EXP(-LN(2)/25))/(LN(2)/25)*Calculateur!BL50*Calculateur!BN50*VLOOKUP('Données projet'!$B$11,Paramètres!$A$1:$I$89,3,0)*0.475*44/12</f>
        <v>27.94580967982116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37.918924032805563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8.8000000000000007</v>
      </c>
      <c r="BY50" s="12">
        <f>IF('Données projet'!$A$114&gt;35,BY49+BX50-CG49,IF(A50&lt;'Données projet'!$A$114,$BV$205^A50,IF(A50='Données projet'!$A$114,'Données projet'!$B$114,BY49+BX50-CG49)))</f>
        <v>167.60000000000011</v>
      </c>
      <c r="BZ50" s="13">
        <f>BY50*VLOOKUP('Données projet'!$B$12,Paramètres!$A$1:$I$89,3,0)*VLOOKUP('Données projet'!$B$12,Paramètres!$A$1:$I$89,5,0)</f>
        <v>169.94640000000012</v>
      </c>
      <c r="CA50" s="13">
        <f t="shared" si="39"/>
        <v>43.078018748038829</v>
      </c>
      <c r="CB50" s="20">
        <f t="shared" si="10"/>
        <v>371.01752931950119</v>
      </c>
      <c r="CC50" s="59">
        <f t="shared" si="11"/>
        <v>658.35291483740059</v>
      </c>
      <c r="CD50" s="59">
        <f ca="1">AVERAGE(OFFSET($CC$3,0,0,'Données projet'!$E$12+1,1))-AVERAGE(OFFSET($H$3,0,0,'Données projet'!$E$12+1,1))</f>
        <v>473.09076714002885</v>
      </c>
      <c r="CE50" s="59">
        <f t="shared" si="40"/>
        <v>311.6454557566534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3.6136526871121224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3.6136526871121224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7.4</v>
      </c>
      <c r="CT50" s="12">
        <f>IF('Données projet'!$A$140&gt;35,CT49+CS50-DB49,IF(A50&lt;'Données projet'!$A$140,$CQ$205^A50,IF(A50='Données projet'!$A$140,'Données projet'!$B$140,CT49+CS50-DB49)))</f>
        <v>186.80000000000004</v>
      </c>
      <c r="CU50" s="17">
        <f>CT50*VLOOKUP('Données projet'!$B$13,Paramètres!$A$1:$I$89,3,0)*VLOOKUP('Données projet'!$B$13,Paramètres!$A$1:$I$89,5,0)</f>
        <v>163.18848000000006</v>
      </c>
      <c r="CV50" s="13">
        <f t="shared" si="41"/>
        <v>41.560857991048017</v>
      </c>
      <c r="CW50" s="20">
        <f t="shared" si="13"/>
        <v>356.60509700107536</v>
      </c>
      <c r="CX50" s="59">
        <f t="shared" si="14"/>
        <v>643.9404825189747</v>
      </c>
      <c r="CY50" s="59">
        <f ca="1">AVERAGE(OFFSET($CX$3,0,0,'Données projet'!$E$13+1,1))-AVERAGE(OFFSET($H$3,0,0,'Données projet'!$E$13+1,1))</f>
        <v>379.66247682099424</v>
      </c>
      <c r="CZ50" s="59">
        <f t="shared" si="42"/>
        <v>342.92507939604081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17.387448013388692</v>
      </c>
      <c r="DG50" s="21">
        <f>EXP(-LN(2)/25)*DG49+(1-EXP(-LN(2)/25))/(LN(2)/25)*Calculateur!DB50*Calculateur!DD50*VLOOKUP('Données projet'!$B$13,Paramètres!$A$1:$I$89,3,0)*0.475*44/12</f>
        <v>6.4933381404222388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23.880786153810931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</v>
      </c>
      <c r="DO50" s="12">
        <f>IF('Données projet'!$A$166&gt;35,DO49+DN50-DW49,IF(A50&lt;'Données projet'!$A$166,$DL$205^A50,IF(A50='Données projet'!$A$166,'Données projet'!$B$166,DO49+DN50-DW49)))</f>
        <v>198.00000000000003</v>
      </c>
      <c r="DP50" s="17">
        <f>DO50*VLOOKUP('Données projet'!$B$14,Paramètres!$A$1:$I$89,3,0)*VLOOKUP('Données projet'!$B$14,Paramètres!$A$1:$I$89,5,0)</f>
        <v>188.41680000000002</v>
      </c>
      <c r="DQ50" s="13">
        <f t="shared" si="43"/>
        <v>47.189759534268674</v>
      </c>
      <c r="DR50" s="20">
        <f t="shared" si="16"/>
        <v>410.34809118885124</v>
      </c>
      <c r="DS50" s="59">
        <f t="shared" si="17"/>
        <v>697.68347670675064</v>
      </c>
      <c r="DT50" s="59">
        <f ca="1">AVERAGE(OFFSET($DS$3,0,0,'Données projet'!$E$14+1,1))-AVERAGE(OFFSET($H$3,0,0,'Données projet'!$E$14+1,1))</f>
        <v>544.64394576312384</v>
      </c>
      <c r="DU50" s="59">
        <f t="shared" si="44"/>
        <v>310.67291035925484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3.6521412956139079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3.6521412956139079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3.8</v>
      </c>
      <c r="EJ50" s="12">
        <f>IF('Données projet'!$A$192&gt;35,EJ49+EI50-ER49,IF(A50&lt;'Données projet'!$A$192,$EG$205^A50,IF(A50='Données projet'!$A$192,'Données projet'!$B$192,EJ49+EI50-ER49)))</f>
        <v>83.6</v>
      </c>
      <c r="EK50" s="17">
        <f>EJ50*VLOOKUP('Données projet'!$B$15,Paramètres!$A$1:$I$89,3,0)*VLOOKUP('Données projet'!$B$15,Paramètres!$A$1:$I$89,5,0)</f>
        <v>80.857919999999993</v>
      </c>
      <c r="EL50" s="13">
        <f t="shared" si="45"/>
        <v>22.346819625648891</v>
      </c>
      <c r="EM50" s="20">
        <f t="shared" si="19"/>
        <v>179.74825484800513</v>
      </c>
      <c r="EN50" s="59">
        <f t="shared" si="20"/>
        <v>467.08364036590456</v>
      </c>
      <c r="EO50" s="59">
        <f ca="1">AVERAGE(OFFSET($EN$3,0,0,'Données projet'!$E$15+1,1))-AVERAGE(OFFSET($H$3,0,0,'Données projet'!$E$15+1,1))</f>
        <v>276.72865583771579</v>
      </c>
      <c r="EP50" s="59">
        <f t="shared" si="46"/>
        <v>174.3587092851154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1.1931468635553637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1.1931468635553637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68.364196050336204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4.25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15.583333333333334</v>
      </c>
      <c r="H51" s="67">
        <f t="shared" si="1"/>
        <v>222.56666666666669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15.130769230769261</v>
      </c>
      <c r="M51" s="12">
        <f t="array" ref="M51">INDEX(L:L,MIN(IF(ISNUMBER(L51:L247),ROW(L51:L247),"")))</f>
        <v>15.130769230769261</v>
      </c>
      <c r="N51" s="13">
        <f>IF('Données projet'!$A$36&gt;35,N50+M51-V50,IF(A51&lt;'Données projet'!$A$36,$K$205^A51,IF(A51='Données projet'!$A$36,'Données projet'!$B$36,N50+M51-V50)))</f>
        <v>427.74615384615367</v>
      </c>
      <c r="O51" s="13">
        <f>N51*VLOOKUP('Données projet'!$B$9,Paramètres!$A$1:$I$89,3,0)*VLOOKUP('Données projet'!$B$9,Paramètres!$A$1:$I$89,5,0)</f>
        <v>255.79219999999989</v>
      </c>
      <c r="P51" s="13">
        <f t="shared" si="33"/>
        <v>61.824595084245523</v>
      </c>
      <c r="Q51" s="20">
        <f t="shared" si="53"/>
        <v>553.18258477172742</v>
      </c>
      <c r="R51" s="59">
        <f t="shared" si="0"/>
        <v>841.11180648787831</v>
      </c>
      <c r="S51" s="59">
        <f ca="1">AVERAGE(OFFSET($R$3,0,0,'Données projet'!$E$9+1,1))-AVERAGE(OFFSET($H$3,0,0,'Données projet'!$E$9+1,1))</f>
        <v>341.11752883785607</v>
      </c>
      <c r="T51" s="59">
        <f t="shared" si="34"/>
        <v>423.15445896616234</v>
      </c>
      <c r="U51" s="15">
        <f>IF(ISNA(VLOOKUP(A51,'Données projet'!$A$35:$I$55,3,0)),0,VLOOKUP(A51,'Données projet'!$A$35:$I$55,3,0))</f>
        <v>10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9.0000000000000011E-2</v>
      </c>
      <c r="X51" s="16">
        <f>IF(ISNA(VLOOKUP(A51,'Données projet'!$A$35:$I$55,6,0)),0%,VLOOKUP(A51,'Données projet'!$A$35:$I$55,6,0)*VLOOKUP('Données projet'!$B$9,Paramètres!$A$1:$I$89,7,0))</f>
        <v>0.22500000000000001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16.081849513770877</v>
      </c>
      <c r="AA51" s="21">
        <f>EXP(-LN(2)/25)*AA50+(1-EXP(-LN(2)/25))/(LN(2)/25)*Calculateur!V51*Calculateur!X51*VLOOKUP('Données projet'!$B$9,Paramètres!$A$1:$I$89,3,0)*0.475*44/12</f>
        <v>42.130038836064472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58.211888349835348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189.10320000000002</v>
      </c>
      <c r="AK51" s="13">
        <f t="shared" si="35"/>
        <v>47.34162854278712</v>
      </c>
      <c r="AL51" s="20">
        <f t="shared" si="4"/>
        <v>411.80807637868764</v>
      </c>
      <c r="AM51" s="59">
        <f t="shared" si="5"/>
        <v>699.73729809483848</v>
      </c>
      <c r="AN51" s="59">
        <f ca="1">AVERAGE(OFFSET($AM$3,0,0,'Données projet'!$E$10+1,1))-AVERAGE(OFFSET($H$3,0,0,'Données projet'!$E$10+1,1))</f>
        <v>521.72266623522626</v>
      </c>
      <c r="AO51" s="59">
        <f t="shared" si="36"/>
        <v>298.49205684341825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3.4044336373574247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3.4044336373574247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13.632692307692309</v>
      </c>
      <c r="BD51" s="12">
        <f>IF('Données projet'!$A$88&gt;35,BD50+BC51-BL50,IF(A51&lt;'Données projet'!$A$88,$BA$205^A51,IF(A51='Données projet'!$A$88,'Données projet'!$B$88,BD50+BC51-BL50)))</f>
        <v>317.52692307692308</v>
      </c>
      <c r="BE51" s="13">
        <f>BD51*VLOOKUP('Données projet'!$B$11,Paramètres!$A$1:$I$89,3,0)*VLOOKUP('Données projet'!$B$11,Paramètres!$A$1:$I$89,5,0)</f>
        <v>189.8811</v>
      </c>
      <c r="BF51" s="13">
        <f t="shared" si="37"/>
        <v>47.513664791771497</v>
      </c>
      <c r="BG51" s="20">
        <f t="shared" si="7"/>
        <v>413.46254867900205</v>
      </c>
      <c r="BH51" s="59">
        <f t="shared" si="8"/>
        <v>701.39177039515289</v>
      </c>
      <c r="BI51" s="59">
        <f ca="1">AVERAGE(OFFSET($BH$3,0,0,'Données projet'!$E$11+1,1))-AVERAGE(OFFSET($H$3,0,0,'Données projet'!$E$11+1,1))</f>
        <v>376.5647919688821</v>
      </c>
      <c r="BJ51" s="59">
        <f t="shared" si="38"/>
        <v>340.34037344565581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9.7775476635214922</v>
      </c>
      <c r="BQ51" s="21">
        <f>EXP(-LN(2)/25)*BQ50+(1-EXP(-LN(2)/25))/(LN(2)/25)*Calculateur!BL51*Calculateur!BN51*VLOOKUP('Données projet'!$B$11,Paramètres!$A$1:$I$89,3,0)*0.475*44/12</f>
        <v>27.18163004452019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36.959177708041679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8.8000000000000007</v>
      </c>
      <c r="BY51" s="12">
        <f>IF('Données projet'!$A$114&gt;35,BY50+BX51-CG50,IF(A51&lt;'Données projet'!$A$114,$BV$205^A51,IF(A51='Données projet'!$A$114,'Données projet'!$B$114,BY50+BX51-CG50)))</f>
        <v>176.40000000000012</v>
      </c>
      <c r="BZ51" s="13">
        <f>BY51*VLOOKUP('Données projet'!$B$12,Paramètres!$A$1:$I$89,3,0)*VLOOKUP('Données projet'!$B$12,Paramètres!$A$1:$I$89,5,0)</f>
        <v>178.86960000000013</v>
      </c>
      <c r="CA51" s="13">
        <f t="shared" si="39"/>
        <v>45.07060085766652</v>
      </c>
      <c r="CB51" s="20">
        <f t="shared" si="10"/>
        <v>390.02918316043605</v>
      </c>
      <c r="CC51" s="59">
        <f t="shared" si="11"/>
        <v>677.95840487658688</v>
      </c>
      <c r="CD51" s="59">
        <f ca="1">AVERAGE(OFFSET($CC$3,0,0,'Données projet'!$E$12+1,1))-AVERAGE(OFFSET($H$3,0,0,'Données projet'!$E$12+1,1))</f>
        <v>473.09076714002885</v>
      </c>
      <c r="CE51" s="59">
        <f t="shared" si="40"/>
        <v>311.6454557566534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3.542791162028355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3.542791162028355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7.4</v>
      </c>
      <c r="CT51" s="12">
        <f>IF('Données projet'!$A$140&gt;35,CT50+CS51-DB50,IF(A51&lt;'Données projet'!$A$140,$CQ$205^A51,IF(A51='Données projet'!$A$140,'Données projet'!$B$140,CT50+CS51-DB50)))</f>
        <v>194.20000000000005</v>
      </c>
      <c r="CU51" s="17">
        <f>CT51*VLOOKUP('Données projet'!$B$13,Paramètres!$A$1:$I$89,3,0)*VLOOKUP('Données projet'!$B$13,Paramètres!$A$1:$I$89,5,0)</f>
        <v>169.65312000000006</v>
      </c>
      <c r="CV51" s="13">
        <f t="shared" si="41"/>
        <v>43.012324771430336</v>
      </c>
      <c r="CW51" s="20">
        <f t="shared" si="13"/>
        <v>370.39231631024131</v>
      </c>
      <c r="CX51" s="59">
        <f t="shared" si="14"/>
        <v>658.32153802639209</v>
      </c>
      <c r="CY51" s="59">
        <f ca="1">AVERAGE(OFFSET($CX$3,0,0,'Données projet'!$E$13+1,1))-AVERAGE(OFFSET($H$3,0,0,'Données projet'!$E$13+1,1))</f>
        <v>379.66247682099424</v>
      </c>
      <c r="CZ51" s="59">
        <f t="shared" si="42"/>
        <v>342.92507939604081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17.046490763142241</v>
      </c>
      <c r="DG51" s="21">
        <f>EXP(-LN(2)/25)*DG50+(1-EXP(-LN(2)/25))/(LN(2)/25)*Calculateur!DB51*Calculateur!DD51*VLOOKUP('Données projet'!$B$13,Paramètres!$A$1:$I$89,3,0)*0.475*44/12</f>
        <v>6.3157774675025804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23.362268230644823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</v>
      </c>
      <c r="DO51" s="12">
        <f>IF('Données projet'!$A$166&gt;35,DO50+DN51-DW50,IF(A51&lt;'Données projet'!$A$166,$DL$205^A51,IF(A51='Données projet'!$A$166,'Données projet'!$B$166,DO50+DN51-DW50)))</f>
        <v>209.00000000000003</v>
      </c>
      <c r="DP51" s="17">
        <f>DO51*VLOOKUP('Données projet'!$B$14,Paramètres!$A$1:$I$89,3,0)*VLOOKUP('Données projet'!$B$14,Paramètres!$A$1:$I$89,5,0)</f>
        <v>198.88440000000003</v>
      </c>
      <c r="DQ51" s="13">
        <f t="shared" si="43"/>
        <v>49.498912851979021</v>
      </c>
      <c r="DR51" s="20">
        <f t="shared" si="16"/>
        <v>432.60093655053015</v>
      </c>
      <c r="DS51" s="59">
        <f t="shared" si="17"/>
        <v>720.53015826668093</v>
      </c>
      <c r="DT51" s="59">
        <f ca="1">AVERAGE(OFFSET($DS$3,0,0,'Données projet'!$E$14+1,1))-AVERAGE(OFFSET($H$3,0,0,'Données projet'!$E$14+1,1))</f>
        <v>544.64394576312384</v>
      </c>
      <c r="DU51" s="59">
        <f t="shared" si="44"/>
        <v>310.67291035925484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3.5805250323931537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3.5805250323931537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3.8</v>
      </c>
      <c r="EJ51" s="12">
        <f>IF('Données projet'!$A$192&gt;35,EJ50+EI51-ER50,IF(A51&lt;'Données projet'!$A$192,$EG$205^A51,IF(A51='Données projet'!$A$192,'Données projet'!$B$192,EJ50+EI51-ER50)))</f>
        <v>87.399999999999991</v>
      </c>
      <c r="EK51" s="17">
        <f>EJ51*VLOOKUP('Données projet'!$B$15,Paramètres!$A$1:$I$89,3,0)*VLOOKUP('Données projet'!$B$15,Paramètres!$A$1:$I$89,5,0)</f>
        <v>84.533279999999991</v>
      </c>
      <c r="EL51" s="13">
        <f t="shared" si="45"/>
        <v>23.242014012893971</v>
      </c>
      <c r="EM51" s="20">
        <f t="shared" si="19"/>
        <v>187.70863707245698</v>
      </c>
      <c r="EN51" s="59">
        <f t="shared" si="20"/>
        <v>475.63785878860779</v>
      </c>
      <c r="EO51" s="59">
        <f ca="1">AVERAGE(OFFSET($EN$3,0,0,'Données projet'!$E$15+1,1))-AVERAGE(OFFSET($H$3,0,0,'Données projet'!$E$15+1,1))</f>
        <v>276.72865583771579</v>
      </c>
      <c r="EP51" s="59">
        <f t="shared" si="46"/>
        <v>174.3587092851154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1.1697499813087706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1.1697499813087706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68.526151377132052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4.25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15.583333333333334</v>
      </c>
      <c r="H52" s="67">
        <f t="shared" si="1"/>
        <v>222.56666666666669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12.876923076923077</v>
      </c>
      <c r="N52" s="13">
        <f>IF('Données projet'!$A$36&gt;35,N51+M52-V51,IF(A52&lt;'Données projet'!$A$36,$K$205^A52,IF(A52='Données projet'!$A$36,'Données projet'!$B$36,N51+M52-V51)))</f>
        <v>356.65384615384596</v>
      </c>
      <c r="O52" s="13">
        <f>N52*VLOOKUP('Données projet'!$B$9,Paramètres!$A$1:$I$89,3,0)*VLOOKUP('Données projet'!$B$9,Paramètres!$A$1:$I$89,5,0)</f>
        <v>213.27899999999991</v>
      </c>
      <c r="P52" s="13">
        <f t="shared" si="33"/>
        <v>52.651482289029204</v>
      </c>
      <c r="Q52" s="20">
        <f t="shared" si="53"/>
        <v>463.16225665339226</v>
      </c>
      <c r="R52" s="59">
        <f t="shared" si="0"/>
        <v>751.67501283737374</v>
      </c>
      <c r="S52" s="59">
        <f ca="1">AVERAGE(OFFSET($R$3,0,0,'Données projet'!$E$9+1,1))-AVERAGE(OFFSET($H$3,0,0,'Données projet'!$E$9+1,1))</f>
        <v>341.11752883785607</v>
      </c>
      <c r="T52" s="59">
        <f t="shared" si="34"/>
        <v>423.15445896616234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15.76649425376548</v>
      </c>
      <c r="AA52" s="21">
        <f>EXP(-LN(2)/25)*AA51+(1-EXP(-LN(2)/25))/(LN(2)/25)*Calculateur!V52*Calculateur!X52*VLOOKUP('Données projet'!$B$9,Paramètres!$A$1:$I$89,3,0)*0.475*44/12</f>
        <v>40.977990708569834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56.744484962335314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199.05600000000001</v>
      </c>
      <c r="AK52" s="13">
        <f t="shared" si="35"/>
        <v>49.536648006253934</v>
      </c>
      <c r="AL52" s="20">
        <f t="shared" si="4"/>
        <v>432.96552861089231</v>
      </c>
      <c r="AM52" s="59">
        <f t="shared" si="5"/>
        <v>721.47828479487384</v>
      </c>
      <c r="AN52" s="59">
        <f ca="1">AVERAGE(OFFSET($AM$3,0,0,'Données projet'!$E$10+1,1))-AVERAGE(OFFSET($H$3,0,0,'Données projet'!$E$10+1,1))</f>
        <v>521.72266623522626</v>
      </c>
      <c r="AO52" s="59">
        <f t="shared" si="36"/>
        <v>298.49205684341825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3.3376747702283271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3.3376747702283271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13.632692307692309</v>
      </c>
      <c r="BD52" s="12">
        <f>IF('Données projet'!$A$88&gt;35,BD51+BC52-BL51,IF(A52&lt;'Données projet'!$A$88,$BA$205^A52,IF(A52='Données projet'!$A$88,'Données projet'!$B$88,BD51+BC52-BL51)))</f>
        <v>331.15961538461539</v>
      </c>
      <c r="BE52" s="13">
        <f>BD52*VLOOKUP('Données projet'!$B$11,Paramètres!$A$1:$I$89,3,0)*VLOOKUP('Données projet'!$B$11,Paramètres!$A$1:$I$89,5,0)</f>
        <v>198.03345000000002</v>
      </c>
      <c r="BF52" s="13">
        <f t="shared" si="37"/>
        <v>49.311731320586247</v>
      </c>
      <c r="BG52" s="20">
        <f t="shared" si="7"/>
        <v>430.79285746668774</v>
      </c>
      <c r="BH52" s="59">
        <f t="shared" si="8"/>
        <v>719.30561365066922</v>
      </c>
      <c r="BI52" s="59">
        <f ca="1">AVERAGE(OFFSET($BH$3,0,0,'Données projet'!$E$11+1,1))-AVERAGE(OFFSET($H$3,0,0,'Données projet'!$E$11+1,1))</f>
        <v>376.5647919688821</v>
      </c>
      <c r="BJ52" s="59">
        <f t="shared" si="38"/>
        <v>340.34037344565581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9.5858159175550419</v>
      </c>
      <c r="BQ52" s="21">
        <f>EXP(-LN(2)/25)*BQ51+(1-EXP(-LN(2)/25))/(LN(2)/25)*Calculateur!BL52*Calculateur!BN52*VLOOKUP('Données projet'!$B$11,Paramètres!$A$1:$I$89,3,0)*0.475*44/12</f>
        <v>26.438346941532988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36.02416285908803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8.8000000000000007</v>
      </c>
      <c r="BY52" s="12">
        <f>IF('Données projet'!$A$114&gt;35,BY51+BX52-CG51,IF(A52&lt;'Données projet'!$A$114,$BV$205^A52,IF(A52='Données projet'!$A$114,'Données projet'!$B$114,BY51+BX52-CG51)))</f>
        <v>185.20000000000013</v>
      </c>
      <c r="BZ52" s="13">
        <f>BY52*VLOOKUP('Données projet'!$B$12,Paramètres!$A$1:$I$89,3,0)*VLOOKUP('Données projet'!$B$12,Paramètres!$A$1:$I$89,5,0)</f>
        <v>187.79280000000014</v>
      </c>
      <c r="CA52" s="13">
        <f t="shared" si="39"/>
        <v>47.051640910656296</v>
      </c>
      <c r="CB52" s="20">
        <f t="shared" si="10"/>
        <v>409.02073458605992</v>
      </c>
      <c r="CC52" s="59">
        <f t="shared" si="11"/>
        <v>697.53349077004145</v>
      </c>
      <c r="CD52" s="59">
        <f ca="1">AVERAGE(OFFSET($CC$3,0,0,'Données projet'!$E$12+1,1))-AVERAGE(OFFSET($H$3,0,0,'Données projet'!$E$12+1,1))</f>
        <v>473.09076714002885</v>
      </c>
      <c r="CE52" s="59">
        <f t="shared" si="40"/>
        <v>311.6454557566534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3.4733191882302177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3.4733191882302177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7.4</v>
      </c>
      <c r="CT52" s="12">
        <f>IF('Données projet'!$A$140&gt;35,CT51+CS52-DB51,IF(A52&lt;'Données projet'!$A$140,$CQ$205^A52,IF(A52='Données projet'!$A$140,'Données projet'!$B$140,CT51+CS52-DB51)))</f>
        <v>201.60000000000005</v>
      </c>
      <c r="CU52" s="17">
        <f>CT52*VLOOKUP('Données projet'!$B$13,Paramètres!$A$1:$I$89,3,0)*VLOOKUP('Données projet'!$B$13,Paramètres!$A$1:$I$89,5,0)</f>
        <v>176.11776000000006</v>
      </c>
      <c r="CV52" s="13">
        <f t="shared" si="41"/>
        <v>44.457366290237246</v>
      </c>
      <c r="CW52" s="20">
        <f t="shared" si="13"/>
        <v>384.16834495549665</v>
      </c>
      <c r="CX52" s="59">
        <f t="shared" si="14"/>
        <v>672.68110113947819</v>
      </c>
      <c r="CY52" s="59">
        <f ca="1">AVERAGE(OFFSET($CX$3,0,0,'Données projet'!$E$13+1,1))-AVERAGE(OFFSET($H$3,0,0,'Données projet'!$E$13+1,1))</f>
        <v>379.66247682099424</v>
      </c>
      <c r="CZ52" s="59">
        <f t="shared" si="42"/>
        <v>342.92507939604081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16.712219476609736</v>
      </c>
      <c r="DG52" s="21">
        <f>EXP(-LN(2)/25)*DG51+(1-EXP(-LN(2)/25))/(LN(2)/25)*Calculateur!DB52*Calculateur!DD52*VLOOKUP('Données projet'!$B$13,Paramètres!$A$1:$I$89,3,0)*0.475*44/12</f>
        <v>6.14307220052142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22.855291677131156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</v>
      </c>
      <c r="DO52" s="12">
        <f>IF('Données projet'!$A$166&gt;35,DO51+DN52-DW51,IF(A52&lt;'Données projet'!$A$166,$DL$205^A52,IF(A52='Données projet'!$A$166,'Données projet'!$B$166,DO51+DN52-DW51)))</f>
        <v>220.00000000000003</v>
      </c>
      <c r="DP52" s="17">
        <f>DO52*VLOOKUP('Données projet'!$B$14,Paramètres!$A$1:$I$89,3,0)*VLOOKUP('Données projet'!$B$14,Paramètres!$A$1:$I$89,5,0)</f>
        <v>209.35200000000003</v>
      </c>
      <c r="DQ52" s="13">
        <f t="shared" si="43"/>
        <v>51.79395593509436</v>
      </c>
      <c r="DR52" s="20">
        <f t="shared" si="16"/>
        <v>454.82920658695599</v>
      </c>
      <c r="DS52" s="59">
        <f t="shared" si="17"/>
        <v>743.34196277093747</v>
      </c>
      <c r="DT52" s="59">
        <f ca="1">AVERAGE(OFFSET($DS$3,0,0,'Données projet'!$E$14+1,1))-AVERAGE(OFFSET($H$3,0,0,'Données projet'!$E$14+1,1))</f>
        <v>544.64394576312384</v>
      </c>
      <c r="DU52" s="59">
        <f t="shared" si="44"/>
        <v>310.67291035925484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3.5103131204125511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3.5103131204125511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3.8</v>
      </c>
      <c r="EJ52" s="12">
        <f>IF('Données projet'!$A$192&gt;35,EJ51+EI52-ER51,IF(A52&lt;'Données projet'!$A$192,$EG$205^A52,IF(A52='Données projet'!$A$192,'Données projet'!$B$192,EJ51+EI52-ER51)))</f>
        <v>91.199999999999989</v>
      </c>
      <c r="EK52" s="17">
        <f>EJ52*VLOOKUP('Données projet'!$B$15,Paramètres!$A$1:$I$89,3,0)*VLOOKUP('Données projet'!$B$15,Paramètres!$A$1:$I$89,5,0)</f>
        <v>88.208639999999988</v>
      </c>
      <c r="EL52" s="13">
        <f t="shared" si="45"/>
        <v>24.132687878829255</v>
      </c>
      <c r="EM52" s="20">
        <f t="shared" si="19"/>
        <v>195.6611460556276</v>
      </c>
      <c r="EN52" s="59">
        <f t="shared" si="20"/>
        <v>484.17390223960911</v>
      </c>
      <c r="EO52" s="59">
        <f ca="1">AVERAGE(OFFSET($EN$3,0,0,'Données projet'!$E$15+1,1))-AVERAGE(OFFSET($H$3,0,0,'Données projet'!$E$15+1,1))</f>
        <v>276.72865583771579</v>
      </c>
      <c r="EP52" s="59">
        <f t="shared" si="46"/>
        <v>174.3587092851154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1.1468118976523443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1.1468118976523443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68.685297141085854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4.25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15.583333333333334</v>
      </c>
      <c r="H53" s="67">
        <f t="shared" si="1"/>
        <v>222.56666666666669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12.876923076923077</v>
      </c>
      <c r="N53" s="13">
        <f>IF('Données projet'!$A$36&gt;35,N52+M53-V52,IF(A53&lt;'Données projet'!$A$36,$K$205^A53,IF(A53='Données projet'!$A$36,'Données projet'!$B$36,N52+M53-V52)))</f>
        <v>369.53076923076901</v>
      </c>
      <c r="O53" s="13">
        <f>N53*VLOOKUP('Données projet'!$B$9,Paramètres!$A$1:$I$89,3,0)*VLOOKUP('Données projet'!$B$9,Paramètres!$A$1:$I$89,5,0)</f>
        <v>220.97939999999988</v>
      </c>
      <c r="P53" s="13">
        <f t="shared" si="33"/>
        <v>54.327698409582567</v>
      </c>
      <c r="Q53" s="20">
        <f t="shared" si="53"/>
        <v>479.49319639668943</v>
      </c>
      <c r="R53" s="59">
        <f t="shared" si="0"/>
        <v>768.57936403007238</v>
      </c>
      <c r="S53" s="59">
        <f ca="1">AVERAGE(OFFSET($R$3,0,0,'Données projet'!$E$9+1,1))-AVERAGE(OFFSET($H$3,0,0,'Données projet'!$E$9+1,1))</f>
        <v>341.11752883785607</v>
      </c>
      <c r="T53" s="59">
        <f t="shared" si="34"/>
        <v>423.15445896616234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15.457322918061072</v>
      </c>
      <c r="AA53" s="21">
        <f>EXP(-LN(2)/25)*AA52+(1-EXP(-LN(2)/25))/(LN(2)/25)*Calculateur!V53*Calculateur!X53*VLOOKUP('Données projet'!$B$9,Paramètres!$A$1:$I$89,3,0)*0.475*44/12</f>
        <v>39.857445397705114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55.314768315766187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209.00880000000004</v>
      </c>
      <c r="AK53" s="13">
        <f t="shared" si="35"/>
        <v>51.718923953824252</v>
      </c>
      <c r="AL53" s="20">
        <f t="shared" si="4"/>
        <v>454.10078588624395</v>
      </c>
      <c r="AM53" s="59">
        <f t="shared" si="5"/>
        <v>743.18695351962685</v>
      </c>
      <c r="AN53" s="59">
        <f ca="1">AVERAGE(OFFSET($AM$3,0,0,'Données projet'!$E$10+1,1))-AVERAGE(OFFSET($H$3,0,0,'Données projet'!$E$10+1,1))</f>
        <v>521.72266623522626</v>
      </c>
      <c r="AO53" s="59">
        <f t="shared" si="36"/>
        <v>298.49205684341825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6.8850543168026475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6.8850543168026475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344.7923076923077</v>
      </c>
      <c r="BB53" s="12">
        <f>VLOOKUP(A53,'Données projet'!$A$87:$I$107,9,0)</f>
        <v>13.632692307692309</v>
      </c>
      <c r="BC53" s="12">
        <f t="array" ref="BC53">INDEX(BB:BB,MIN(IF(ISNUMBER(BB53:BB249),ROW(BB53:BB249),"")))</f>
        <v>13.632692307692309</v>
      </c>
      <c r="BD53" s="12">
        <f>IF('Données projet'!$A$88&gt;35,BD52+BC53-BL52,IF(A53&lt;'Données projet'!$A$88,$BA$205^A53,IF(A53='Données projet'!$A$88,'Données projet'!$B$88,BD52+BC53-BL52)))</f>
        <v>344.7923076923077</v>
      </c>
      <c r="BE53" s="13">
        <f>BD53*VLOOKUP('Données projet'!$B$11,Paramètres!$A$1:$I$89,3,0)*VLOOKUP('Données projet'!$B$11,Paramètres!$A$1:$I$89,5,0)</f>
        <v>206.18580000000003</v>
      </c>
      <c r="BF53" s="13">
        <f t="shared" si="37"/>
        <v>51.101199948024529</v>
      </c>
      <c r="BG53" s="20">
        <f t="shared" si="7"/>
        <v>448.10819157614281</v>
      </c>
      <c r="BH53" s="59">
        <f t="shared" si="8"/>
        <v>737.19435920952571</v>
      </c>
      <c r="BI53" s="59">
        <f ca="1">AVERAGE(OFFSET($BH$3,0,0,'Données projet'!$E$11+1,1))-AVERAGE(OFFSET($H$3,0,0,'Données projet'!$E$11+1,1))</f>
        <v>376.5647919688821</v>
      </c>
      <c r="BJ53" s="59">
        <f t="shared" si="38"/>
        <v>340.34037344565581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9.0000000000000011E-2</v>
      </c>
      <c r="BN53" s="16">
        <f>IF(ISNA(VLOOKUP(A53,'Données projet'!$A$87:$I$107,6,0)),0%,VLOOKUP(A53,'Données projet'!$A$87:$I$107,6,0)*VLOOKUP('Données projet'!$B$11,Paramètres!$A$1:$I$89,7,0))</f>
        <v>0.22500000000000001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9.397843914182177</v>
      </c>
      <c r="BQ53" s="21">
        <f>EXP(-LN(2)/25)*BQ52+(1-EXP(-LN(2)/25))/(LN(2)/25)*Calculateur!BL53*Calculateur!BN53*VLOOKUP('Données projet'!$B$11,Paramètres!$A$1:$I$89,3,0)*0.475*44/12</f>
        <v>25.715388954084528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35.113232868266707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194</v>
      </c>
      <c r="BW53" s="12">
        <f>VLOOKUP(A53,'Données projet'!$A$113:$I$133,9,0)</f>
        <v>8.8000000000000007</v>
      </c>
      <c r="BX53" s="12">
        <f t="array" ref="BX53">INDEX(BW:BW,MIN(IF(ISNUMBER(BW53:BW249),ROW(BW53:BW249),"")))</f>
        <v>8.8000000000000007</v>
      </c>
      <c r="BY53" s="12">
        <f>IF('Données projet'!$A$114&gt;35,BY52+BX53-CG52,IF(A53&lt;'Données projet'!$A$114,$BV$205^A53,IF(A53='Données projet'!$A$114,'Données projet'!$B$114,BY52+BX53-CG52)))</f>
        <v>194.00000000000014</v>
      </c>
      <c r="BZ53" s="13">
        <f>BY53*VLOOKUP('Données projet'!$B$12,Paramètres!$A$1:$I$89,3,0)*VLOOKUP('Données projet'!$B$12,Paramètres!$A$1:$I$89,5,0)</f>
        <v>196.71600000000015</v>
      </c>
      <c r="CA53" s="13">
        <f t="shared" si="39"/>
        <v>49.021749959730052</v>
      </c>
      <c r="CB53" s="20">
        <f t="shared" si="10"/>
        <v>427.99324784653004</v>
      </c>
      <c r="CC53" s="59">
        <f t="shared" si="11"/>
        <v>717.079415479913</v>
      </c>
      <c r="CD53" s="59">
        <f ca="1">AVERAGE(OFFSET($CC$3,0,0,'Données projet'!$E$12+1,1))-AVERAGE(OFFSET($H$3,0,0,'Données projet'!$E$12+1,1))</f>
        <v>473.09076714002885</v>
      </c>
      <c r="CE53" s="59">
        <f t="shared" si="40"/>
        <v>311.6454557566534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27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7.3094677960245926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7.3094677960245926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209</v>
      </c>
      <c r="CR53" s="12">
        <f>VLOOKUP(A53,'Données projet'!$A$139:$I$159,9,0)</f>
        <v>7.4</v>
      </c>
      <c r="CS53" s="12">
        <f t="array" ref="CS53">INDEX(CR:CR,MIN(IF(ISNUMBER(CR53:CR249),ROW(CR53:CR249),"")))</f>
        <v>7.4</v>
      </c>
      <c r="CT53" s="12">
        <f>IF('Données projet'!$A$140&gt;35,CT52+CS53-DB52,IF(A53&lt;'Données projet'!$A$140,$CQ$205^A53,IF(A53='Données projet'!$A$140,'Données projet'!$B$140,CT52+CS53-DB52)))</f>
        <v>209.00000000000006</v>
      </c>
      <c r="CU53" s="17">
        <f>CT53*VLOOKUP('Données projet'!$B$13,Paramètres!$A$1:$I$89,3,0)*VLOOKUP('Données projet'!$B$13,Paramètres!$A$1:$I$89,5,0)</f>
        <v>182.58240000000009</v>
      </c>
      <c r="CV53" s="13">
        <f t="shared" si="41"/>
        <v>45.896245406460288</v>
      </c>
      <c r="CW53" s="20">
        <f t="shared" si="13"/>
        <v>397.93364074958509</v>
      </c>
      <c r="CX53" s="59">
        <f t="shared" si="14"/>
        <v>687.01980838296799</v>
      </c>
      <c r="CY53" s="59">
        <f ca="1">AVERAGE(OFFSET($CX$3,0,0,'Données projet'!$E$13+1,1))-AVERAGE(OFFSET($H$3,0,0,'Données projet'!$E$13+1,1))</f>
        <v>379.66247682099424</v>
      </c>
      <c r="CZ53" s="59">
        <f t="shared" si="42"/>
        <v>342.92507939604081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24</v>
      </c>
      <c r="DC53" s="16">
        <f>IF(ISNA(VLOOKUP(A53,'Données projet'!$A$139:$I$159,5,0)),0%,VLOOKUP(A53,'Données projet'!$A$139:$I$159,5,0)*VLOOKUP('Données projet'!$B$13,Paramètres!$A$1:$I$89,7,0))</f>
        <v>0.25800000000000001</v>
      </c>
      <c r="DD53" s="16">
        <f>IF(ISNA(VLOOKUP(A53,'Données projet'!$A$139:$I$159,6,0)),0%,VLOOKUP(A53,'Données projet'!$A$139:$I$159,6,0)*VLOOKUP('Données projet'!$B$13,Paramètres!$A$1:$I$89,7,0))</f>
        <v>0.129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22.364358460804208</v>
      </c>
      <c r="DG53" s="21">
        <f>EXP(-LN(2)/25)*DG52+(1-EXP(-LN(2)/25))/(LN(2)/25)*Calculateur!DB53*Calculateur!DD53*VLOOKUP('Données projet'!$B$13,Paramètres!$A$1:$I$89,3,0)*0.475*44/12</f>
        <v>8.953244790854173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31.317603251658383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231</v>
      </c>
      <c r="DM53" s="12">
        <f>VLOOKUP(A53,'Données projet'!$A$165:$I$185,9,0)</f>
        <v>11</v>
      </c>
      <c r="DN53" s="12">
        <f t="array" ref="DN53">INDEX(DM:DM,MIN(IF(ISNUMBER(DM53:DM249),ROW(DM53:DM249),"")))</f>
        <v>11</v>
      </c>
      <c r="DO53" s="12">
        <f>IF('Données projet'!$A$166&gt;35,DO52+DN53-DW52,IF(A53&lt;'Données projet'!$A$166,$DL$205^A53,IF(A53='Données projet'!$A$166,'Données projet'!$B$166,DO52+DN53-DW52)))</f>
        <v>231.00000000000003</v>
      </c>
      <c r="DP53" s="17">
        <f>DO53*VLOOKUP('Données projet'!$B$14,Paramètres!$A$1:$I$89,3,0)*VLOOKUP('Données projet'!$B$14,Paramètres!$A$1:$I$89,5,0)</f>
        <v>219.81960000000004</v>
      </c>
      <c r="DQ53" s="13">
        <f t="shared" si="43"/>
        <v>54.075674800133456</v>
      </c>
      <c r="DR53" s="20">
        <f t="shared" si="16"/>
        <v>477.03427027689918</v>
      </c>
      <c r="DS53" s="59">
        <f t="shared" si="17"/>
        <v>766.12043791028213</v>
      </c>
      <c r="DT53" s="59">
        <f ca="1">AVERAGE(OFFSET($DS$3,0,0,'Données projet'!$E$14+1,1))-AVERAGE(OFFSET($H$3,0,0,'Données projet'!$E$14+1,1))</f>
        <v>544.64394576312384</v>
      </c>
      <c r="DU53" s="59">
        <f t="shared" si="44"/>
        <v>310.67291035925484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28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7.2411778159476121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7.2411778159476121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95</v>
      </c>
      <c r="EH53" s="12">
        <f>VLOOKUP(A53,'Données projet'!$A$191:$I$211,9,0)</f>
        <v>3.8</v>
      </c>
      <c r="EI53" s="12">
        <f t="array" ref="EI53">INDEX(EH:EH,MIN(IF(ISNUMBER(EH53:EH249),ROW(EH53:EH249),"")))</f>
        <v>3.8</v>
      </c>
      <c r="EJ53" s="12">
        <f>IF('Données projet'!$A$192&gt;35,EJ52+EI53-ER52,IF(A53&lt;'Données projet'!$A$192,$EG$205^A53,IF(A53='Données projet'!$A$192,'Données projet'!$B$192,EJ52+EI53-ER52)))</f>
        <v>94.999999999999986</v>
      </c>
      <c r="EK53" s="17">
        <f>EJ53*VLOOKUP('Données projet'!$B$15,Paramètres!$A$1:$I$89,3,0)*VLOOKUP('Données projet'!$B$15,Paramètres!$A$1:$I$89,5,0)</f>
        <v>91.883999999999986</v>
      </c>
      <c r="EL53" s="13">
        <f t="shared" si="45"/>
        <v>25.019051117801563</v>
      </c>
      <c r="EM53" s="20">
        <f t="shared" si="19"/>
        <v>203.60614736350439</v>
      </c>
      <c r="EN53" s="59">
        <f t="shared" si="20"/>
        <v>492.69231499688726</v>
      </c>
      <c r="EO53" s="59">
        <f ca="1">AVERAGE(OFFSET($EN$3,0,0,'Données projet'!$E$15+1,1))-AVERAGE(OFFSET($H$3,0,0,'Données projet'!$E$15+1,1))</f>
        <v>276.72865583771579</v>
      </c>
      <c r="EP53" s="59">
        <f t="shared" si="46"/>
        <v>174.3587092851154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9</v>
      </c>
      <c r="ES53" s="16">
        <f>IF(ISNA(VLOOKUP(A53,'Données projet'!$A$191:$I$211,5,0)),0%,VLOOKUP(A53,'Données projet'!$A$191:$I$211,5,0)*VLOOKUP('Données projet'!$B$15,Paramètres!$A$1:$I$89,7,0))</f>
        <v>0.129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2.3656775300344073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2.3656775300344073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68.841682081831692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4.25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15.583333333333334</v>
      </c>
      <c r="H54" s="67">
        <f t="shared" si="1"/>
        <v>222.56666666666669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12.876923076923077</v>
      </c>
      <c r="N54" s="13">
        <f>IF('Données projet'!$A$36&gt;35,N53+M54-V53,IF(A54&lt;'Données projet'!$A$36,$K$205^A54,IF(A54='Données projet'!$A$36,'Données projet'!$B$36,N53+M54-V53)))</f>
        <v>382.40769230769206</v>
      </c>
      <c r="O54" s="13">
        <f>N54*VLOOKUP('Données projet'!$B$9,Paramètres!$A$1:$I$89,3,0)*VLOOKUP('Données projet'!$B$9,Paramètres!$A$1:$I$89,5,0)</f>
        <v>228.67979999999989</v>
      </c>
      <c r="P54" s="13">
        <f t="shared" si="33"/>
        <v>55.997127858121772</v>
      </c>
      <c r="Q54" s="20">
        <f t="shared" si="53"/>
        <v>495.81231601956182</v>
      </c>
      <c r="R54" s="59">
        <f t="shared" si="0"/>
        <v>785.461947695655</v>
      </c>
      <c r="S54" s="59">
        <f ca="1">AVERAGE(OFFSET($R$3,0,0,'Données projet'!$E$9+1,1))-AVERAGE(OFFSET($H$3,0,0,'Données projet'!$E$9+1,1))</f>
        <v>341.11752883785607</v>
      </c>
      <c r="T54" s="59">
        <f t="shared" si="34"/>
        <v>423.15445896616234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15.154214243673934</v>
      </c>
      <c r="AA54" s="21">
        <f>EXP(-LN(2)/25)*AA53+(1-EXP(-LN(2)/25))/(LN(2)/25)*Calculateur!V54*Calculateur!X54*VLOOKUP('Données projet'!$B$9,Paramètres!$A$1:$I$89,3,0)*0.475*44/12</f>
        <v>38.767541457292907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53.921755700966841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192.90336000000002</v>
      </c>
      <c r="AK54" s="13">
        <f t="shared" si="35"/>
        <v>48.181276881765257</v>
      </c>
      <c r="AL54" s="20">
        <f t="shared" si="4"/>
        <v>419.88907590240791</v>
      </c>
      <c r="AM54" s="59">
        <f t="shared" si="5"/>
        <v>709.53870757850109</v>
      </c>
      <c r="AN54" s="59">
        <f ca="1">AVERAGE(OFFSET($AM$3,0,0,'Données projet'!$E$10+1,1))-AVERAGE(OFFSET($H$3,0,0,'Données projet'!$E$10+1,1))</f>
        <v>521.72266623522626</v>
      </c>
      <c r="AO54" s="59">
        <f t="shared" si="36"/>
        <v>298.49205684341825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6.7500426011186176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6.7500426011186176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13.901282051282047</v>
      </c>
      <c r="BD54" s="12">
        <f>IF('Données projet'!$A$88&gt;35,BD53+BC54-BL53,IF(A54&lt;'Données projet'!$A$88,$BA$205^A54,IF(A54='Données projet'!$A$88,'Données projet'!$B$88,BD53+BC54-BL53)))</f>
        <v>358.69358974358977</v>
      </c>
      <c r="BE54" s="13">
        <f>BD54*VLOOKUP('Données projet'!$B$11,Paramètres!$A$1:$I$89,3,0)*VLOOKUP('Données projet'!$B$11,Paramètres!$A$1:$I$89,5,0)</f>
        <v>214.49876666666671</v>
      </c>
      <c r="BF54" s="13">
        <f t="shared" si="37"/>
        <v>52.917463342307485</v>
      </c>
      <c r="BG54" s="20">
        <f t="shared" si="7"/>
        <v>465.7499339322967</v>
      </c>
      <c r="BH54" s="59">
        <f t="shared" si="8"/>
        <v>755.39956560838982</v>
      </c>
      <c r="BI54" s="59">
        <f ca="1">AVERAGE(OFFSET($BH$3,0,0,'Données projet'!$E$11+1,1))-AVERAGE(OFFSET($H$3,0,0,'Données projet'!$E$11+1,1))</f>
        <v>376.5647919688821</v>
      </c>
      <c r="BJ54" s="59">
        <f t="shared" si="38"/>
        <v>340.34037344565581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9.213557927143853</v>
      </c>
      <c r="BQ54" s="21">
        <f>EXP(-LN(2)/25)*BQ53+(1-EXP(-LN(2)/25))/(LN(2)/25)*Calculateur!BL54*Calculateur!BN54*VLOOKUP('Données projet'!$B$11,Paramètres!$A$1:$I$89,3,0)*0.475*44/12</f>
        <v>25.012200290821553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34.225758217965407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8.6</v>
      </c>
      <c r="BY54" s="12">
        <f>IF('Données projet'!$A$114&gt;35,BY53+BX54-CG53,IF(A54&lt;'Données projet'!$A$114,$BV$205^A54,IF(A54='Données projet'!$A$114,'Données projet'!$B$114,BY53+BX54-CG53)))</f>
        <v>175.60000000000014</v>
      </c>
      <c r="BZ54" s="13">
        <f>BY54*VLOOKUP('Données projet'!$B$12,Paramètres!$A$1:$I$89,3,0)*VLOOKUP('Données projet'!$B$12,Paramètres!$A$1:$I$89,5,0)</f>
        <v>178.05840000000015</v>
      </c>
      <c r="CA54" s="13">
        <f t="shared" si="39"/>
        <v>44.889943659615312</v>
      </c>
      <c r="CB54" s="20">
        <f t="shared" si="10"/>
        <v>388.30169854049694</v>
      </c>
      <c r="CC54" s="59">
        <f t="shared" si="11"/>
        <v>677.95133021659012</v>
      </c>
      <c r="CD54" s="59">
        <f ca="1">AVERAGE(OFFSET($CC$3,0,0,'Données projet'!$E$12+1,1))-AVERAGE(OFFSET($H$3,0,0,'Données projet'!$E$12+1,1))</f>
        <v>473.09076714002885</v>
      </c>
      <c r="CE54" s="59">
        <f t="shared" si="40"/>
        <v>311.6454557566534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7.1661335908796815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7.1661335908796815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6.6</v>
      </c>
      <c r="CT54" s="12">
        <f>IF('Données projet'!$A$140&gt;35,CT53+CS54-DB53,IF(A54&lt;'Données projet'!$A$140,$CQ$205^A54,IF(A54='Données projet'!$A$140,'Données projet'!$B$140,CT53+CS54-DB53)))</f>
        <v>191.60000000000005</v>
      </c>
      <c r="CU54" s="17">
        <f>CT54*VLOOKUP('Données projet'!$B$13,Paramètres!$A$1:$I$89,3,0)*VLOOKUP('Données projet'!$B$13,Paramètres!$A$1:$I$89,5,0)</f>
        <v>167.38176000000007</v>
      </c>
      <c r="CV54" s="13">
        <f t="shared" si="41"/>
        <v>42.503096259839239</v>
      </c>
      <c r="CW54" s="20">
        <f t="shared" si="13"/>
        <v>365.5494579858867</v>
      </c>
      <c r="CX54" s="59">
        <f t="shared" si="14"/>
        <v>655.19908966197977</v>
      </c>
      <c r="CY54" s="59">
        <f ca="1">AVERAGE(OFFSET($CX$3,0,0,'Données projet'!$E$13+1,1))-AVERAGE(OFFSET($H$3,0,0,'Données projet'!$E$13+1,1))</f>
        <v>379.66247682099424</v>
      </c>
      <c r="CZ54" s="59">
        <f t="shared" si="42"/>
        <v>342.92507939604081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21.92580703229957</v>
      </c>
      <c r="DG54" s="21">
        <f>EXP(-LN(2)/25)*DG53+(1-EXP(-LN(2)/25))/(LN(2)/25)*Calculateur!DB54*Calculateur!DD54*VLOOKUP('Données projet'!$B$13,Paramètres!$A$1:$I$89,3,0)*0.475*44/12</f>
        <v>8.7084178412175852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30.634224873517155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10.199999999999999</v>
      </c>
      <c r="DO54" s="12">
        <f>IF('Données projet'!$A$166&gt;35,DO53+DN54-DW53,IF(A54&lt;'Données projet'!$A$166,$DL$205^A54,IF(A54='Données projet'!$A$166,'Données projet'!$B$166,DO53+DN54-DW53)))</f>
        <v>213.20000000000002</v>
      </c>
      <c r="DP54" s="17">
        <f>DO54*VLOOKUP('Données projet'!$B$14,Paramètres!$A$1:$I$89,3,0)*VLOOKUP('Données projet'!$B$14,Paramètres!$A$1:$I$89,5,0)</f>
        <v>202.88112000000004</v>
      </c>
      <c r="DQ54" s="13">
        <f t="shared" si="43"/>
        <v>50.376822658563356</v>
      </c>
      <c r="DR54" s="20">
        <f t="shared" si="16"/>
        <v>441.09091679699787</v>
      </c>
      <c r="DS54" s="59">
        <f t="shared" si="17"/>
        <v>730.74054847309094</v>
      </c>
      <c r="DT54" s="59">
        <f ca="1">AVERAGE(OFFSET($DS$3,0,0,'Données projet'!$E$14+1,1))-AVERAGE(OFFSET($H$3,0,0,'Données projet'!$E$14+1,1))</f>
        <v>544.64394576312384</v>
      </c>
      <c r="DU54" s="59">
        <f t="shared" si="44"/>
        <v>310.67291035925484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7.0991827356592356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7.0991827356592356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4</v>
      </c>
      <c r="EJ54" s="12">
        <f>IF('Données projet'!$A$192&gt;35,EJ53+EI54-ER53,IF(A54&lt;'Données projet'!$A$192,$EG$205^A54,IF(A54='Données projet'!$A$192,'Données projet'!$B$192,EJ53+EI54-ER53)))</f>
        <v>89.999999999999986</v>
      </c>
      <c r="EK54" s="17">
        <f>EJ54*VLOOKUP('Données projet'!$B$15,Paramètres!$A$1:$I$89,3,0)*VLOOKUP('Données projet'!$B$15,Paramètres!$A$1:$I$89,5,0)</f>
        <v>87.047999999999988</v>
      </c>
      <c r="EL54" s="13">
        <f t="shared" si="45"/>
        <v>23.851897708444891</v>
      </c>
      <c r="EM54" s="20">
        <f t="shared" si="19"/>
        <v>193.15065517554149</v>
      </c>
      <c r="EN54" s="59">
        <f t="shared" si="20"/>
        <v>482.80028685163461</v>
      </c>
      <c r="EO54" s="59">
        <f ca="1">AVERAGE(OFFSET($EN$3,0,0,'Données projet'!$E$15+1,1))-AVERAGE(OFFSET($H$3,0,0,'Données projet'!$E$15+1,1))</f>
        <v>276.72865583771579</v>
      </c>
      <c r="EP54" s="59">
        <f t="shared" si="46"/>
        <v>174.3587092851154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2.3192880365912494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2.3192880365912494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68.995354093479946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4.25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15.583333333333334</v>
      </c>
      <c r="H55" s="67">
        <f t="shared" si="1"/>
        <v>222.56666666666669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12.876923076923077</v>
      </c>
      <c r="N55" s="13">
        <f>IF('Données projet'!$A$36&gt;35,N54+M55-V54,IF(A55&lt;'Données projet'!$A$36,$K$205^A55,IF(A55='Données projet'!$A$36,'Données projet'!$B$36,N54+M55-V54)))</f>
        <v>395.28461538461511</v>
      </c>
      <c r="O55" s="13">
        <f>N55*VLOOKUP('Données projet'!$B$9,Paramètres!$A$1:$I$89,3,0)*VLOOKUP('Données projet'!$B$9,Paramètres!$A$1:$I$89,5,0)</f>
        <v>236.38019999999986</v>
      </c>
      <c r="P55" s="13">
        <f t="shared" si="33"/>
        <v>57.660025363469884</v>
      </c>
      <c r="Q55" s="20">
        <f t="shared" si="53"/>
        <v>512.12005917470981</v>
      </c>
      <c r="R55" s="59">
        <f t="shared" si="0"/>
        <v>802.32338005208896</v>
      </c>
      <c r="S55" s="59">
        <f ca="1">AVERAGE(OFFSET($R$3,0,0,'Données projet'!$E$9+1,1))-AVERAGE(OFFSET($H$3,0,0,'Données projet'!$E$9+1,1))</f>
        <v>341.11752883785607</v>
      </c>
      <c r="T55" s="59">
        <f t="shared" si="34"/>
        <v>423.15445896616234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14.857049345513492</v>
      </c>
      <c r="AA55" s="21">
        <f>EXP(-LN(2)/25)*AA54+(1-EXP(-LN(2)/25))/(LN(2)/25)*Calculateur!V55*Calculateur!X55*VLOOKUP('Données projet'!$B$9,Paramètres!$A$1:$I$89,3,0)*0.475*44/12</f>
        <v>37.707440997446831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52.564490342960326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202.13232000000002</v>
      </c>
      <c r="AK55" s="13">
        <f t="shared" si="35"/>
        <v>50.212497488959627</v>
      </c>
      <c r="AL55" s="20">
        <f t="shared" si="4"/>
        <v>439.50055712660469</v>
      </c>
      <c r="AM55" s="59">
        <f t="shared" si="5"/>
        <v>729.70387800398385</v>
      </c>
      <c r="AN55" s="59">
        <f ca="1">AVERAGE(OFFSET($AM$3,0,0,'Données projet'!$E$10+1,1))-AVERAGE(OFFSET($H$3,0,0,'Données projet'!$E$10+1,1))</f>
        <v>521.72266623522626</v>
      </c>
      <c r="AO55" s="59">
        <f t="shared" si="36"/>
        <v>298.49205684341825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6.6176783828301362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6.6176783828301362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13.901282051282047</v>
      </c>
      <c r="BD55" s="12">
        <f>IF('Données projet'!$A$88&gt;35,BD54+BC55-BL54,IF(A55&lt;'Données projet'!$A$88,$BA$205^A55,IF(A55='Données projet'!$A$88,'Données projet'!$B$88,BD54+BC55-BL54)))</f>
        <v>372.59487179487184</v>
      </c>
      <c r="BE55" s="13">
        <f>BD55*VLOOKUP('Données projet'!$B$11,Paramètres!$A$1:$I$89,3,0)*VLOOKUP('Données projet'!$B$11,Paramètres!$A$1:$I$89,5,0)</f>
        <v>222.81173333333336</v>
      </c>
      <c r="BF55" s="13">
        <f t="shared" si="37"/>
        <v>54.725549648376095</v>
      </c>
      <c r="BG55" s="20">
        <f t="shared" si="7"/>
        <v>483.37743452647732</v>
      </c>
      <c r="BH55" s="59">
        <f t="shared" si="8"/>
        <v>773.58075540385653</v>
      </c>
      <c r="BI55" s="59">
        <f ca="1">AVERAGE(OFFSET($BH$3,0,0,'Données projet'!$E$11+1,1))-AVERAGE(OFFSET($H$3,0,0,'Données projet'!$E$11+1,1))</f>
        <v>376.5647919688821</v>
      </c>
      <c r="BJ55" s="59">
        <f t="shared" si="38"/>
        <v>340.34037344565581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9.0328856759079965</v>
      </c>
      <c r="BQ55" s="21">
        <f>EXP(-LN(2)/25)*BQ54+(1-EXP(-LN(2)/25))/(LN(2)/25)*Calculateur!BL55*Calculateur!BN55*VLOOKUP('Données projet'!$B$11,Paramètres!$A$1:$I$89,3,0)*0.475*44/12</f>
        <v>24.32824035853459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33.361126034442584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8.6</v>
      </c>
      <c r="BY55" s="12">
        <f>IF('Données projet'!$A$114&gt;35,BY54+BX55-CG54,IF(A55&lt;'Données projet'!$A$114,$BV$205^A55,IF(A55='Données projet'!$A$114,'Données projet'!$B$114,BY54+BX55-CG54)))</f>
        <v>184.20000000000013</v>
      </c>
      <c r="BZ55" s="13">
        <f>BY55*VLOOKUP('Données projet'!$B$12,Paramètres!$A$1:$I$89,3,0)*VLOOKUP('Données projet'!$B$12,Paramètres!$A$1:$I$89,5,0)</f>
        <v>186.77880000000013</v>
      </c>
      <c r="CA55" s="13">
        <f t="shared" si="39"/>
        <v>46.827084100026099</v>
      </c>
      <c r="CB55" s="20">
        <f t="shared" si="10"/>
        <v>406.86358147421237</v>
      </c>
      <c r="CC55" s="59">
        <f t="shared" si="11"/>
        <v>697.06690235159158</v>
      </c>
      <c r="CD55" s="59">
        <f ca="1">AVERAGE(OFFSET($CC$3,0,0,'Données projet'!$E$12+1,1))-AVERAGE(OFFSET($H$3,0,0,'Données projet'!$E$12+1,1))</f>
        <v>473.09076714002885</v>
      </c>
      <c r="CE55" s="59">
        <f t="shared" si="40"/>
        <v>311.6454557566534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7.0256100820724301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7.0256100820724301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6.6</v>
      </c>
      <c r="CT55" s="12">
        <f>IF('Données projet'!$A$140&gt;35,CT54+CS55-DB54,IF(A55&lt;'Données projet'!$A$140,$CQ$205^A55,IF(A55='Données projet'!$A$140,'Données projet'!$B$140,CT54+CS55-DB54)))</f>
        <v>198.20000000000005</v>
      </c>
      <c r="CU55" s="17">
        <f>CT55*VLOOKUP('Données projet'!$B$13,Paramètres!$A$1:$I$89,3,0)*VLOOKUP('Données projet'!$B$13,Paramètres!$A$1:$I$89,5,0)</f>
        <v>173.14752000000007</v>
      </c>
      <c r="CV55" s="13">
        <f t="shared" si="41"/>
        <v>43.794208927254068</v>
      </c>
      <c r="CW55" s="20">
        <f t="shared" si="13"/>
        <v>377.84017788163425</v>
      </c>
      <c r="CX55" s="59">
        <f t="shared" si="14"/>
        <v>668.04349875901335</v>
      </c>
      <c r="CY55" s="59">
        <f ca="1">AVERAGE(OFFSET($CX$3,0,0,'Données projet'!$E$13+1,1))-AVERAGE(OFFSET($H$3,0,0,'Données projet'!$E$13+1,1))</f>
        <v>379.66247682099424</v>
      </c>
      <c r="CZ55" s="59">
        <f t="shared" si="42"/>
        <v>342.92507939604081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21.49585532981795</v>
      </c>
      <c r="DG55" s="21">
        <f>EXP(-LN(2)/25)*DG54+(1-EXP(-LN(2)/25))/(LN(2)/25)*Calculateur!DB55*Calculateur!DD55*VLOOKUP('Données projet'!$B$13,Paramètres!$A$1:$I$89,3,0)*0.475*44/12</f>
        <v>8.4702856973936989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29.966141027211648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10.199999999999999</v>
      </c>
      <c r="DO55" s="12">
        <f>IF('Données projet'!$A$166&gt;35,DO54+DN55-DW54,IF(A55&lt;'Données projet'!$A$166,$DL$205^A55,IF(A55='Données projet'!$A$166,'Données projet'!$B$166,DO54+DN55-DW54)))</f>
        <v>223.4</v>
      </c>
      <c r="DP55" s="17">
        <f>DO55*VLOOKUP('Données projet'!$B$14,Paramètres!$A$1:$I$89,3,0)*VLOOKUP('Données projet'!$B$14,Paramètres!$A$1:$I$89,5,0)</f>
        <v>212.58744000000002</v>
      </c>
      <c r="DQ55" s="13">
        <f t="shared" si="43"/>
        <v>52.500602826535129</v>
      </c>
      <c r="DR55" s="20">
        <f t="shared" si="16"/>
        <v>461.69500792288198</v>
      </c>
      <c r="DS55" s="59">
        <f t="shared" si="17"/>
        <v>751.8983288002612</v>
      </c>
      <c r="DT55" s="59">
        <f ca="1">AVERAGE(OFFSET($DS$3,0,0,'Données projet'!$E$14+1,1))-AVERAGE(OFFSET($H$3,0,0,'Données projet'!$E$14+1,1))</f>
        <v>544.64394576312384</v>
      </c>
      <c r="DU55" s="59">
        <f t="shared" si="44"/>
        <v>310.67291035925484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6.9599720922868675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6.9599720922868675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4</v>
      </c>
      <c r="EJ55" s="12">
        <f>IF('Données projet'!$A$192&gt;35,EJ54+EI55-ER54,IF(A55&lt;'Données projet'!$A$192,$EG$205^A55,IF(A55='Données projet'!$A$192,'Données projet'!$B$192,EJ54+EI55-ER54)))</f>
        <v>93.999999999999986</v>
      </c>
      <c r="EK55" s="17">
        <f>EJ55*VLOOKUP('Données projet'!$B$15,Paramètres!$A$1:$I$89,3,0)*VLOOKUP('Données projet'!$B$15,Paramètres!$A$1:$I$89,5,0)</f>
        <v>90.916799999999995</v>
      </c>
      <c r="EL55" s="13">
        <f t="shared" si="45"/>
        <v>24.786204483471451</v>
      </c>
      <c r="EM55" s="20">
        <f t="shared" si="19"/>
        <v>201.51606614204607</v>
      </c>
      <c r="EN55" s="59">
        <f t="shared" si="20"/>
        <v>491.7193870194252</v>
      </c>
      <c r="EO55" s="59">
        <f ca="1">AVERAGE(OFFSET($EN$3,0,0,'Données projet'!$E$15+1,1))-AVERAGE(OFFSET($H$3,0,0,'Données projet'!$E$15+1,1))</f>
        <v>276.72865583771579</v>
      </c>
      <c r="EP55" s="59">
        <f t="shared" si="46"/>
        <v>174.3587092851154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2.2738082128197146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2.2738082128197146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69.146360239285229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4.25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15.583333333333334</v>
      </c>
      <c r="H56" s="67">
        <f t="shared" si="1"/>
        <v>222.56666666666669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12.876923076923077</v>
      </c>
      <c r="N56" s="13">
        <f>IF('Données projet'!$A$36&gt;35,N55+M56-V55,IF(A56&lt;'Données projet'!$A$36,$K$205^A56,IF(A56='Données projet'!$A$36,'Données projet'!$B$36,N55+M56-V55)))</f>
        <v>408.16153846153816</v>
      </c>
      <c r="O56" s="13">
        <f>N56*VLOOKUP('Données projet'!$B$9,Paramètres!$A$1:$I$89,3,0)*VLOOKUP('Données projet'!$B$9,Paramètres!$A$1:$I$89,5,0)</f>
        <v>244.08059999999983</v>
      </c>
      <c r="P56" s="13">
        <f t="shared" si="33"/>
        <v>59.316628116115645</v>
      </c>
      <c r="Q56" s="20">
        <f t="shared" si="53"/>
        <v>528.41683896890106</v>
      </c>
      <c r="R56" s="59">
        <f t="shared" si="0"/>
        <v>819.16424377778765</v>
      </c>
      <c r="S56" s="59">
        <f ca="1">AVERAGE(OFFSET($R$3,0,0,'Données projet'!$E$9+1,1))-AVERAGE(OFFSET($H$3,0,0,'Données projet'!$E$9+1,1))</f>
        <v>341.11752883785607</v>
      </c>
      <c r="T56" s="59">
        <f t="shared" si="34"/>
        <v>423.15445896616234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14.565711669753284</v>
      </c>
      <c r="AA56" s="21">
        <f>EXP(-LN(2)/25)*AA55+(1-EXP(-LN(2)/25))/(LN(2)/25)*Calculateur!V56*Calculateur!X56*VLOOKUP('Données projet'!$B$9,Paramètres!$A$1:$I$89,3,0)*0.475*44/12</f>
        <v>36.676329040423504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51.242040710176788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211.36127999999999</v>
      </c>
      <c r="AK56" s="13">
        <f t="shared" si="35"/>
        <v>52.232947669705631</v>
      </c>
      <c r="AL56" s="20">
        <f t="shared" si="4"/>
        <v>459.09327985807062</v>
      </c>
      <c r="AM56" s="59">
        <f t="shared" si="5"/>
        <v>749.84068466695726</v>
      </c>
      <c r="AN56" s="59">
        <f ca="1">AVERAGE(OFFSET($AM$3,0,0,'Données projet'!$E$10+1,1))-AVERAGE(OFFSET($H$3,0,0,'Données projet'!$E$10+1,1))</f>
        <v>521.72266623522626</v>
      </c>
      <c r="AO56" s="59">
        <f t="shared" si="36"/>
        <v>298.49205684341825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6.487909746128091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6.487909746128091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13.901282051282047</v>
      </c>
      <c r="BD56" s="12">
        <f>IF('Données projet'!$A$88&gt;35,BD55+BC56-BL55,IF(A56&lt;'Données projet'!$A$88,$BA$205^A56,IF(A56='Données projet'!$A$88,'Données projet'!$B$88,BD55+BC56-BL55)))</f>
        <v>386.4961538461539</v>
      </c>
      <c r="BE56" s="13">
        <f>BD56*VLOOKUP('Données projet'!$B$11,Paramètres!$A$1:$I$89,3,0)*VLOOKUP('Données projet'!$B$11,Paramètres!$A$1:$I$89,5,0)</f>
        <v>231.12470000000005</v>
      </c>
      <c r="BF56" s="13">
        <f t="shared" si="37"/>
        <v>56.525798881877812</v>
      </c>
      <c r="BG56" s="20">
        <f t="shared" si="7"/>
        <v>500.99128555260387</v>
      </c>
      <c r="BH56" s="59">
        <f t="shared" si="8"/>
        <v>791.7386903614904</v>
      </c>
      <c r="BI56" s="59">
        <f ca="1">AVERAGE(OFFSET($BH$3,0,0,'Données projet'!$E$11+1,1))-AVERAGE(OFFSET($H$3,0,0,'Données projet'!$E$11+1,1))</f>
        <v>376.5647919688821</v>
      </c>
      <c r="BJ56" s="59">
        <f t="shared" si="38"/>
        <v>340.34037344565581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8.8557562973196831</v>
      </c>
      <c r="BQ56" s="21">
        <f>EXP(-LN(2)/25)*BQ55+(1-EXP(-LN(2)/25))/(LN(2)/25)*Calculateur!BL56*Calculateur!BN56*VLOOKUP('Données projet'!$B$11,Paramètres!$A$1:$I$89,3,0)*0.475*44/12</f>
        <v>23.662983346563905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32.518739643883592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8.6</v>
      </c>
      <c r="BY56" s="12">
        <f>IF('Données projet'!$A$114&gt;35,BY55+BX56-CG55,IF(A56&lt;'Données projet'!$A$114,$BV$205^A56,IF(A56='Données projet'!$A$114,'Données projet'!$B$114,BY55+BX56-CG55)))</f>
        <v>192.80000000000013</v>
      </c>
      <c r="BZ56" s="13">
        <f>BY56*VLOOKUP('Données projet'!$B$12,Paramètres!$A$1:$I$89,3,0)*VLOOKUP('Données projet'!$B$12,Paramètres!$A$1:$I$89,5,0)</f>
        <v>195.49920000000014</v>
      </c>
      <c r="CA56" s="13">
        <f t="shared" si="39"/>
        <v>48.753721622209305</v>
      </c>
      <c r="CB56" s="20">
        <f t="shared" si="10"/>
        <v>425.40717182534809</v>
      </c>
      <c r="CC56" s="59">
        <f t="shared" si="11"/>
        <v>716.15457663423467</v>
      </c>
      <c r="CD56" s="59">
        <f ca="1">AVERAGE(OFFSET($CC$3,0,0,'Données projet'!$E$12+1,1))-AVERAGE(OFFSET($H$3,0,0,'Données projet'!$E$12+1,1))</f>
        <v>473.09076714002885</v>
      </c>
      <c r="CE56" s="59">
        <f t="shared" si="40"/>
        <v>311.6454557566534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6.8878421535620111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6.8878421535620111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6.6</v>
      </c>
      <c r="CT56" s="12">
        <f>IF('Données projet'!$A$140&gt;35,CT55+CS56-DB55,IF(A56&lt;'Données projet'!$A$140,$CQ$205^A56,IF(A56='Données projet'!$A$140,'Données projet'!$B$140,CT55+CS56-DB55)))</f>
        <v>204.80000000000004</v>
      </c>
      <c r="CU56" s="17">
        <f>CT56*VLOOKUP('Données projet'!$B$13,Paramètres!$A$1:$I$89,3,0)*VLOOKUP('Données projet'!$B$13,Paramètres!$A$1:$I$89,5,0)</f>
        <v>178.91328000000004</v>
      </c>
      <c r="CV56" s="13">
        <f t="shared" si="41"/>
        <v>45.080325843494848</v>
      </c>
      <c r="CW56" s="20">
        <f t="shared" si="13"/>
        <v>390.12219684408689</v>
      </c>
      <c r="CX56" s="59">
        <f t="shared" si="14"/>
        <v>680.86960165297342</v>
      </c>
      <c r="CY56" s="59">
        <f ca="1">AVERAGE(OFFSET($CX$3,0,0,'Données projet'!$E$13+1,1))-AVERAGE(OFFSET($H$3,0,0,'Données projet'!$E$13+1,1))</f>
        <v>379.66247682099424</v>
      </c>
      <c r="CZ56" s="59">
        <f t="shared" si="42"/>
        <v>342.92507939604081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21.074334717977351</v>
      </c>
      <c r="DG56" s="21">
        <f>EXP(-LN(2)/25)*DG55+(1-EXP(-LN(2)/25))/(LN(2)/25)*Calculateur!DB56*Calculateur!DD56*VLOOKUP('Données projet'!$B$13,Paramètres!$A$1:$I$89,3,0)*0.475*44/12</f>
        <v>8.2386652895655033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29.313000007542854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10.199999999999999</v>
      </c>
      <c r="DO56" s="12">
        <f>IF('Données projet'!$A$166&gt;35,DO55+DN56-DW55,IF(A56&lt;'Données projet'!$A$166,$DL$205^A56,IF(A56='Données projet'!$A$166,'Données projet'!$B$166,DO55+DN56-DW55)))</f>
        <v>233.6</v>
      </c>
      <c r="DP56" s="17">
        <f>DO56*VLOOKUP('Données projet'!$B$14,Paramètres!$A$1:$I$89,3,0)*VLOOKUP('Données projet'!$B$14,Paramètres!$A$1:$I$89,5,0)</f>
        <v>222.29375999999999</v>
      </c>
      <c r="DQ56" s="13">
        <f t="shared" si="43"/>
        <v>54.613121776493159</v>
      </c>
      <c r="DR56" s="20">
        <f t="shared" si="16"/>
        <v>482.27948576072555</v>
      </c>
      <c r="DS56" s="59">
        <f t="shared" si="17"/>
        <v>773.02689056961208</v>
      </c>
      <c r="DT56" s="59">
        <f ca="1">AVERAGE(OFFSET($DS$3,0,0,'Données projet'!$E$14+1,1))-AVERAGE(OFFSET($H$3,0,0,'Données projet'!$E$14+1,1))</f>
        <v>544.64394576312384</v>
      </c>
      <c r="DU56" s="59">
        <f t="shared" si="44"/>
        <v>310.67291035925484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6.823491284720923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6.823491284720923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4</v>
      </c>
      <c r="EJ56" s="12">
        <f>IF('Données projet'!$A$192&gt;35,EJ55+EI56-ER55,IF(A56&lt;'Données projet'!$A$192,$EG$205^A56,IF(A56='Données projet'!$A$192,'Données projet'!$B$192,EJ55+EI56-ER55)))</f>
        <v>97.999999999999986</v>
      </c>
      <c r="EK56" s="17">
        <f>EJ56*VLOOKUP('Données projet'!$B$15,Paramètres!$A$1:$I$89,3,0)*VLOOKUP('Données projet'!$B$15,Paramètres!$A$1:$I$89,5,0)</f>
        <v>94.785599999999988</v>
      </c>
      <c r="EL56" s="13">
        <f t="shared" si="45"/>
        <v>25.715893428674526</v>
      </c>
      <c r="EM56" s="20">
        <f t="shared" si="19"/>
        <v>209.87343438827475</v>
      </c>
      <c r="EN56" s="59">
        <f t="shared" si="20"/>
        <v>500.62083919716133</v>
      </c>
      <c r="EO56" s="59">
        <f ca="1">AVERAGE(OFFSET($EN$3,0,0,'Données projet'!$E$15+1,1))-AVERAGE(OFFSET($H$3,0,0,'Données projet'!$E$15+1,1))</f>
        <v>276.72865583771579</v>
      </c>
      <c r="EP56" s="59">
        <f t="shared" si="46"/>
        <v>174.3587092851154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2.2292202206523863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2.2292202206523863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69.294746766059973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4.25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15.583333333333334</v>
      </c>
      <c r="H57" s="67">
        <f t="shared" si="1"/>
        <v>222.56666666666669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421.03846153846155</v>
      </c>
      <c r="L57" s="12">
        <f>VLOOKUP(A57,'Données projet'!$A$35:$I$55,9,0)</f>
        <v>12.876923076923077</v>
      </c>
      <c r="M57" s="12">
        <f t="array" ref="M57">INDEX(L:L,MIN(IF(ISNUMBER(L57:L253),ROW(L57:L253),"")))</f>
        <v>12.876923076923077</v>
      </c>
      <c r="N57" s="13">
        <f>IF('Données projet'!$A$36&gt;35,N56+M57-V56,IF(A57&lt;'Données projet'!$A$36,$K$205^A57,IF(A57='Données projet'!$A$36,'Données projet'!$B$36,N56+M57-V56)))</f>
        <v>421.03846153846121</v>
      </c>
      <c r="O57" s="13">
        <f>N57*VLOOKUP('Données projet'!$B$9,Paramètres!$A$1:$I$89,3,0)*VLOOKUP('Données projet'!$B$9,Paramètres!$A$1:$I$89,5,0)</f>
        <v>251.78099999999981</v>
      </c>
      <c r="P57" s="13">
        <f t="shared" si="33"/>
        <v>60.967157490550505</v>
      </c>
      <c r="Q57" s="20">
        <f t="shared" si="53"/>
        <v>544.70304096270831</v>
      </c>
      <c r="R57" s="59">
        <f t="shared" si="0"/>
        <v>835.98509106328004</v>
      </c>
      <c r="S57" s="59">
        <f ca="1">AVERAGE(OFFSET($R$3,0,0,'Données projet'!$E$9+1,1))-AVERAGE(OFFSET($H$3,0,0,'Données projet'!$E$9+1,1))</f>
        <v>341.11752883785607</v>
      </c>
      <c r="T57" s="59">
        <f t="shared" si="34"/>
        <v>423.15445896616234</v>
      </c>
      <c r="U57" s="15">
        <f>IF(ISNA(VLOOKUP(A57,'Données projet'!$A$35:$I$55,3,0)),0,VLOOKUP(A57,'Données projet'!$A$35:$I$55,3,0))</f>
        <v>11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0.315</v>
      </c>
      <c r="X57" s="16">
        <f>IF(ISNA(VLOOKUP(A57,'Données projet'!$A$35:$I$55,6,0)),0%,VLOOKUP(A57,'Données projet'!$A$35:$I$55,6,0)*VLOOKUP('Données projet'!$B$9,Paramètres!$A$1:$I$89,7,0))</f>
        <v>0.13500000000000001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14.280086948116299</v>
      </c>
      <c r="AA57" s="21">
        <f>EXP(-LN(2)/25)*AA56+(1-EXP(-LN(2)/25))/(LN(2)/25)*Calculateur!V57*Calculateur!X57*VLOOKUP('Données projet'!$B$9,Paramètres!$A$1:$I$89,3,0)*0.475*44/12</f>
        <v>35.673412894088806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49.953499842205105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220.59023999999997</v>
      </c>
      <c r="AK57" s="13">
        <f t="shared" si="35"/>
        <v>54.24315145708789</v>
      </c>
      <c r="AL57" s="20">
        <f t="shared" si="4"/>
        <v>478.66815678776129</v>
      </c>
      <c r="AM57" s="59">
        <f t="shared" si="5"/>
        <v>769.95020688833301</v>
      </c>
      <c r="AN57" s="59">
        <f ca="1">AVERAGE(OFFSET($AM$3,0,0,'Données projet'!$E$10+1,1))-AVERAGE(OFFSET($H$3,0,0,'Données projet'!$E$10+1,1))</f>
        <v>521.72266623522626</v>
      </c>
      <c r="AO57" s="59">
        <f t="shared" si="36"/>
        <v>298.49205684341825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6.3606857932407195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6.3606857932407195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13.901282051282047</v>
      </c>
      <c r="BD57" s="12">
        <f>IF('Données projet'!$A$88&gt;35,BD56+BC57-BL56,IF(A57&lt;'Données projet'!$A$88,$BA$205^A57,IF(A57='Données projet'!$A$88,'Données projet'!$B$88,BD56+BC57-BL56)))</f>
        <v>400.39743589743597</v>
      </c>
      <c r="BE57" s="13">
        <f>BD57*VLOOKUP('Données projet'!$B$11,Paramètres!$A$1:$I$89,3,0)*VLOOKUP('Données projet'!$B$11,Paramètres!$A$1:$I$89,5,0)</f>
        <v>239.4376666666667</v>
      </c>
      <c r="BF57" s="13">
        <f t="shared" si="37"/>
        <v>58.318525213065612</v>
      </c>
      <c r="BG57" s="20">
        <f t="shared" si="7"/>
        <v>518.59203419053381</v>
      </c>
      <c r="BH57" s="59">
        <f t="shared" si="8"/>
        <v>809.87408429110553</v>
      </c>
      <c r="BI57" s="59">
        <f ca="1">AVERAGE(OFFSET($BH$3,0,0,'Données projet'!$E$11+1,1))-AVERAGE(OFFSET($H$3,0,0,'Données projet'!$E$11+1,1))</f>
        <v>376.5647919688821</v>
      </c>
      <c r="BJ57" s="59">
        <f t="shared" si="38"/>
        <v>340.34037344565581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8.6821003178072331</v>
      </c>
      <c r="BQ57" s="21">
        <f>EXP(-LN(2)/25)*BQ56+(1-EXP(-LN(2)/25))/(LN(2)/25)*Calculateur!BL57*Calculateur!BN57*VLOOKUP('Données projet'!$B$11,Paramètres!$A$1:$I$89,3,0)*0.475*44/12</f>
        <v>23.015917822569904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31.698018140377137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8.6</v>
      </c>
      <c r="BY57" s="12">
        <f>IF('Données projet'!$A$114&gt;35,BY56+BX57-CG56,IF(A57&lt;'Données projet'!$A$114,$BV$205^A57,IF(A57='Données projet'!$A$114,'Données projet'!$B$114,BY56+BX57-CG56)))</f>
        <v>201.40000000000012</v>
      </c>
      <c r="BZ57" s="13">
        <f>BY57*VLOOKUP('Données projet'!$B$12,Paramètres!$A$1:$I$89,3,0)*VLOOKUP('Données projet'!$B$12,Paramètres!$A$1:$I$89,5,0)</f>
        <v>204.21960000000013</v>
      </c>
      <c r="CA57" s="13">
        <f t="shared" si="39"/>
        <v>50.67037824783673</v>
      </c>
      <c r="CB57" s="20">
        <f t="shared" si="10"/>
        <v>443.9333787816492</v>
      </c>
      <c r="CC57" s="59">
        <f t="shared" si="11"/>
        <v>735.21542888222098</v>
      </c>
      <c r="CD57" s="59">
        <f ca="1">AVERAGE(OFFSET($CC$3,0,0,'Données projet'!$E$12+1,1))-AVERAGE(OFFSET($H$3,0,0,'Données projet'!$E$12+1,1))</f>
        <v>473.09076714002885</v>
      </c>
      <c r="CE57" s="59">
        <f t="shared" si="40"/>
        <v>311.6454557566534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6.752775770099543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6.752775770099543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6.6</v>
      </c>
      <c r="CT57" s="12">
        <f>IF('Données projet'!$A$140&gt;35,CT56+CS57-DB56,IF(A57&lt;'Données projet'!$A$140,$CQ$205^A57,IF(A57='Données projet'!$A$140,'Données projet'!$B$140,CT56+CS57-DB56)))</f>
        <v>211.40000000000003</v>
      </c>
      <c r="CU57" s="17">
        <f>CT57*VLOOKUP('Données projet'!$B$13,Paramètres!$A$1:$I$89,3,0)*VLOOKUP('Données projet'!$B$13,Paramètres!$A$1:$I$89,5,0)</f>
        <v>184.67904000000004</v>
      </c>
      <c r="CV57" s="13">
        <f t="shared" si="41"/>
        <v>46.361626470742223</v>
      </c>
      <c r="CW57" s="20">
        <f t="shared" si="13"/>
        <v>402.39582743654279</v>
      </c>
      <c r="CX57" s="59">
        <f t="shared" si="14"/>
        <v>693.67787753711445</v>
      </c>
      <c r="CY57" s="59">
        <f ca="1">AVERAGE(OFFSET($CX$3,0,0,'Données projet'!$E$13+1,1))-AVERAGE(OFFSET($H$3,0,0,'Données projet'!$E$13+1,1))</f>
        <v>379.66247682099424</v>
      </c>
      <c r="CZ57" s="59">
        <f t="shared" si="42"/>
        <v>342.92507939604081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20.661079868232758</v>
      </c>
      <c r="DG57" s="21">
        <f>EXP(-LN(2)/25)*DG56+(1-EXP(-LN(2)/25))/(LN(2)/25)*Calculateur!DB57*Calculateur!DD57*VLOOKUP('Données projet'!$B$13,Paramètres!$A$1:$I$89,3,0)*0.475*44/12</f>
        <v>8.0133785539697566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28.674458422202513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10.199999999999999</v>
      </c>
      <c r="DO57" s="12">
        <f>IF('Données projet'!$A$166&gt;35,DO56+DN57-DW56,IF(A57&lt;'Données projet'!$A$166,$DL$205^A57,IF(A57='Données projet'!$A$166,'Données projet'!$B$166,DO56+DN57-DW56)))</f>
        <v>243.79999999999998</v>
      </c>
      <c r="DP57" s="17">
        <f>DO57*VLOOKUP('Données projet'!$B$14,Paramètres!$A$1:$I$89,3,0)*VLOOKUP('Données projet'!$B$14,Paramètres!$A$1:$I$89,5,0)</f>
        <v>232.00008</v>
      </c>
      <c r="DQ57" s="13">
        <f t="shared" si="43"/>
        <v>56.714927420893837</v>
      </c>
      <c r="DR57" s="20">
        <f t="shared" si="16"/>
        <v>502.84530459139</v>
      </c>
      <c r="DS57" s="59">
        <f t="shared" si="17"/>
        <v>794.12735469196173</v>
      </c>
      <c r="DT57" s="59">
        <f ca="1">AVERAGE(OFFSET($DS$3,0,0,'Données projet'!$E$14+1,1))-AVERAGE(OFFSET($H$3,0,0,'Données projet'!$E$14+1,1))</f>
        <v>544.64394576312384</v>
      </c>
      <c r="DU57" s="59">
        <f t="shared" si="44"/>
        <v>310.67291035925484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6.689686782546274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6.689686782546274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4</v>
      </c>
      <c r="EJ57" s="12">
        <f>IF('Données projet'!$A$192&gt;35,EJ56+EI57-ER56,IF(A57&lt;'Données projet'!$A$192,$EG$205^A57,IF(A57='Données projet'!$A$192,'Données projet'!$B$192,EJ56+EI57-ER56)))</f>
        <v>101.99999999999999</v>
      </c>
      <c r="EK57" s="17">
        <f>EJ57*VLOOKUP('Données projet'!$B$15,Paramètres!$A$1:$I$89,3,0)*VLOOKUP('Données projet'!$B$15,Paramètres!$A$1:$I$89,5,0)</f>
        <v>98.654399999999981</v>
      </c>
      <c r="EL57" s="13">
        <f t="shared" si="45"/>
        <v>26.641174586135573</v>
      </c>
      <c r="EM57" s="20">
        <f t="shared" si="19"/>
        <v>218.22312573751944</v>
      </c>
      <c r="EN57" s="59">
        <f t="shared" si="20"/>
        <v>509.50517583809119</v>
      </c>
      <c r="EO57" s="59">
        <f ca="1">AVERAGE(OFFSET($EN$3,0,0,'Données projet'!$E$15+1,1))-AVERAGE(OFFSET($H$3,0,0,'Données projet'!$E$15+1,1))</f>
        <v>276.72865583771579</v>
      </c>
      <c r="EP57" s="59">
        <f t="shared" si="46"/>
        <v>174.3587092851154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2.1855065718154694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2.1855065718154694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69.440559118337745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4.25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15.583333333333334</v>
      </c>
      <c r="H58" s="67">
        <f t="shared" si="1"/>
        <v>222.56666666666669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12.719230769230734</v>
      </c>
      <c r="N58" s="13">
        <f>IF('Données projet'!$A$36&gt;35,N57+M58-V57,IF(A58&lt;'Données projet'!$A$36,$K$205^A58,IF(A58='Données projet'!$A$36,'Données projet'!$B$36,N57+M58-V57)))</f>
        <v>433.75769230769197</v>
      </c>
      <c r="O58" s="13">
        <f>N58*VLOOKUP('Données projet'!$B$9,Paramètres!$A$1:$I$89,3,0)*VLOOKUP('Données projet'!$B$9,Paramètres!$A$1:$I$89,5,0)</f>
        <v>259.3870999999998</v>
      </c>
      <c r="P58" s="13">
        <f t="shared" si="33"/>
        <v>62.591714504318197</v>
      </c>
      <c r="Q58" s="20">
        <f t="shared" si="53"/>
        <v>560.77976859502053</v>
      </c>
      <c r="R58" s="59">
        <f t="shared" si="0"/>
        <v>852.58718908675451</v>
      </c>
      <c r="S58" s="59">
        <f ca="1">AVERAGE(OFFSET($R$3,0,0,'Données projet'!$E$9+1,1))-AVERAGE(OFFSET($H$3,0,0,'Données projet'!$E$9+1,1))</f>
        <v>341.11752883785607</v>
      </c>
      <c r="T58" s="59">
        <f t="shared" si="34"/>
        <v>423.15445896616234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14.000063153056736</v>
      </c>
      <c r="AA58" s="21">
        <f>EXP(-LN(2)/25)*AA57+(1-EXP(-LN(2)/25))/(LN(2)/25)*Calculateur!V58*Calculateur!X58*VLOOKUP('Données projet'!$B$9,Paramètres!$A$1:$I$89,3,0)*0.475*44/12</f>
        <v>34.697921542516696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48.697984695573432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229.81919999999997</v>
      </c>
      <c r="AK58" s="13">
        <f t="shared" si="35"/>
        <v>56.243586554989342</v>
      </c>
      <c r="AL58" s="20">
        <f t="shared" si="4"/>
        <v>498.22601991660639</v>
      </c>
      <c r="AM58" s="59">
        <f t="shared" si="5"/>
        <v>790.03344040834031</v>
      </c>
      <c r="AN58" s="59">
        <f ca="1">AVERAGE(OFFSET($AM$3,0,0,'Données projet'!$E$10+1,1))-AVERAGE(OFFSET($H$3,0,0,'Données projet'!$E$10+1,1))</f>
        <v>521.72266623522626</v>
      </c>
      <c r="AO58" s="59">
        <f t="shared" si="36"/>
        <v>298.49205684341825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9.8487859375084241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9.8487859375084241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13.901282051282047</v>
      </c>
      <c r="BD58" s="12">
        <f>IF('Données projet'!$A$88&gt;35,BD57+BC58-BL57,IF(A58&lt;'Données projet'!$A$88,$BA$205^A58,IF(A58='Données projet'!$A$88,'Données projet'!$B$88,BD57+BC58-BL57)))</f>
        <v>414.29871794871804</v>
      </c>
      <c r="BE58" s="13">
        <f>BD58*VLOOKUP('Données projet'!$B$11,Paramètres!$A$1:$I$89,3,0)*VLOOKUP('Données projet'!$B$11,Paramètres!$A$1:$I$89,5,0)</f>
        <v>247.75063333333341</v>
      </c>
      <c r="BF58" s="13">
        <f t="shared" si="37"/>
        <v>60.104019759858637</v>
      </c>
      <c r="BG58" s="20">
        <f t="shared" si="7"/>
        <v>536.18018747064286</v>
      </c>
      <c r="BH58" s="59">
        <f t="shared" si="8"/>
        <v>827.98760796237684</v>
      </c>
      <c r="BI58" s="59">
        <f ca="1">AVERAGE(OFFSET($BH$3,0,0,'Données projet'!$E$11+1,1))-AVERAGE(OFFSET($H$3,0,0,'Données projet'!$E$11+1,1))</f>
        <v>376.5647919688821</v>
      </c>
      <c r="BJ58" s="59">
        <f t="shared" si="38"/>
        <v>340.34037344565581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8.5118496261333334</v>
      </c>
      <c r="BQ58" s="21">
        <f>EXP(-LN(2)/25)*BQ57+(1-EXP(-LN(2)/25))/(LN(2)/25)*Calculateur!BL58*Calculateur!BN58*VLOOKUP('Données projet'!$B$11,Paramètres!$A$1:$I$89,3,0)*0.475*44/12</f>
        <v>22.386546339357213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30.898395965490547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210</v>
      </c>
      <c r="BW58" s="12">
        <f>VLOOKUP(A58,'Données projet'!$A$113:$I$133,9,0)</f>
        <v>8.6</v>
      </c>
      <c r="BX58" s="12">
        <f t="array" ref="BX58">INDEX(BW:BW,MIN(IF(ISNUMBER(BW58:BW254),ROW(BW58:BW254),"")))</f>
        <v>8.6</v>
      </c>
      <c r="BY58" s="12">
        <f>IF('Données projet'!$A$114&gt;35,BY57+BX58-CG57,IF(A58&lt;'Données projet'!$A$114,$BV$205^A58,IF(A58='Données projet'!$A$114,'Données projet'!$B$114,BY57+BX58-CG57)))</f>
        <v>210.00000000000011</v>
      </c>
      <c r="BZ58" s="13">
        <f>BY58*VLOOKUP('Données projet'!$B$12,Paramètres!$A$1:$I$89,3,0)*VLOOKUP('Données projet'!$B$12,Paramètres!$A$1:$I$89,5,0)</f>
        <v>212.94000000000014</v>
      </c>
      <c r="CA58" s="13">
        <f t="shared" si="39"/>
        <v>52.577528895212865</v>
      </c>
      <c r="CB58" s="20">
        <f t="shared" si="10"/>
        <v>462.44302949249595</v>
      </c>
      <c r="CC58" s="59">
        <f t="shared" si="11"/>
        <v>754.25044998422993</v>
      </c>
      <c r="CD58" s="59">
        <f ca="1">AVERAGE(OFFSET($CC$3,0,0,'Données projet'!$E$12+1,1))-AVERAGE(OFFSET($H$3,0,0,'Données projet'!$E$12+1,1))</f>
        <v>473.09076714002885</v>
      </c>
      <c r="CE58" s="59">
        <f t="shared" si="40"/>
        <v>311.6454557566534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27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10.524616234594465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10.524616234594465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218</v>
      </c>
      <c r="CR58" s="12">
        <f>VLOOKUP(A58,'Données projet'!$A$139:$I$159,9,0)</f>
        <v>6.6</v>
      </c>
      <c r="CS58" s="12">
        <f t="array" ref="CS58">INDEX(CR:CR,MIN(IF(ISNUMBER(CR58:CR254),ROW(CR58:CR254),"")))</f>
        <v>6.6</v>
      </c>
      <c r="CT58" s="12">
        <f>IF('Données projet'!$A$140&gt;35,CT57+CS58-DB57,IF(A58&lt;'Données projet'!$A$140,$CQ$205^A58,IF(A58='Données projet'!$A$140,'Données projet'!$B$140,CT57+CS58-DB57)))</f>
        <v>218.00000000000003</v>
      </c>
      <c r="CU58" s="17">
        <f>CT58*VLOOKUP('Données projet'!$B$13,Paramètres!$A$1:$I$89,3,0)*VLOOKUP('Données projet'!$B$13,Paramètres!$A$1:$I$89,5,0)</f>
        <v>190.44480000000004</v>
      </c>
      <c r="CV58" s="13">
        <f t="shared" si="41"/>
        <v>47.638278428909231</v>
      </c>
      <c r="CW58" s="20">
        <f t="shared" si="13"/>
        <v>414.66136159701699</v>
      </c>
      <c r="CX58" s="59">
        <f t="shared" si="14"/>
        <v>706.46878208875091</v>
      </c>
      <c r="CY58" s="59">
        <f ca="1">AVERAGE(OFFSET($CX$3,0,0,'Données projet'!$E$13+1,1))-AVERAGE(OFFSET($H$3,0,0,'Données projet'!$E$13+1,1))</f>
        <v>379.66247682099424</v>
      </c>
      <c r="CZ58" s="59">
        <f t="shared" si="42"/>
        <v>342.92507939604081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23</v>
      </c>
      <c r="DC58" s="16">
        <f>IF(ISNA(VLOOKUP(A58,'Données projet'!$A$139:$I$159,5,0)),0%,VLOOKUP(A58,'Données projet'!$A$139:$I$159,5,0)*VLOOKUP('Données projet'!$B$13,Paramètres!$A$1:$I$89,7,0))</f>
        <v>0.25800000000000001</v>
      </c>
      <c r="DD58" s="16">
        <f>IF(ISNA(VLOOKUP(A58,'Données projet'!$A$139:$I$159,6,0)),0%,VLOOKUP(A58,'Données projet'!$A$139:$I$159,6,0)*VLOOKUP('Données projet'!$B$13,Paramètres!$A$1:$I$89,7,0))</f>
        <v>0.129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25.986623466436043</v>
      </c>
      <c r="DG58" s="21">
        <f>EXP(-LN(2)/25)*DG57+(1-EXP(-LN(2)/25))/(LN(2)/25)*Calculateur!DB58*Calculateur!DD58*VLOOKUP('Données projet'!$B$13,Paramètres!$A$1:$I$89,3,0)*0.475*44/12</f>
        <v>10.64831771776624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36.634941184202283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254</v>
      </c>
      <c r="DM58" s="12">
        <f>VLOOKUP(A58,'Données projet'!$A$165:$I$185,9,0)</f>
        <v>10.199999999999999</v>
      </c>
      <c r="DN58" s="12">
        <f t="array" ref="DN58">INDEX(DM:DM,MIN(IF(ISNUMBER(DM58:DM254),ROW(DM58:DM254),"")))</f>
        <v>10.199999999999999</v>
      </c>
      <c r="DO58" s="12">
        <f>IF('Données projet'!$A$166&gt;35,DO57+DN58-DW57,IF(A58&lt;'Données projet'!$A$166,$DL$205^A58,IF(A58='Données projet'!$A$166,'Données projet'!$B$166,DO57+DN58-DW57)))</f>
        <v>253.99999999999997</v>
      </c>
      <c r="DP58" s="17">
        <f>DO58*VLOOKUP('Données projet'!$B$14,Paramètres!$A$1:$I$89,3,0)*VLOOKUP('Données projet'!$B$14,Paramètres!$A$1:$I$89,5,0)</f>
        <v>241.70639999999997</v>
      </c>
      <c r="DQ58" s="13">
        <f t="shared" si="43"/>
        <v>58.806519231842536</v>
      </c>
      <c r="DR58" s="20">
        <f t="shared" si="16"/>
        <v>523.39333432879232</v>
      </c>
      <c r="DS58" s="59">
        <f t="shared" si="17"/>
        <v>815.2007548205263</v>
      </c>
      <c r="DT58" s="59">
        <f ca="1">AVERAGE(OFFSET($DS$3,0,0,'Données projet'!$E$14+1,1))-AVERAGE(OFFSET($H$3,0,0,'Données projet'!$E$14+1,1))</f>
        <v>544.64394576312384</v>
      </c>
      <c r="DU58" s="59">
        <f t="shared" si="44"/>
        <v>310.67291035925484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28</v>
      </c>
      <c r="DX58" s="16">
        <f>IF(ISNA(VLOOKUP(A58,'Données projet'!$A$165:$I$185,5,0)),0%,VLOOKUP(A58,'Données projet'!$A$165:$I$185,5,0)*VLOOKUP('Données projet'!$B$14,Paramètres!$A$1:$I$89,7,0))</f>
        <v>0.129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10.358205899793344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10.358205899793344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106</v>
      </c>
      <c r="EH58" s="12">
        <f>VLOOKUP(A58,'Données projet'!$A$191:$I$211,9,0)</f>
        <v>4</v>
      </c>
      <c r="EI58" s="12">
        <f t="array" ref="EI58">INDEX(EH:EH,MIN(IF(ISNUMBER(EH58:EH254),ROW(EH58:EH254),"")))</f>
        <v>4</v>
      </c>
      <c r="EJ58" s="12">
        <f>IF('Données projet'!$A$192&gt;35,EJ57+EI58-ER57,IF(A58&lt;'Données projet'!$A$192,$EG$205^A58,IF(A58='Données projet'!$A$192,'Données projet'!$B$192,EJ57+EI58-ER57)))</f>
        <v>105.99999999999999</v>
      </c>
      <c r="EK58" s="17">
        <f>EJ58*VLOOKUP('Données projet'!$B$15,Paramètres!$A$1:$I$89,3,0)*VLOOKUP('Données projet'!$B$15,Paramètres!$A$1:$I$89,5,0)</f>
        <v>102.52319999999997</v>
      </c>
      <c r="EL58" s="13">
        <f t="shared" si="45"/>
        <v>27.562240591342476</v>
      </c>
      <c r="EM58" s="20">
        <f t="shared" si="19"/>
        <v>226.56547569658809</v>
      </c>
      <c r="EN58" s="59">
        <f t="shared" si="20"/>
        <v>518.3728961883221</v>
      </c>
      <c r="EO58" s="59">
        <f ca="1">AVERAGE(OFFSET($EN$3,0,0,'Données projet'!$E$15+1,1))-AVERAGE(OFFSET($H$3,0,0,'Données projet'!$E$15+1,1))</f>
        <v>276.72865583771579</v>
      </c>
      <c r="EP58" s="59">
        <f t="shared" si="46"/>
        <v>174.3587092851154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10</v>
      </c>
      <c r="ES58" s="16">
        <f>IF(ISNA(VLOOKUP(A58,'Données projet'!$A$191:$I$211,5,0)),0%,VLOOKUP(A58,'Données projet'!$A$191:$I$211,5,0)*VLOOKUP('Données projet'!$B$15,Paramètres!$A$1:$I$89,7,0))</f>
        <v>0.129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3.5219322478682589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3.5219322478682589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69.583841952291081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4.25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15.583333333333334</v>
      </c>
      <c r="H59" s="67">
        <f t="shared" si="1"/>
        <v>222.56666666666669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12.719230769230734</v>
      </c>
      <c r="M59" s="12">
        <f t="array" ref="M59">INDEX(L:L,MIN(IF(ISNUMBER(L59:L255),ROW(L59:L255),"")))</f>
        <v>12.719230769230734</v>
      </c>
      <c r="N59" s="13">
        <f>IF('Données projet'!$A$36&gt;35,N58+M59-V58,IF(A59&lt;'Données projet'!$A$36,$K$205^A59,IF(A59='Données projet'!$A$36,'Données projet'!$B$36,N58+M59-V58)))</f>
        <v>446.47692307692273</v>
      </c>
      <c r="O59" s="13">
        <f>N59*VLOOKUP('Données projet'!$B$9,Paramètres!$A$1:$I$89,3,0)*VLOOKUP('Données projet'!$B$9,Paramètres!$A$1:$I$89,5,0)</f>
        <v>266.99319999999977</v>
      </c>
      <c r="P59" s="13">
        <f t="shared" si="33"/>
        <v>64.210735131625498</v>
      </c>
      <c r="Q59" s="20">
        <f t="shared" si="53"/>
        <v>576.84685368758062</v>
      </c>
      <c r="R59" s="59">
        <f t="shared" si="0"/>
        <v>869.17053056874238</v>
      </c>
      <c r="S59" s="59">
        <f ca="1">AVERAGE(OFFSET($R$3,0,0,'Données projet'!$E$9+1,1))-AVERAGE(OFFSET($H$3,0,0,'Données projet'!$E$9+1,1))</f>
        <v>341.11752883785607</v>
      </c>
      <c r="T59" s="59">
        <f t="shared" si="34"/>
        <v>423.15445896616234</v>
      </c>
      <c r="U59" s="15">
        <f>IF(ISNA(VLOOKUP(A59,'Données projet'!$A$35:$I$55,3,0)),0,VLOOKUP(A59,'Données projet'!$A$35:$I$55,3,0))</f>
        <v>12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0.13500000000000001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125.29339247749961</v>
      </c>
      <c r="AA59" s="21">
        <f>EXP(-LN(2)/25)*AA58+(1-EXP(-LN(2)/25))/(LN(2)/25)*Calculateur!V59*Calculateur!X59*VLOOKUP('Données projet'!$B$9,Paramètres!$A$1:$I$89,3,0)*0.475*44/12</f>
        <v>81.375637984767991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206.66903046226759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212.98991999999998</v>
      </c>
      <c r="AK59" s="13">
        <f t="shared" si="35"/>
        <v>52.588419883221171</v>
      </c>
      <c r="AL59" s="20">
        <f t="shared" si="4"/>
        <v>462.54894196327677</v>
      </c>
      <c r="AM59" s="59">
        <f t="shared" si="5"/>
        <v>754.87261884443865</v>
      </c>
      <c r="AN59" s="59">
        <f ca="1">AVERAGE(OFFSET($AM$3,0,0,'Données projet'!$E$10+1,1))-AVERAGE(OFFSET($H$3,0,0,'Données projet'!$E$10+1,1))</f>
        <v>521.72266623522626</v>
      </c>
      <c r="AO59" s="59">
        <f t="shared" si="36"/>
        <v>298.49205684341825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9.6556572524401467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9.6556572524401467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428.2</v>
      </c>
      <c r="BB59" s="12">
        <f>VLOOKUP(A59,'Données projet'!$A$87:$I$107,9,0)</f>
        <v>13.901282051282047</v>
      </c>
      <c r="BC59" s="12">
        <f t="array" ref="BC59">INDEX(BB:BB,MIN(IF(ISNUMBER(BB59:BB255),ROW(BB59:BB255),"")))</f>
        <v>13.901282051282047</v>
      </c>
      <c r="BD59" s="12">
        <f>IF('Données projet'!$A$88&gt;35,BD58+BC59-BL58,IF(A59&lt;'Données projet'!$A$88,$BA$205^A59,IF(A59='Données projet'!$A$88,'Données projet'!$B$88,BD58+BC59-BL58)))</f>
        <v>428.2000000000001</v>
      </c>
      <c r="BE59" s="13">
        <f>BD59*VLOOKUP('Données projet'!$B$11,Paramètres!$A$1:$I$89,3,0)*VLOOKUP('Données projet'!$B$11,Paramètres!$A$1:$I$89,5,0)</f>
        <v>256.06360000000012</v>
      </c>
      <c r="BF59" s="13">
        <f t="shared" si="37"/>
        <v>61.882552995500411</v>
      </c>
      <c r="BG59" s="20">
        <f t="shared" si="7"/>
        <v>553.75621646716343</v>
      </c>
      <c r="BH59" s="59">
        <f t="shared" si="8"/>
        <v>846.07989334832519</v>
      </c>
      <c r="BI59" s="59">
        <f ca="1">AVERAGE(OFFSET($BH$3,0,0,'Données projet'!$E$11+1,1))-AVERAGE(OFFSET($H$3,0,0,'Données projet'!$E$11+1,1))</f>
        <v>376.5647919688821</v>
      </c>
      <c r="BJ59" s="59">
        <f t="shared" si="38"/>
        <v>340.34037344565581</v>
      </c>
      <c r="BK59" s="15">
        <f>IF(ISNA(VLOOKUP(A59,'Données projet'!$A$87:$I$107,3,0)),0,VLOOKUP(A59,'Données projet'!$A$87:$I$107,3,0))</f>
        <v>9</v>
      </c>
      <c r="BL59" s="15">
        <f>IF(ISNA(VLOOKUP(A59,'Données projet'!$A$87:$I$107,4,0)),0,VLOOKUP(A59,'Données projet'!$A$87:$I$107,4,0))</f>
        <v>60.092307692307699</v>
      </c>
      <c r="BM59" s="16">
        <f>IF(ISNA(VLOOKUP(A59,'Données projet'!$A$87:$I$107,5,0)),0%,VLOOKUP(A59,'Données projet'!$A$87:$I$107,5,0)*VLOOKUP('Données projet'!$B$11,Paramètres!$A$1:$I$89,7,0))</f>
        <v>0.315</v>
      </c>
      <c r="BN59" s="16">
        <f>IF(ISNA(VLOOKUP(A59,'Données projet'!$A$87:$I$107,6,0)),0%,VLOOKUP(A59,'Données projet'!$A$87:$I$107,6,0)*VLOOKUP('Données projet'!$B$11,Paramètres!$A$1:$I$89,7,0))</f>
        <v>0.13500000000000001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23.361100537700448</v>
      </c>
      <c r="BQ59" s="21">
        <f>EXP(-LN(2)/25)*BQ58+(1-EXP(-LN(2)/25))/(LN(2)/25)*Calculateur!BL59*Calculateur!BN59*VLOOKUP('Données projet'!$B$11,Paramètres!$A$1:$I$89,3,0)*0.475*44/12</f>
        <v>28.184544510446145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51.545645048146596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8.1999999999999993</v>
      </c>
      <c r="BY59" s="12">
        <f>IF('Données projet'!$A$114&gt;35,BY58+BX59-CG58,IF(A59&lt;'Données projet'!$A$114,$BV$205^A59,IF(A59='Données projet'!$A$114,'Données projet'!$B$114,BY58+BX59-CG58)))</f>
        <v>191.2000000000001</v>
      </c>
      <c r="BZ59" s="13">
        <f>BY59*VLOOKUP('Données projet'!$B$12,Paramètres!$A$1:$I$89,3,0)*VLOOKUP('Données projet'!$B$12,Paramètres!$A$1:$I$89,5,0)</f>
        <v>193.87680000000012</v>
      </c>
      <c r="CA59" s="13">
        <f t="shared" si="39"/>
        <v>48.396048099527611</v>
      </c>
      <c r="CB59" s="20">
        <f t="shared" si="10"/>
        <v>421.95854377334416</v>
      </c>
      <c r="CC59" s="59">
        <f t="shared" si="11"/>
        <v>714.28222065450598</v>
      </c>
      <c r="CD59" s="59">
        <f ca="1">AVERAGE(OFFSET($CC$3,0,0,'Données projet'!$E$12+1,1))-AVERAGE(OFFSET($H$3,0,0,'Données projet'!$E$12+1,1))</f>
        <v>473.09076714002885</v>
      </c>
      <c r="CE59" s="59">
        <f t="shared" si="40"/>
        <v>311.6454557566534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10.318234929616109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10.318234929616109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</v>
      </c>
      <c r="CT59" s="12">
        <f>IF('Données projet'!$A$140&gt;35,CT58+CS59-DB58,IF(A59&lt;'Données projet'!$A$140,$CQ$205^A59,IF(A59='Données projet'!$A$140,'Données projet'!$B$140,CT58+CS59-DB58)))</f>
        <v>201.00000000000003</v>
      </c>
      <c r="CU59" s="17">
        <f>CT59*VLOOKUP('Données projet'!$B$13,Paramètres!$A$1:$I$89,3,0)*VLOOKUP('Données projet'!$B$13,Paramètres!$A$1:$I$89,5,0)</f>
        <v>175.59360000000007</v>
      </c>
      <c r="CV59" s="13">
        <f t="shared" si="41"/>
        <v>44.340433728638573</v>
      </c>
      <c r="CW59" s="20">
        <f t="shared" si="13"/>
        <v>383.05177541071225</v>
      </c>
      <c r="CX59" s="59">
        <f t="shared" si="14"/>
        <v>675.37545229187413</v>
      </c>
      <c r="CY59" s="59">
        <f ca="1">AVERAGE(OFFSET($CX$3,0,0,'Données projet'!$E$13+1,1))-AVERAGE(OFFSET($H$3,0,0,'Données projet'!$E$13+1,1))</f>
        <v>379.66247682099424</v>
      </c>
      <c r="CZ59" s="59">
        <f t="shared" si="42"/>
        <v>342.92507939604081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25.477041630534462</v>
      </c>
      <c r="DG59" s="21">
        <f>EXP(-LN(2)/25)*DG58+(1-EXP(-LN(2)/25))/(LN(2)/25)*Calculateur!DB59*Calculateur!DD59*VLOOKUP('Données projet'!$B$13,Paramètres!$A$1:$I$89,3,0)*0.475*44/12</f>
        <v>10.357138909803231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35.834180540337691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9.4</v>
      </c>
      <c r="DO59" s="12">
        <f>IF('Données projet'!$A$166&gt;35,DO58+DN59-DW58,IF(A59&lt;'Données projet'!$A$166,$DL$205^A59,IF(A59='Données projet'!$A$166,'Données projet'!$B$166,DO58+DN59-DW58)))</f>
        <v>235.39999999999998</v>
      </c>
      <c r="DP59" s="17">
        <f>DO59*VLOOKUP('Données projet'!$B$14,Paramètres!$A$1:$I$89,3,0)*VLOOKUP('Données projet'!$B$14,Paramètres!$A$1:$I$89,5,0)</f>
        <v>224.00664</v>
      </c>
      <c r="DQ59" s="13">
        <f t="shared" si="43"/>
        <v>54.984792305364024</v>
      </c>
      <c r="DR59" s="20">
        <f t="shared" si="16"/>
        <v>485.9100779318423</v>
      </c>
      <c r="DS59" s="59">
        <f t="shared" si="17"/>
        <v>778.23375481300411</v>
      </c>
      <c r="DT59" s="59">
        <f ca="1">AVERAGE(OFFSET($DS$3,0,0,'Données projet'!$E$14+1,1))-AVERAGE(OFFSET($H$3,0,0,'Données projet'!$E$14+1,1))</f>
        <v>544.64394576312384</v>
      </c>
      <c r="DU59" s="59">
        <f t="shared" si="44"/>
        <v>310.67291035925484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10.155087799980157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10.155087799980157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3.8</v>
      </c>
      <c r="EJ59" s="12">
        <f>IF('Données projet'!$A$192&gt;35,EJ58+EI59-ER58,IF(A59&lt;'Données projet'!$A$192,$EG$205^A59,IF(A59='Données projet'!$A$192,'Données projet'!$B$192,EJ58+EI59-ER58)))</f>
        <v>99.799999999999983</v>
      </c>
      <c r="EK59" s="17">
        <f>EJ59*VLOOKUP('Données projet'!$B$15,Paramètres!$A$1:$I$89,3,0)*VLOOKUP('Données projet'!$B$15,Paramètres!$A$1:$I$89,5,0)</f>
        <v>96.526559999999989</v>
      </c>
      <c r="EL59" s="13">
        <f t="shared" si="45"/>
        <v>26.132803512664371</v>
      </c>
      <c r="EM59" s="20">
        <f t="shared" si="19"/>
        <v>213.63172478455706</v>
      </c>
      <c r="EN59" s="59">
        <f t="shared" si="20"/>
        <v>505.95540166571891</v>
      </c>
      <c r="EO59" s="59">
        <f ca="1">AVERAGE(OFFSET($EN$3,0,0,'Données projet'!$E$15+1,1))-AVERAGE(OFFSET($H$3,0,0,'Données projet'!$E$15+1,1))</f>
        <v>276.72865583771579</v>
      </c>
      <c r="EP59" s="59">
        <f t="shared" si="46"/>
        <v>174.3587092851154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3.4528693046541199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3.4528693046541199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69.724639149407764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4.25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15.583333333333334</v>
      </c>
      <c r="H60" s="67">
        <f t="shared" si="1"/>
        <v>222.56666666666669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341.11752883785607</v>
      </c>
      <c r="T60" s="59">
        <f t="shared" si="34"/>
        <v>423.15445896616234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122.83646547243926</v>
      </c>
      <c r="AA60" s="21">
        <f>EXP(-LN(2)/25)*AA59+(1-EXP(-LN(2)/25))/(LN(2)/25)*Calculateur!V60*Calculateur!X60*VLOOKUP('Données projet'!$B$9,Paramètres!$A$1:$I$89,3,0)*0.475*44/12</f>
        <v>79.150416884715696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201.98688235715497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221.49503999999999</v>
      </c>
      <c r="AK60" s="13">
        <f t="shared" si="35"/>
        <v>54.439697086174412</v>
      </c>
      <c r="AL60" s="20">
        <f t="shared" si="4"/>
        <v>480.58633375842032</v>
      </c>
      <c r="AM60" s="59">
        <f t="shared" si="5"/>
        <v>773.41731113482979</v>
      </c>
      <c r="AN60" s="59">
        <f ca="1">AVERAGE(OFFSET($AM$3,0,0,'Données projet'!$E$10+1,1))-AVERAGE(OFFSET($H$3,0,0,'Données projet'!$E$10+1,1))</f>
        <v>521.72266623522626</v>
      </c>
      <c r="AO60" s="59">
        <f t="shared" si="36"/>
        <v>298.49205684341825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9.466315703089192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9.466315703089192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12.210256410256383</v>
      </c>
      <c r="BD60" s="12">
        <f>IF('Données projet'!$A$88&gt;35,BD59+BC60-BL59,IF(A60&lt;'Données projet'!$A$88,$BA$205^A60,IF(A60='Données projet'!$A$88,'Données projet'!$B$88,BD59+BC60-BL59)))</f>
        <v>380.31794871794875</v>
      </c>
      <c r="BE60" s="13">
        <f>BD60*VLOOKUP('Données projet'!$B$11,Paramètres!$A$1:$I$89,3,0)*VLOOKUP('Données projet'!$B$11,Paramètres!$A$1:$I$89,5,0)</f>
        <v>227.43013333333337</v>
      </c>
      <c r="BF60" s="13">
        <f t="shared" si="37"/>
        <v>55.726653420470718</v>
      </c>
      <c r="BG60" s="20">
        <f t="shared" si="7"/>
        <v>493.16473692954213</v>
      </c>
      <c r="BH60" s="59">
        <f t="shared" si="8"/>
        <v>785.99571430595154</v>
      </c>
      <c r="BI60" s="59">
        <f ca="1">AVERAGE(OFFSET($BH$3,0,0,'Données projet'!$E$11+1,1))-AVERAGE(OFFSET($H$3,0,0,'Données projet'!$E$11+1,1))</f>
        <v>376.5647919688821</v>
      </c>
      <c r="BJ60" s="59">
        <f t="shared" si="38"/>
        <v>340.34037344565581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22.903003605020512</v>
      </c>
      <c r="BQ60" s="21">
        <f>EXP(-LN(2)/25)*BQ59+(1-EXP(-LN(2)/25))/(LN(2)/25)*Calculateur!BL60*Calculateur!BN60*VLOOKUP('Données projet'!$B$11,Paramètres!$A$1:$I$89,3,0)*0.475*44/12</f>
        <v>27.413836658647217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50.316840263667729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8.1999999999999993</v>
      </c>
      <c r="BY60" s="12">
        <f>IF('Données projet'!$A$114&gt;35,BY59+BX60-CG59,IF(A60&lt;'Données projet'!$A$114,$BV$205^A60,IF(A60='Données projet'!$A$114,'Données projet'!$B$114,BY59+BX60-CG59)))</f>
        <v>199.40000000000009</v>
      </c>
      <c r="BZ60" s="13">
        <f>BY60*VLOOKUP('Données projet'!$B$12,Paramètres!$A$1:$I$89,3,0)*VLOOKUP('Données projet'!$B$12,Paramètres!$A$1:$I$89,5,0)</f>
        <v>202.19160000000011</v>
      </c>
      <c r="CA60" s="13">
        <f t="shared" si="39"/>
        <v>50.225509144346276</v>
      </c>
      <c r="CB60" s="20">
        <f t="shared" si="10"/>
        <v>439.62646509307001</v>
      </c>
      <c r="CC60" s="59">
        <f t="shared" si="11"/>
        <v>732.45744246947947</v>
      </c>
      <c r="CD60" s="59">
        <f ca="1">AVERAGE(OFFSET($CC$3,0,0,'Données projet'!$E$12+1,1))-AVERAGE(OFFSET($H$3,0,0,'Données projet'!$E$12+1,1))</f>
        <v>473.09076714002885</v>
      </c>
      <c r="CE60" s="59">
        <f t="shared" si="40"/>
        <v>311.6454557566534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10.115900636148213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10.115900636148213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</v>
      </c>
      <c r="CT60" s="12">
        <f>IF('Données projet'!$A$140&gt;35,CT59+CS60-DB59,IF(A60&lt;'Données projet'!$A$140,$CQ$205^A60,IF(A60='Données projet'!$A$140,'Données projet'!$B$140,CT59+CS60-DB59)))</f>
        <v>207.00000000000003</v>
      </c>
      <c r="CU60" s="17">
        <f>CT60*VLOOKUP('Données projet'!$B$13,Paramètres!$A$1:$I$89,3,0)*VLOOKUP('Données projet'!$B$13,Paramètres!$A$1:$I$89,5,0)</f>
        <v>180.83520000000004</v>
      </c>
      <c r="CV60" s="13">
        <f t="shared" si="41"/>
        <v>45.507952685945142</v>
      </c>
      <c r="CW60" s="20">
        <f t="shared" si="13"/>
        <v>394.21432426135453</v>
      </c>
      <c r="CX60" s="59">
        <f t="shared" si="14"/>
        <v>687.04530163776394</v>
      </c>
      <c r="CY60" s="59">
        <f ca="1">AVERAGE(OFFSET($CX$3,0,0,'Données projet'!$E$13+1,1))-AVERAGE(OFFSET($H$3,0,0,'Données projet'!$E$13+1,1))</f>
        <v>379.66247682099424</v>
      </c>
      <c r="CZ60" s="59">
        <f t="shared" si="42"/>
        <v>342.92507939604081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24.97745238362068</v>
      </c>
      <c r="DG60" s="21">
        <f>EXP(-LN(2)/25)*DG59+(1-EXP(-LN(2)/25))/(LN(2)/25)*Calculateur!DB60*Calculateur!DD60*VLOOKUP('Données projet'!$B$13,Paramètres!$A$1:$I$89,3,0)*0.475*44/12</f>
        <v>10.073922401656398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35.051374785277076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9.4</v>
      </c>
      <c r="DO60" s="12">
        <f>IF('Données projet'!$A$166&gt;35,DO59+DN60-DW59,IF(A60&lt;'Données projet'!$A$166,$DL$205^A60,IF(A60='Données projet'!$A$166,'Données projet'!$B$166,DO59+DN60-DW59)))</f>
        <v>244.79999999999998</v>
      </c>
      <c r="DP60" s="17">
        <f>DO60*VLOOKUP('Données projet'!$B$14,Paramètres!$A$1:$I$89,3,0)*VLOOKUP('Données projet'!$B$14,Paramètres!$A$1:$I$89,5,0)</f>
        <v>232.95167999999998</v>
      </c>
      <c r="DQ60" s="13">
        <f t="shared" si="43"/>
        <v>56.920429328307158</v>
      </c>
      <c r="DR60" s="20">
        <f t="shared" si="16"/>
        <v>504.86059041346829</v>
      </c>
      <c r="DS60" s="59">
        <f t="shared" si="17"/>
        <v>797.69156778987769</v>
      </c>
      <c r="DT60" s="59">
        <f ca="1">AVERAGE(OFFSET($DS$3,0,0,'Données projet'!$E$14+1,1))-AVERAGE(OFFSET($H$3,0,0,'Données projet'!$E$14+1,1))</f>
        <v>544.64394576312384</v>
      </c>
      <c r="DU60" s="59">
        <f t="shared" si="44"/>
        <v>310.67291035925484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9.9559527222144979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9.9559527222144979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3.8</v>
      </c>
      <c r="EJ60" s="12">
        <f>IF('Données projet'!$A$192&gt;35,EJ59+EI60-ER59,IF(A60&lt;'Données projet'!$A$192,$EG$205^A60,IF(A60='Données projet'!$A$192,'Données projet'!$B$192,EJ59+EI60-ER59)))</f>
        <v>103.59999999999998</v>
      </c>
      <c r="EK60" s="17">
        <f>EJ60*VLOOKUP('Données projet'!$B$15,Paramètres!$A$1:$I$89,3,0)*VLOOKUP('Données projet'!$B$15,Paramètres!$A$1:$I$89,5,0)</f>
        <v>100.20191999999999</v>
      </c>
      <c r="EL60" s="13">
        <f t="shared" si="45"/>
        <v>27.010096555049586</v>
      </c>
      <c r="EM60" s="20">
        <f t="shared" si="19"/>
        <v>221.56092883337803</v>
      </c>
      <c r="EN60" s="59">
        <f t="shared" si="20"/>
        <v>514.39190620978741</v>
      </c>
      <c r="EO60" s="59">
        <f ca="1">AVERAGE(OFFSET($EN$3,0,0,'Données projet'!$E$15+1,1))-AVERAGE(OFFSET($H$3,0,0,'Données projet'!$E$15+1,1))</f>
        <v>276.72865583771579</v>
      </c>
      <c r="EP60" s="59">
        <f t="shared" si="46"/>
        <v>174.3587092851154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3.3851606436321742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3.3851606436321742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69.862993829929835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4.25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15.583333333333334</v>
      </c>
      <c r="H61" s="67">
        <f t="shared" si="1"/>
        <v>222.56666666666669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341.11752883785607</v>
      </c>
      <c r="T61" s="59">
        <f t="shared" si="34"/>
        <v>423.15445896616234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120.42771730737064</v>
      </c>
      <c r="AA61" s="21">
        <f>EXP(-LN(2)/25)*AA60+(1-EXP(-LN(2)/25))/(LN(2)/25)*Calculateur!V61*Calculateur!X61*VLOOKUP('Données projet'!$B$9,Paramètres!$A$1:$I$89,3,0)*0.475*44/12</f>
        <v>76.986044572663616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197.41376188003426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230.00015999999997</v>
      </c>
      <c r="AK61" s="13">
        <f t="shared" si="35"/>
        <v>56.282716126880423</v>
      </c>
      <c r="AL61" s="20">
        <f t="shared" si="4"/>
        <v>498.60934258765002</v>
      </c>
      <c r="AM61" s="59">
        <f t="shared" si="5"/>
        <v>791.93881992986849</v>
      </c>
      <c r="AN61" s="59">
        <f ca="1">AVERAGE(OFFSET($AM$3,0,0,'Données projet'!$E$10+1,1))-AVERAGE(OFFSET($H$3,0,0,'Données projet'!$E$10+1,1))</f>
        <v>521.72266623522626</v>
      </c>
      <c r="AO61" s="59">
        <f t="shared" si="36"/>
        <v>298.49205684341825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9.2806870260340677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9.2806870260340677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12.210256410256383</v>
      </c>
      <c r="BD61" s="12">
        <f>IF('Données projet'!$A$88&gt;35,BD60+BC61-BL60,IF(A61&lt;'Données projet'!$A$88,$BA$205^A61,IF(A61='Données projet'!$A$88,'Données projet'!$B$88,BD60+BC61-BL60)))</f>
        <v>392.52820512820512</v>
      </c>
      <c r="BE61" s="13">
        <f>BD61*VLOOKUP('Données projet'!$B$11,Paramètres!$A$1:$I$89,3,0)*VLOOKUP('Données projet'!$B$11,Paramètres!$A$1:$I$89,5,0)</f>
        <v>234.73186666666669</v>
      </c>
      <c r="BF61" s="13">
        <f t="shared" si="37"/>
        <v>57.304605938595728</v>
      </c>
      <c r="BG61" s="20">
        <f t="shared" si="7"/>
        <v>508.63018978749869</v>
      </c>
      <c r="BH61" s="59">
        <f t="shared" si="8"/>
        <v>801.95966712971722</v>
      </c>
      <c r="BI61" s="59">
        <f ca="1">AVERAGE(OFFSET($BH$3,0,0,'Données projet'!$E$11+1,1))-AVERAGE(OFFSET($H$3,0,0,'Données projet'!$E$11+1,1))</f>
        <v>376.5647919688821</v>
      </c>
      <c r="BJ61" s="59">
        <f t="shared" si="38"/>
        <v>340.34037344565581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22.453889673778889</v>
      </c>
      <c r="BQ61" s="21">
        <f>EXP(-LN(2)/25)*BQ60+(1-EXP(-LN(2)/25))/(LN(2)/25)*Calculateur!BL61*Calculateur!BN61*VLOOKUP('Données projet'!$B$11,Paramètres!$A$1:$I$89,3,0)*0.475*44/12</f>
        <v>26.664203853585494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49.11809352736438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8.1999999999999993</v>
      </c>
      <c r="BY61" s="12">
        <f>IF('Données projet'!$A$114&gt;35,BY60+BX61-CG60,IF(A61&lt;'Données projet'!$A$114,$BV$205^A61,IF(A61='Données projet'!$A$114,'Données projet'!$B$114,BY60+BX61-CG60)))</f>
        <v>207.60000000000008</v>
      </c>
      <c r="BZ61" s="13">
        <f>BY61*VLOOKUP('Données projet'!$B$12,Paramètres!$A$1:$I$89,3,0)*VLOOKUP('Données projet'!$B$12,Paramètres!$A$1:$I$89,5,0)</f>
        <v>210.5064000000001</v>
      </c>
      <c r="CA61" s="13">
        <f t="shared" si="39"/>
        <v>52.04623132230482</v>
      </c>
      <c r="CB61" s="20">
        <f t="shared" si="10"/>
        <v>457.27916621968103</v>
      </c>
      <c r="CC61" s="59">
        <f t="shared" si="11"/>
        <v>750.6086435618995</v>
      </c>
      <c r="CD61" s="59">
        <f ca="1">AVERAGE(OFFSET($CC$3,0,0,'Données projet'!$E$12+1,1))-AVERAGE(OFFSET($H$3,0,0,'Données projet'!$E$12+1,1))</f>
        <v>473.09076714002885</v>
      </c>
      <c r="CE61" s="59">
        <f t="shared" si="40"/>
        <v>311.6454557566534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9.9175339947634882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9.9175339947634882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</v>
      </c>
      <c r="CT61" s="12">
        <f>IF('Données projet'!$A$140&gt;35,CT60+CS61-DB60,IF(A61&lt;'Données projet'!$A$140,$CQ$205^A61,IF(A61='Données projet'!$A$140,'Données projet'!$B$140,CT60+CS61-DB60)))</f>
        <v>213.00000000000003</v>
      </c>
      <c r="CU61" s="17">
        <f>CT61*VLOOKUP('Données projet'!$B$13,Paramètres!$A$1:$I$89,3,0)*VLOOKUP('Données projet'!$B$13,Paramètres!$A$1:$I$89,5,0)</f>
        <v>186.07680000000005</v>
      </c>
      <c r="CV61" s="13">
        <f t="shared" si="41"/>
        <v>46.671538591528673</v>
      </c>
      <c r="CW61" s="20">
        <f t="shared" si="13"/>
        <v>405.37002304691242</v>
      </c>
      <c r="CX61" s="59">
        <f t="shared" si="14"/>
        <v>698.69950038913089</v>
      </c>
      <c r="CY61" s="59">
        <f ca="1">AVERAGE(OFFSET($CX$3,0,0,'Données projet'!$E$13+1,1))-AVERAGE(OFFSET($H$3,0,0,'Données projet'!$E$13+1,1))</f>
        <v>379.66247682099424</v>
      </c>
      <c r="CZ61" s="59">
        <f t="shared" si="42"/>
        <v>342.92507939604081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24.487659777119525</v>
      </c>
      <c r="DG61" s="21">
        <f>EXP(-LN(2)/25)*DG60+(1-EXP(-LN(2)/25))/(LN(2)/25)*Calculateur!DB61*Calculateur!DD61*VLOOKUP('Données projet'!$B$13,Paramètres!$A$1:$I$89,3,0)*0.475*44/12</f>
        <v>9.7984504638185488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34.286110240938072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9.4</v>
      </c>
      <c r="DO61" s="12">
        <f>IF('Données projet'!$A$166&gt;35,DO60+DN61-DW60,IF(A61&lt;'Données projet'!$A$166,$DL$205^A61,IF(A61='Données projet'!$A$166,'Données projet'!$B$166,DO60+DN61-DW60)))</f>
        <v>254.2</v>
      </c>
      <c r="DP61" s="17">
        <f>DO61*VLOOKUP('Données projet'!$B$14,Paramètres!$A$1:$I$89,3,0)*VLOOKUP('Données projet'!$B$14,Paramètres!$A$1:$I$89,5,0)</f>
        <v>241.89671999999999</v>
      </c>
      <c r="DQ61" s="13">
        <f t="shared" si="43"/>
        <v>58.847431877406024</v>
      </c>
      <c r="DR61" s="20">
        <f t="shared" si="16"/>
        <v>523.79606451981545</v>
      </c>
      <c r="DS61" s="59">
        <f t="shared" si="17"/>
        <v>817.12554186203397</v>
      </c>
      <c r="DT61" s="59">
        <f ca="1">AVERAGE(OFFSET($DS$3,0,0,'Données projet'!$E$14+1,1))-AVERAGE(OFFSET($H$3,0,0,'Données projet'!$E$14+1,1))</f>
        <v>544.64394576312384</v>
      </c>
      <c r="DU61" s="59">
        <f t="shared" si="44"/>
        <v>310.67291035925484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9.7607225618634192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9.7607225618634192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3.8</v>
      </c>
      <c r="EJ61" s="12">
        <f>IF('Données projet'!$A$192&gt;35,EJ60+EI61-ER60,IF(A61&lt;'Données projet'!$A$192,$EG$205^A61,IF(A61='Données projet'!$A$192,'Données projet'!$B$192,EJ60+EI61-ER60)))</f>
        <v>107.39999999999998</v>
      </c>
      <c r="EK61" s="17">
        <f>EJ61*VLOOKUP('Données projet'!$B$15,Paramètres!$A$1:$I$89,3,0)*VLOOKUP('Données projet'!$B$15,Paramètres!$A$1:$I$89,5,0)</f>
        <v>103.87727999999997</v>
      </c>
      <c r="EL61" s="13">
        <f t="shared" si="45"/>
        <v>27.883651095560136</v>
      </c>
      <c r="EM61" s="20">
        <f t="shared" si="19"/>
        <v>229.48362165810047</v>
      </c>
      <c r="EN61" s="59">
        <f t="shared" si="20"/>
        <v>522.81309900031897</v>
      </c>
      <c r="EO61" s="59">
        <f ca="1">AVERAGE(OFFSET($EN$3,0,0,'Données projet'!$E$15+1,1))-AVERAGE(OFFSET($H$3,0,0,'Données projet'!$E$15+1,1))</f>
        <v>276.72865583771579</v>
      </c>
      <c r="EP61" s="59">
        <f t="shared" si="46"/>
        <v>174.3587092851154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3.3187797081546635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3.3187797081546635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69.998948366059579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4.25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15.583333333333334</v>
      </c>
      <c r="H62" s="67">
        <f t="shared" si="1"/>
        <v>222.56666666666669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341.11752883785607</v>
      </c>
      <c r="T62" s="59">
        <f t="shared" si="34"/>
        <v>423.15445896616234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118.06620322462771</v>
      </c>
      <c r="AA62" s="21">
        <f>EXP(-LN(2)/25)*AA61+(1-EXP(-LN(2)/25))/(LN(2)/25)*Calculateur!V62*Calculateur!X62*VLOOKUP('Données projet'!$B$9,Paramètres!$A$1:$I$89,3,0)*0.475*44/12</f>
        <v>74.880857135303998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192.9470603599317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238.50527999999997</v>
      </c>
      <c r="AK62" s="13">
        <f t="shared" si="35"/>
        <v>58.117817352909881</v>
      </c>
      <c r="AL62" s="20">
        <f t="shared" si="4"/>
        <v>516.61856122298457</v>
      </c>
      <c r="AM62" s="59">
        <f t="shared" si="5"/>
        <v>810.43789067108423</v>
      </c>
      <c r="AN62" s="59">
        <f ca="1">AVERAGE(OFFSET($AM$3,0,0,'Données projet'!$E$10+1,1))-AVERAGE(OFFSET($H$3,0,0,'Données projet'!$E$10+1,1))</f>
        <v>521.72266623522626</v>
      </c>
      <c r="AO62" s="59">
        <f t="shared" si="36"/>
        <v>298.49205684341825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9.0986984141136826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9.0986984141136826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404.73846153846142</v>
      </c>
      <c r="BB62" s="12">
        <f>VLOOKUP(A62,'Données projet'!$A$87:$I$107,9,0)</f>
        <v>12.210256410256383</v>
      </c>
      <c r="BC62" s="12">
        <f t="array" ref="BC62">INDEX(BB:BB,MIN(IF(ISNUMBER(BB62:BB258),ROW(BB62:BB258),"")))</f>
        <v>12.210256410256383</v>
      </c>
      <c r="BD62" s="12">
        <f>IF('Données projet'!$A$88&gt;35,BD61+BC62-BL61,IF(A62&lt;'Données projet'!$A$88,$BA$205^A62,IF(A62='Données projet'!$A$88,'Données projet'!$B$88,BD61+BC62-BL61)))</f>
        <v>404.73846153846148</v>
      </c>
      <c r="BE62" s="13">
        <f>BD62*VLOOKUP('Données projet'!$B$11,Paramètres!$A$1:$I$89,3,0)*VLOOKUP('Données projet'!$B$11,Paramètres!$A$1:$I$89,5,0)</f>
        <v>242.03359999999998</v>
      </c>
      <c r="BF62" s="13">
        <f t="shared" si="37"/>
        <v>58.876854334559354</v>
      </c>
      <c r="BG62" s="20">
        <f t="shared" si="7"/>
        <v>524.08570796602419</v>
      </c>
      <c r="BH62" s="59">
        <f t="shared" si="8"/>
        <v>817.90503741412385</v>
      </c>
      <c r="BI62" s="59">
        <f ca="1">AVERAGE(OFFSET($BH$3,0,0,'Données projet'!$E$11+1,1))-AVERAGE(OFFSET($H$3,0,0,'Données projet'!$E$11+1,1))</f>
        <v>376.5647919688821</v>
      </c>
      <c r="BJ62" s="59">
        <f t="shared" si="38"/>
        <v>340.34037344565581</v>
      </c>
      <c r="BK62" s="15">
        <f>IF(ISNA(VLOOKUP(A62,'Données projet'!$A$87:$I$107,3,0)),0,VLOOKUP(A62,'Données projet'!$A$87:$I$107,3,0))</f>
        <v>10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0.315</v>
      </c>
      <c r="BN62" s="16">
        <f>IF(ISNA(VLOOKUP(A62,'Données projet'!$A$87:$I$107,6,0)),0%,VLOOKUP(A62,'Données projet'!$A$87:$I$107,6,0)*VLOOKUP('Données projet'!$B$11,Paramètres!$A$1:$I$89,7,0))</f>
        <v>0.13500000000000001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22.013582592796464</v>
      </c>
      <c r="BQ62" s="21">
        <f>EXP(-LN(2)/25)*BQ61+(1-EXP(-LN(2)/25))/(LN(2)/25)*Calculateur!BL62*Calculateur!BN62*VLOOKUP('Données projet'!$B$11,Paramètres!$A$1:$I$89,3,0)*0.475*44/12</f>
        <v>25.93506979699966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47.948652389796123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8.1999999999999993</v>
      </c>
      <c r="BY62" s="12">
        <f>IF('Données projet'!$A$114&gt;35,BY61+BX62-CG61,IF(A62&lt;'Données projet'!$A$114,$BV$205^A62,IF(A62='Données projet'!$A$114,'Données projet'!$B$114,BY61+BX62-CG61)))</f>
        <v>215.80000000000007</v>
      </c>
      <c r="BZ62" s="13">
        <f>BY62*VLOOKUP('Données projet'!$B$12,Paramètres!$A$1:$I$89,3,0)*VLOOKUP('Données projet'!$B$12,Paramètres!$A$1:$I$89,5,0)</f>
        <v>218.82120000000006</v>
      </c>
      <c r="CA62" s="13">
        <f t="shared" si="39"/>
        <v>53.858599308079746</v>
      </c>
      <c r="CB62" s="20">
        <f t="shared" si="10"/>
        <v>474.91731712823895</v>
      </c>
      <c r="CC62" s="59">
        <f t="shared" si="11"/>
        <v>768.73664657633867</v>
      </c>
      <c r="CD62" s="59">
        <f ca="1">AVERAGE(OFFSET($CC$3,0,0,'Données projet'!$E$12+1,1))-AVERAGE(OFFSET($H$3,0,0,'Données projet'!$E$12+1,1))</f>
        <v>473.09076714002885</v>
      </c>
      <c r="CE62" s="59">
        <f t="shared" si="40"/>
        <v>311.6454557566534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9.7230572022246147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9.7230572022246147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</v>
      </c>
      <c r="CT62" s="12">
        <f>IF('Données projet'!$A$140&gt;35,CT61+CS62-DB61,IF(A62&lt;'Données projet'!$A$140,$CQ$205^A62,IF(A62='Données projet'!$A$140,'Données projet'!$B$140,CT61+CS62-DB61)))</f>
        <v>219.00000000000003</v>
      </c>
      <c r="CU62" s="17">
        <f>CT62*VLOOKUP('Données projet'!$B$13,Paramètres!$A$1:$I$89,3,0)*VLOOKUP('Données projet'!$B$13,Paramètres!$A$1:$I$89,5,0)</f>
        <v>191.31840000000005</v>
      </c>
      <c r="CV62" s="13">
        <f t="shared" si="41"/>
        <v>47.831314962098396</v>
      </c>
      <c r="CW62" s="20">
        <f t="shared" si="13"/>
        <v>416.51908689232141</v>
      </c>
      <c r="CX62" s="59">
        <f t="shared" si="14"/>
        <v>710.33841634042108</v>
      </c>
      <c r="CY62" s="59">
        <f ca="1">AVERAGE(OFFSET($CX$3,0,0,'Données projet'!$E$13+1,1))-AVERAGE(OFFSET($H$3,0,0,'Données projet'!$E$13+1,1))</f>
        <v>379.66247682099424</v>
      </c>
      <c r="CZ62" s="59">
        <f t="shared" si="42"/>
        <v>342.92507939604081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24.00747170488787</v>
      </c>
      <c r="DG62" s="21">
        <f>EXP(-LN(2)/25)*DG61+(1-EXP(-LN(2)/25))/(LN(2)/25)*Calculateur!DB62*Calculateur!DD62*VLOOKUP('Données projet'!$B$13,Paramètres!$A$1:$I$89,3,0)*0.475*44/12</f>
        <v>9.5305113206073155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33.537983025495187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9.4</v>
      </c>
      <c r="DO62" s="12">
        <f>IF('Données projet'!$A$166&gt;35,DO61+DN62-DW61,IF(A62&lt;'Données projet'!$A$166,$DL$205^A62,IF(A62='Données projet'!$A$166,'Données projet'!$B$166,DO61+DN62-DW61)))</f>
        <v>263.59999999999997</v>
      </c>
      <c r="DP62" s="17">
        <f>DO62*VLOOKUP('Données projet'!$B$14,Paramètres!$A$1:$I$89,3,0)*VLOOKUP('Données projet'!$B$14,Paramètres!$A$1:$I$89,5,0)</f>
        <v>250.84175999999997</v>
      </c>
      <c r="DQ62" s="13">
        <f t="shared" si="43"/>
        <v>60.766155809340432</v>
      </c>
      <c r="DR62" s="20">
        <f t="shared" si="16"/>
        <v>542.71712003460118</v>
      </c>
      <c r="DS62" s="59">
        <f t="shared" si="17"/>
        <v>836.53644948270085</v>
      </c>
      <c r="DT62" s="59">
        <f ca="1">AVERAGE(OFFSET($DS$3,0,0,'Données projet'!$E$14+1,1))-AVERAGE(OFFSET($H$3,0,0,'Données projet'!$E$14+1,1))</f>
        <v>544.64394576312384</v>
      </c>
      <c r="DU62" s="59">
        <f t="shared" si="44"/>
        <v>310.67291035925484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9.5693207458781853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9.5693207458781853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3.8</v>
      </c>
      <c r="EJ62" s="12">
        <f>IF('Données projet'!$A$192&gt;35,EJ61+EI62-ER61,IF(A62&lt;'Données projet'!$A$192,$EG$205^A62,IF(A62='Données projet'!$A$192,'Données projet'!$B$192,EJ61+EI62-ER61)))</f>
        <v>111.19999999999997</v>
      </c>
      <c r="EK62" s="17">
        <f>EJ62*VLOOKUP('Données projet'!$B$15,Paramètres!$A$1:$I$89,3,0)*VLOOKUP('Données projet'!$B$15,Paramètres!$A$1:$I$89,5,0)</f>
        <v>107.55263999999998</v>
      </c>
      <c r="EL62" s="13">
        <f t="shared" si="45"/>
        <v>28.753614564587743</v>
      </c>
      <c r="EM62" s="20">
        <f t="shared" si="19"/>
        <v>237.4000600333236</v>
      </c>
      <c r="EN62" s="59">
        <f t="shared" si="20"/>
        <v>531.21938948142326</v>
      </c>
      <c r="EO62" s="59">
        <f ca="1">AVERAGE(OFFSET($EN$3,0,0,'Données projet'!$E$15+1,1))-AVERAGE(OFFSET($H$3,0,0,'Données projet'!$E$15+1,1))</f>
        <v>276.72865583771579</v>
      </c>
      <c r="EP62" s="59">
        <f t="shared" si="46"/>
        <v>174.3587092851154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3.253700462333494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3.253700462333494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70.132544394936275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4.25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15.583333333333334</v>
      </c>
      <c r="H63" s="67">
        <f t="shared" si="1"/>
        <v>222.56666666666669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341.11752883785607</v>
      </c>
      <c r="T63" s="59">
        <f t="shared" si="34"/>
        <v>423.15445896616234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115.75099699266602</v>
      </c>
      <c r="AA63" s="21">
        <f>EXP(-LN(2)/25)*AA62+(1-EXP(-LN(2)/25))/(LN(2)/25)*Calculateur!V63*Calculateur!X63*VLOOKUP('Données projet'!$B$9,Paramètres!$A$1:$I$89,3,0)*0.475*44/12</f>
        <v>72.833236159125974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188.58423315179198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247.01039999999992</v>
      </c>
      <c r="AK63" s="13">
        <f t="shared" si="35"/>
        <v>59.945315462121812</v>
      </c>
      <c r="AL63" s="20">
        <f t="shared" si="4"/>
        <v>534.61453776319524</v>
      </c>
      <c r="AM63" s="59">
        <f t="shared" si="5"/>
        <v>828.91522147828437</v>
      </c>
      <c r="AN63" s="59">
        <f ca="1">AVERAGE(OFFSET($AM$3,0,0,'Données projet'!$E$10+1,1))-AVERAGE(OFFSET($H$3,0,0,'Données projet'!$E$10+1,1))</f>
        <v>521.72266623522626</v>
      </c>
      <c r="AO63" s="59">
        <f t="shared" si="36"/>
        <v>298.49205684341825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0.129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12.533107800908867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12.533107800908867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11.987912087912102</v>
      </c>
      <c r="BD63" s="12">
        <f>IF('Données projet'!$A$88&gt;35,BD62+BC63-BL62,IF(A63&lt;'Données projet'!$A$88,$BA$205^A63,IF(A63='Données projet'!$A$88,'Données projet'!$B$88,BD62+BC63-BL62)))</f>
        <v>416.72637362637357</v>
      </c>
      <c r="BE63" s="13">
        <f>BD63*VLOOKUP('Données projet'!$B$11,Paramètres!$A$1:$I$89,3,0)*VLOOKUP('Données projet'!$B$11,Paramètres!$A$1:$I$89,5,0)</f>
        <v>249.20237142857141</v>
      </c>
      <c r="BF63" s="13">
        <f t="shared" si="37"/>
        <v>60.415108945356309</v>
      </c>
      <c r="BG63" s="20">
        <f t="shared" si="7"/>
        <v>539.25044498459079</v>
      </c>
      <c r="BH63" s="59">
        <f t="shared" si="8"/>
        <v>833.55112869968002</v>
      </c>
      <c r="BI63" s="59">
        <f ca="1">AVERAGE(OFFSET($BH$3,0,0,'Données projet'!$E$11+1,1))-AVERAGE(OFFSET($H$3,0,0,'Données projet'!$E$11+1,1))</f>
        <v>376.5647919688821</v>
      </c>
      <c r="BJ63" s="59">
        <f t="shared" si="38"/>
        <v>340.34037344565581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21.581909665111304</v>
      </c>
      <c r="BQ63" s="21">
        <f>EXP(-LN(2)/25)*BQ62+(1-EXP(-LN(2)/25))/(LN(2)/25)*Calculateur!BL63*Calculateur!BN63*VLOOKUP('Données projet'!$B$11,Paramètres!$A$1:$I$89,3,0)*0.475*44/12</f>
        <v>25.225873949534659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46.807783614645963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224</v>
      </c>
      <c r="BW63" s="12">
        <f>VLOOKUP(A63,'Données projet'!$A$113:$I$133,9,0)</f>
        <v>8.1999999999999993</v>
      </c>
      <c r="BX63" s="12">
        <f t="array" ref="BX63">INDEX(BW:BW,MIN(IF(ISNUMBER(BW63:BW259),ROW(BW63:BW259),"")))</f>
        <v>8.1999999999999993</v>
      </c>
      <c r="BY63" s="12">
        <f>IF('Données projet'!$A$114&gt;35,BY62+BX63-CG62,IF(A63&lt;'Données projet'!$A$114,$BV$205^A63,IF(A63='Données projet'!$A$114,'Données projet'!$B$114,BY62+BX63-CG62)))</f>
        <v>224.00000000000006</v>
      </c>
      <c r="BZ63" s="13">
        <f>BY63*VLOOKUP('Données projet'!$B$12,Paramètres!$A$1:$I$89,3,0)*VLOOKUP('Données projet'!$B$12,Paramètres!$A$1:$I$89,5,0)</f>
        <v>227.13600000000008</v>
      </c>
      <c r="CA63" s="13">
        <f t="shared" si="39"/>
        <v>55.662966886685133</v>
      </c>
      <c r="CB63" s="20">
        <f t="shared" si="10"/>
        <v>492.54153399430999</v>
      </c>
      <c r="CC63" s="59">
        <f t="shared" si="11"/>
        <v>786.84221770939916</v>
      </c>
      <c r="CD63" s="59">
        <f ca="1">AVERAGE(OFFSET($CC$3,0,0,'Données projet'!$E$12+1,1))-AVERAGE(OFFSET($H$3,0,0,'Données projet'!$E$12+1,1))</f>
        <v>473.09076714002885</v>
      </c>
      <c r="CE63" s="59">
        <f t="shared" si="40"/>
        <v>311.6454557566534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27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13.436652259528348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13.436652259528348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225</v>
      </c>
      <c r="CR63" s="12">
        <f>VLOOKUP(A63,'Données projet'!$A$139:$I$159,9,0)</f>
        <v>6</v>
      </c>
      <c r="CS63" s="12">
        <f t="array" ref="CS63">INDEX(CR:CR,MIN(IF(ISNUMBER(CR63:CR259),ROW(CR63:CR259),"")))</f>
        <v>6</v>
      </c>
      <c r="CT63" s="12">
        <f>IF('Données projet'!$A$140&gt;35,CT62+CS63-DB62,IF(A63&lt;'Données projet'!$A$140,$CQ$205^A63,IF(A63='Données projet'!$A$140,'Données projet'!$B$140,CT62+CS63-DB62)))</f>
        <v>225.00000000000003</v>
      </c>
      <c r="CU63" s="17">
        <f>CT63*VLOOKUP('Données projet'!$B$13,Paramètres!$A$1:$I$89,3,0)*VLOOKUP('Données projet'!$B$13,Paramètres!$A$1:$I$89,5,0)</f>
        <v>196.56000000000006</v>
      </c>
      <c r="CV63" s="13">
        <f t="shared" si="41"/>
        <v>48.987398161128134</v>
      </c>
      <c r="CW63" s="20">
        <f t="shared" si="13"/>
        <v>427.66171846396492</v>
      </c>
      <c r="CX63" s="59">
        <f t="shared" si="14"/>
        <v>721.96240217905415</v>
      </c>
      <c r="CY63" s="59">
        <f ca="1">AVERAGE(OFFSET($CX$3,0,0,'Données projet'!$E$13+1,1))-AVERAGE(OFFSET($H$3,0,0,'Données projet'!$E$13+1,1))</f>
        <v>379.66247682099424</v>
      </c>
      <c r="CZ63" s="59">
        <f t="shared" si="42"/>
        <v>342.92507939604081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21</v>
      </c>
      <c r="DC63" s="16">
        <f>IF(ISNA(VLOOKUP(A63,'Données projet'!$A$139:$I$159,5,0)),0%,VLOOKUP(A63,'Données projet'!$A$139:$I$159,5,0)*VLOOKUP('Données projet'!$B$13,Paramètres!$A$1:$I$89,7,0))</f>
        <v>0.25800000000000001</v>
      </c>
      <c r="DD63" s="16">
        <f>IF(ISNA(VLOOKUP(A63,'Données projet'!$A$139:$I$159,6,0)),0%,VLOOKUP(A63,'Données projet'!$A$139:$I$159,6,0)*VLOOKUP('Données projet'!$B$13,Paramètres!$A$1:$I$89,7,0))</f>
        <v>0.129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28.769073315714873</v>
      </c>
      <c r="DG63" s="21">
        <f>EXP(-LN(2)/25)*DG62+(1-EXP(-LN(2)/25))/(LN(2)/25)*Calculateur!DB63*Calculateur!DD63*VLOOKUP('Données projet'!$B$13,Paramètres!$A$1:$I$89,3,0)*0.475*44/12</f>
        <v>11.87578480722537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40.644858122940242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273</v>
      </c>
      <c r="DM63" s="12">
        <f>VLOOKUP(A63,'Données projet'!$A$165:$I$185,9,0)</f>
        <v>9.4</v>
      </c>
      <c r="DN63" s="12">
        <f t="array" ref="DN63">INDEX(DM:DM,MIN(IF(ISNUMBER(DM63:DM259),ROW(DM63:DM259),"")))</f>
        <v>9.4</v>
      </c>
      <c r="DO63" s="12">
        <f>IF('Données projet'!$A$166&gt;35,DO62+DN63-DW62,IF(A63&lt;'Données projet'!$A$166,$DL$205^A63,IF(A63='Données projet'!$A$166,'Données projet'!$B$166,DO62+DN63-DW62)))</f>
        <v>272.99999999999994</v>
      </c>
      <c r="DP63" s="17">
        <f>DO63*VLOOKUP('Données projet'!$B$14,Paramètres!$A$1:$I$89,3,0)*VLOOKUP('Données projet'!$B$14,Paramètres!$A$1:$I$89,5,0)</f>
        <v>259.78679999999997</v>
      </c>
      <c r="DQ63" s="13">
        <f t="shared" si="43"/>
        <v>62.676930162260739</v>
      </c>
      <c r="DR63" s="20">
        <f t="shared" si="16"/>
        <v>561.62433003260401</v>
      </c>
      <c r="DS63" s="59">
        <f t="shared" si="17"/>
        <v>855.92501374769313</v>
      </c>
      <c r="DT63" s="59">
        <f ca="1">AVERAGE(OFFSET($DS$3,0,0,'Données projet'!$E$14+1,1))-AVERAGE(OFFSET($H$3,0,0,'Données projet'!$E$14+1,1))</f>
        <v>544.64394576312384</v>
      </c>
      <c r="DU63" s="59">
        <f t="shared" si="44"/>
        <v>310.67291035925484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28</v>
      </c>
      <c r="DX63" s="16">
        <f>IF(ISNA(VLOOKUP(A63,'Données projet'!$A$165:$I$185,5,0)),0%,VLOOKUP(A63,'Données projet'!$A$165:$I$185,5,0)*VLOOKUP('Données projet'!$B$14,Paramètres!$A$1:$I$89,7,0))</f>
        <v>0.129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13.181371997507602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13.181371997507602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115</v>
      </c>
      <c r="EH63" s="12">
        <f>VLOOKUP(A63,'Données projet'!$A$191:$I$211,9,0)</f>
        <v>3.8</v>
      </c>
      <c r="EI63" s="12">
        <f t="array" ref="EI63">INDEX(EH:EH,MIN(IF(ISNUMBER(EH63:EH259),ROW(EH63:EH259),"")))</f>
        <v>3.8</v>
      </c>
      <c r="EJ63" s="12">
        <f>IF('Données projet'!$A$192&gt;35,EJ62+EI63-ER62,IF(A63&lt;'Données projet'!$A$192,$EG$205^A63,IF(A63='Données projet'!$A$192,'Données projet'!$B$192,EJ62+EI63-ER62)))</f>
        <v>114.99999999999997</v>
      </c>
      <c r="EK63" s="17">
        <f>EJ63*VLOOKUP('Données projet'!$B$15,Paramètres!$A$1:$I$89,3,0)*VLOOKUP('Données projet'!$B$15,Paramètres!$A$1:$I$89,5,0)</f>
        <v>111.22799999999998</v>
      </c>
      <c r="EL63" s="13">
        <f t="shared" si="45"/>
        <v>29.620123744783804</v>
      </c>
      <c r="EM63" s="20">
        <f t="shared" si="19"/>
        <v>245.31048218883168</v>
      </c>
      <c r="EN63" s="59">
        <f t="shared" si="20"/>
        <v>539.61116590392089</v>
      </c>
      <c r="EO63" s="59">
        <f ca="1">AVERAGE(OFFSET($EN$3,0,0,'Données projet'!$E$15+1,1))-AVERAGE(OFFSET($H$3,0,0,'Données projet'!$E$15+1,1))</f>
        <v>276.72865583771579</v>
      </c>
      <c r="EP63" s="59">
        <f t="shared" si="46"/>
        <v>174.3587092851154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10</v>
      </c>
      <c r="ES63" s="16">
        <f>IF(ISNA(VLOOKUP(A63,'Données projet'!$A$191:$I$211,5,0)),0%,VLOOKUP(A63,'Données projet'!$A$191:$I$211,5,0)*VLOOKUP('Données projet'!$B$15,Paramètres!$A$1:$I$89,7,0))</f>
        <v>0.129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4.5691795077271644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4.5691795077271644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70.263822831387955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4.25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15.583333333333334</v>
      </c>
      <c r="H64" s="67">
        <f t="shared" si="1"/>
        <v>222.56666666666669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341.11752883785607</v>
      </c>
      <c r="T64" s="59">
        <f t="shared" si="34"/>
        <v>423.15445896616234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113.48119054277672</v>
      </c>
      <c r="AA64" s="21">
        <f>EXP(-LN(2)/25)*AA63+(1-EXP(-LN(2)/25))/(LN(2)/25)*Calculateur!V64*Calculateur!X64*VLOOKUP('Données projet'!$B$9,Paramètres!$A$1:$I$89,3,0)*0.475*44/12</f>
        <v>70.84160748622125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184.32279802899797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229.63823999999994</v>
      </c>
      <c r="AK64" s="13">
        <f t="shared" si="35"/>
        <v>56.204453396569633</v>
      </c>
      <c r="AL64" s="20">
        <f t="shared" si="4"/>
        <v>497.84269099902531</v>
      </c>
      <c r="AM64" s="59">
        <f t="shared" si="5"/>
        <v>792.61637856071854</v>
      </c>
      <c r="AN64" s="59">
        <f ca="1">AVERAGE(OFFSET($AM$3,0,0,'Données projet'!$E$10+1,1))-AVERAGE(OFFSET($H$3,0,0,'Données projet'!$E$10+1,1))</f>
        <v>521.72266623522626</v>
      </c>
      <c r="AO64" s="59">
        <f t="shared" si="36"/>
        <v>298.49205684341825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12.287341201373977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12.287341201373977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11.987912087912102</v>
      </c>
      <c r="BD64" s="12">
        <f>IF('Données projet'!$A$88&gt;35,BD63+BC64-BL63,IF(A64&lt;'Données projet'!$A$88,$BA$205^A64,IF(A64='Données projet'!$A$88,'Données projet'!$B$88,BD63+BC64-BL63)))</f>
        <v>428.71428571428567</v>
      </c>
      <c r="BE64" s="13">
        <f>BD64*VLOOKUP('Données projet'!$B$11,Paramètres!$A$1:$I$89,3,0)*VLOOKUP('Données projet'!$B$11,Paramètres!$A$1:$I$89,5,0)</f>
        <v>256.37114285714284</v>
      </c>
      <c r="BF64" s="13">
        <f t="shared" si="37"/>
        <v>61.948220631544245</v>
      </c>
      <c r="BG64" s="20">
        <f t="shared" si="7"/>
        <v>554.40622474279678</v>
      </c>
      <c r="BH64" s="59">
        <f t="shared" si="8"/>
        <v>849.17991230449002</v>
      </c>
      <c r="BI64" s="59">
        <f ca="1">AVERAGE(OFFSET($BH$3,0,0,'Données projet'!$E$11+1,1))-AVERAGE(OFFSET($H$3,0,0,'Données projet'!$E$11+1,1))</f>
        <v>376.5647919688821</v>
      </c>
      <c r="BJ64" s="59">
        <f t="shared" si="38"/>
        <v>340.34037344565581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21.158701580243562</v>
      </c>
      <c r="BQ64" s="21">
        <f>EXP(-LN(2)/25)*BQ63+(1-EXP(-LN(2)/25))/(LN(2)/25)*Calculateur!BL64*Calculateur!BN64*VLOOKUP('Données projet'!$B$11,Paramètres!$A$1:$I$89,3,0)*0.475*44/12</f>
        <v>24.536071099813576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45.694772680057142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8.1999999999999993</v>
      </c>
      <c r="BY64" s="12">
        <f>IF('Données projet'!$A$114&gt;35,BY63+BX64-CG63,IF(A64&lt;'Données projet'!$A$114,$BV$205^A64,IF(A64='Données projet'!$A$114,'Données projet'!$B$114,BY63+BX64-CG63)))</f>
        <v>205.20000000000005</v>
      </c>
      <c r="BZ64" s="13">
        <f>BY64*VLOOKUP('Données projet'!$B$12,Paramètres!$A$1:$I$89,3,0)*VLOOKUP('Données projet'!$B$12,Paramètres!$A$1:$I$89,5,0)</f>
        <v>208.07280000000006</v>
      </c>
      <c r="CA64" s="13">
        <f t="shared" si="39"/>
        <v>51.514218302854367</v>
      </c>
      <c r="CB64" s="20">
        <f t="shared" si="10"/>
        <v>452.11405687747146</v>
      </c>
      <c r="CC64" s="59">
        <f t="shared" si="11"/>
        <v>746.88774443916463</v>
      </c>
      <c r="CD64" s="59">
        <f ca="1">AVERAGE(OFFSET($CC$3,0,0,'Données projet'!$E$12+1,1))-AVERAGE(OFFSET($H$3,0,0,'Données projet'!$E$12+1,1))</f>
        <v>473.09076714002885</v>
      </c>
      <c r="CE64" s="59">
        <f t="shared" si="40"/>
        <v>311.6454557566534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13.173167704267632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13.173167704267632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5.5999999999999943</v>
      </c>
      <c r="CT64" s="12">
        <f>IF('Données projet'!$A$140&gt;35,CT63+CS64-DB63,IF(A64&lt;'Données projet'!$A$140,$CQ$205^A64,IF(A64='Données projet'!$A$140,'Données projet'!$B$140,CT63+CS64-DB63)))</f>
        <v>209.60000000000002</v>
      </c>
      <c r="CU64" s="17">
        <f>CT64*VLOOKUP('Données projet'!$B$13,Paramètres!$A$1:$I$89,3,0)*VLOOKUP('Données projet'!$B$13,Paramètres!$A$1:$I$89,5,0)</f>
        <v>183.10656000000003</v>
      </c>
      <c r="CV64" s="13">
        <f t="shared" si="41"/>
        <v>46.012648718992089</v>
      </c>
      <c r="CW64" s="20">
        <f t="shared" si="13"/>
        <v>399.04928851891128</v>
      </c>
      <c r="CX64" s="59">
        <f t="shared" si="14"/>
        <v>693.82297608060458</v>
      </c>
      <c r="CY64" s="59">
        <f ca="1">AVERAGE(OFFSET($CX$3,0,0,'Données projet'!$E$13+1,1))-AVERAGE(OFFSET($H$3,0,0,'Données projet'!$E$13+1,1))</f>
        <v>379.66247682099424</v>
      </c>
      <c r="CZ64" s="59">
        <f t="shared" si="42"/>
        <v>342.92507939604081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28.204929335395764</v>
      </c>
      <c r="DG64" s="21">
        <f>EXP(-LN(2)/25)*DG63+(1-EXP(-LN(2)/25))/(LN(2)/25)*Calculateur!DB64*Calculateur!DD64*VLOOKUP('Données projet'!$B$13,Paramètres!$A$1:$I$89,3,0)*0.475*44/12</f>
        <v>11.551040847151413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39.755970182547173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8.8000000000000007</v>
      </c>
      <c r="DO64" s="12">
        <f>IF('Données projet'!$A$166&gt;35,DO63+DN64-DW63,IF(A64&lt;'Données projet'!$A$166,$DL$205^A64,IF(A64='Données projet'!$A$166,'Données projet'!$B$166,DO63+DN64-DW63)))</f>
        <v>253.79999999999995</v>
      </c>
      <c r="DP64" s="17">
        <f>DO64*VLOOKUP('Données projet'!$B$14,Paramètres!$A$1:$I$89,3,0)*VLOOKUP('Données projet'!$B$14,Paramètres!$A$1:$I$89,5,0)</f>
        <v>241.51607999999993</v>
      </c>
      <c r="DQ64" s="13">
        <f t="shared" si="43"/>
        <v>58.765602836317846</v>
      </c>
      <c r="DR64" s="20">
        <f t="shared" si="16"/>
        <v>522.99059760658679</v>
      </c>
      <c r="DS64" s="59">
        <f t="shared" si="17"/>
        <v>817.76428516828003</v>
      </c>
      <c r="DT64" s="59">
        <f ca="1">AVERAGE(OFFSET($DS$3,0,0,'Données projet'!$E$14+1,1))-AVERAGE(OFFSET($H$3,0,0,'Données projet'!$E$14+1,1))</f>
        <v>544.64394576312384</v>
      </c>
      <c r="DU64" s="59">
        <f t="shared" si="44"/>
        <v>310.67291035925484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12.922893332479529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12.922893332479529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3.8</v>
      </c>
      <c r="EJ64" s="12">
        <f>IF('Données projet'!$A$192&gt;35,EJ63+EI64-ER63,IF(A64&lt;'Données projet'!$A$192,$EG$205^A64,IF(A64='Données projet'!$A$192,'Données projet'!$B$192,EJ63+EI64-ER63)))</f>
        <v>108.79999999999997</v>
      </c>
      <c r="EK64" s="17">
        <f>EJ64*VLOOKUP('Données projet'!$B$15,Paramètres!$A$1:$I$89,3,0)*VLOOKUP('Données projet'!$B$15,Paramètres!$A$1:$I$89,5,0)</f>
        <v>105.23135999999997</v>
      </c>
      <c r="EL64" s="13">
        <f t="shared" si="45"/>
        <v>28.204574272897808</v>
      </c>
      <c r="EM64" s="20">
        <f t="shared" si="19"/>
        <v>232.40091885863032</v>
      </c>
      <c r="EN64" s="59">
        <f t="shared" si="20"/>
        <v>527.17460642032358</v>
      </c>
      <c r="EO64" s="59">
        <f ca="1">AVERAGE(OFFSET($EN$3,0,0,'Données projet'!$E$15+1,1))-AVERAGE(OFFSET($H$3,0,0,'Données projet'!$E$15+1,1))</f>
        <v>276.72865583771579</v>
      </c>
      <c r="EP64" s="59">
        <f t="shared" si="46"/>
        <v>174.3587092851154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4.4795806845049482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4.4795806845049482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70.392823880461791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4.25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15.583333333333334</v>
      </c>
      <c r="H65" s="67">
        <f t="shared" si="1"/>
        <v>222.56666666666669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341.11752883785607</v>
      </c>
      <c r="T65" s="59">
        <f t="shared" si="34"/>
        <v>423.15445896616234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111.25589361292451</v>
      </c>
      <c r="AA65" s="21">
        <f>EXP(-LN(2)/25)*AA64+(1-EXP(-LN(2)/25))/(LN(2)/25)*Calculateur!V65*Calculateur!X65*VLOOKUP('Données projet'!$B$9,Paramètres!$A$1:$I$89,3,0)*0.475*44/12</f>
        <v>68.904440004112303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180.16033361703683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237.60047999999995</v>
      </c>
      <c r="AK65" s="13">
        <f t="shared" si="35"/>
        <v>57.922960533442058</v>
      </c>
      <c r="AL65" s="20">
        <f t="shared" si="4"/>
        <v>514.70332559574479</v>
      </c>
      <c r="AM65" s="59">
        <f t="shared" si="5"/>
        <v>809.94181144478171</v>
      </c>
      <c r="AN65" s="59">
        <f ca="1">AVERAGE(OFFSET($AM$3,0,0,'Données projet'!$E$10+1,1))-AVERAGE(OFFSET($H$3,0,0,'Données projet'!$E$10+1,1))</f>
        <v>521.72266623522626</v>
      </c>
      <c r="AO65" s="59">
        <f t="shared" si="36"/>
        <v>298.49205684341825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12.046393934953141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12.046393934953141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11.987912087912102</v>
      </c>
      <c r="BD65" s="12">
        <f>IF('Données projet'!$A$88&gt;35,BD64+BC65-BL64,IF(A65&lt;'Données projet'!$A$88,$BA$205^A65,IF(A65='Données projet'!$A$88,'Données projet'!$B$88,BD64+BC65-BL64)))</f>
        <v>440.70219780219776</v>
      </c>
      <c r="BE65" s="13">
        <f>BD65*VLOOKUP('Données projet'!$B$11,Paramètres!$A$1:$I$89,3,0)*VLOOKUP('Données projet'!$B$11,Paramètres!$A$1:$I$89,5,0)</f>
        <v>263.5399142857143</v>
      </c>
      <c r="BF65" s="13">
        <f t="shared" si="37"/>
        <v>63.476349722707148</v>
      </c>
      <c r="BG65" s="20">
        <f t="shared" si="7"/>
        <v>569.55332648133401</v>
      </c>
      <c r="BH65" s="59">
        <f t="shared" si="8"/>
        <v>864.79181233037093</v>
      </c>
      <c r="BI65" s="59">
        <f ca="1">AVERAGE(OFFSET($BH$3,0,0,'Données projet'!$E$11+1,1))-AVERAGE(OFFSET($H$3,0,0,'Données projet'!$E$11+1,1))</f>
        <v>376.5647919688821</v>
      </c>
      <c r="BJ65" s="59">
        <f t="shared" si="38"/>
        <v>340.34037344565581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20.743792347788634</v>
      </c>
      <c r="BQ65" s="21">
        <f>EXP(-LN(2)/25)*BQ64+(1-EXP(-LN(2)/25))/(LN(2)/25)*Calculateur!BL65*Calculateur!BN65*VLOOKUP('Données projet'!$B$11,Paramètres!$A$1:$I$89,3,0)*0.475*44/12</f>
        <v>23.865130945293274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44.608923293081908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8.1999999999999993</v>
      </c>
      <c r="BY65" s="12">
        <f>IF('Données projet'!$A$114&gt;35,BY64+BX65-CG64,IF(A65&lt;'Données projet'!$A$114,$BV$205^A65,IF(A65='Données projet'!$A$114,'Données projet'!$B$114,BY64+BX65-CG64)))</f>
        <v>213.40000000000003</v>
      </c>
      <c r="BZ65" s="13">
        <f>BY65*VLOOKUP('Données projet'!$B$12,Paramètres!$A$1:$I$89,3,0)*VLOOKUP('Données projet'!$B$12,Paramètres!$A$1:$I$89,5,0)</f>
        <v>216.38760000000008</v>
      </c>
      <c r="CA65" s="13">
        <f t="shared" si="39"/>
        <v>53.328993492050401</v>
      </c>
      <c r="CB65" s="20">
        <f t="shared" si="10"/>
        <v>469.75640033198789</v>
      </c>
      <c r="CC65" s="59">
        <f t="shared" si="11"/>
        <v>764.99488618102487</v>
      </c>
      <c r="CD65" s="59">
        <f ca="1">AVERAGE(OFFSET($CC$3,0,0,'Données projet'!$E$12+1,1))-AVERAGE(OFFSET($H$3,0,0,'Données projet'!$E$12+1,1))</f>
        <v>473.09076714002885</v>
      </c>
      <c r="CE65" s="59">
        <f t="shared" si="40"/>
        <v>311.6454557566534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12.914849920425869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12.914849920425869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5.5999999999999943</v>
      </c>
      <c r="CT65" s="12">
        <f>IF('Données projet'!$A$140&gt;35,CT64+CS65-DB64,IF(A65&lt;'Données projet'!$A$140,$CQ$205^A65,IF(A65='Données projet'!$A$140,'Données projet'!$B$140,CT64+CS65-DB64)))</f>
        <v>215.20000000000002</v>
      </c>
      <c r="CU65" s="17">
        <f>CT65*VLOOKUP('Données projet'!$B$13,Paramètres!$A$1:$I$89,3,0)*VLOOKUP('Données projet'!$B$13,Paramètres!$A$1:$I$89,5,0)</f>
        <v>187.99872000000002</v>
      </c>
      <c r="CV65" s="13">
        <f t="shared" si="41"/>
        <v>47.097225953569499</v>
      </c>
      <c r="CW65" s="20">
        <f t="shared" si="13"/>
        <v>409.45877253580028</v>
      </c>
      <c r="CX65" s="59">
        <f t="shared" si="14"/>
        <v>704.69725838483726</v>
      </c>
      <c r="CY65" s="59">
        <f ca="1">AVERAGE(OFFSET($CX$3,0,0,'Données projet'!$E$13+1,1))-AVERAGE(OFFSET($H$3,0,0,'Données projet'!$E$13+1,1))</f>
        <v>379.66247682099424</v>
      </c>
      <c r="CZ65" s="59">
        <f t="shared" si="42"/>
        <v>342.92507939604081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27.651847874436861</v>
      </c>
      <c r="DG65" s="21">
        <f>EXP(-LN(2)/25)*DG64+(1-EXP(-LN(2)/25))/(LN(2)/25)*Calculateur!DB65*Calculateur!DD65*VLOOKUP('Données projet'!$B$13,Paramètres!$A$1:$I$89,3,0)*0.475*44/12</f>
        <v>11.235177027743219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38.88702490218008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8.8000000000000007</v>
      </c>
      <c r="DO65" s="12">
        <f>IF('Données projet'!$A$166&gt;35,DO64+DN65-DW64,IF(A65&lt;'Données projet'!$A$166,$DL$205^A65,IF(A65='Données projet'!$A$166,'Données projet'!$B$166,DO64+DN65-DW64)))</f>
        <v>262.59999999999997</v>
      </c>
      <c r="DP65" s="17">
        <f>DO65*VLOOKUP('Données projet'!$B$14,Paramètres!$A$1:$I$89,3,0)*VLOOKUP('Données projet'!$B$14,Paramètres!$A$1:$I$89,5,0)</f>
        <v>249.89015999999998</v>
      </c>
      <c r="DQ65" s="13">
        <f t="shared" si="43"/>
        <v>60.562419667970957</v>
      </c>
      <c r="DR65" s="20">
        <f t="shared" si="16"/>
        <v>540.70490958838275</v>
      </c>
      <c r="DS65" s="59">
        <f t="shared" si="17"/>
        <v>835.94339543741967</v>
      </c>
      <c r="DT65" s="59">
        <f ca="1">AVERAGE(OFFSET($DS$3,0,0,'Données projet'!$E$14+1,1))-AVERAGE(OFFSET($H$3,0,0,'Données projet'!$E$14+1,1))</f>
        <v>544.64394576312384</v>
      </c>
      <c r="DU65" s="59">
        <f t="shared" si="44"/>
        <v>310.67291035925484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12.669483276416237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12.669483276416237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3.8</v>
      </c>
      <c r="EJ65" s="12">
        <f>IF('Données projet'!$A$192&gt;35,EJ64+EI65-ER64,IF(A65&lt;'Données projet'!$A$192,$EG$205^A65,IF(A65='Données projet'!$A$192,'Données projet'!$B$192,EJ64+EI65-ER64)))</f>
        <v>112.59999999999997</v>
      </c>
      <c r="EK65" s="17">
        <f>EJ65*VLOOKUP('Données projet'!$B$15,Paramètres!$A$1:$I$89,3,0)*VLOOKUP('Données projet'!$B$15,Paramètres!$A$1:$I$89,5,0)</f>
        <v>108.90671999999998</v>
      </c>
      <c r="EL65" s="13">
        <f t="shared" si="45"/>
        <v>29.073249724487347</v>
      </c>
      <c r="EM65" s="20">
        <f t="shared" si="19"/>
        <v>240.31511393681538</v>
      </c>
      <c r="EN65" s="59">
        <f t="shared" si="20"/>
        <v>535.55359978585238</v>
      </c>
      <c r="EO65" s="59">
        <f ca="1">AVERAGE(OFFSET($EN$3,0,0,'Données projet'!$E$15+1,1))-AVERAGE(OFFSET($H$3,0,0,'Données projet'!$E$15+1,1))</f>
        <v>276.72865583771579</v>
      </c>
      <c r="EP65" s="59">
        <f t="shared" si="46"/>
        <v>174.3587092851154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4.3917388395562336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4.3917388395562336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70.519587049737353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4.25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15.583333333333334</v>
      </c>
      <c r="H66" s="67">
        <f t="shared" si="1"/>
        <v>222.56666666666669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341.11752883785607</v>
      </c>
      <c r="T66" s="59">
        <f t="shared" si="34"/>
        <v>423.15445896616234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109.0742333985696</v>
      </c>
      <c r="AA66" s="21">
        <f>EXP(-LN(2)/25)*AA65+(1-EXP(-LN(2)/25))/(LN(2)/25)*Calculateur!V66*Calculateur!X66*VLOOKUP('Données projet'!$B$9,Paramètres!$A$1:$I$89,3,0)*0.475*44/12</f>
        <v>67.020244468672828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176.09447786724243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245.56271999999998</v>
      </c>
      <c r="AK66" s="13">
        <f t="shared" si="35"/>
        <v>59.634776048276898</v>
      </c>
      <c r="AL66" s="20">
        <f t="shared" si="4"/>
        <v>531.55230561741564</v>
      </c>
      <c r="AM66" s="59">
        <f t="shared" si="5"/>
        <v>827.24752654264421</v>
      </c>
      <c r="AN66" s="59">
        <f ca="1">AVERAGE(OFFSET($AM$3,0,0,'Données projet'!$E$10+1,1))-AVERAGE(OFFSET($H$3,0,0,'Données projet'!$E$10+1,1))</f>
        <v>521.72266623522626</v>
      </c>
      <c r="AO66" s="59">
        <f t="shared" si="36"/>
        <v>298.49205684341825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11.810171497463497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11.810171497463497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11.987912087912102</v>
      </c>
      <c r="BD66" s="12">
        <f>IF('Données projet'!$A$88&gt;35,BD65+BC66-BL65,IF(A66&lt;'Données projet'!$A$88,$BA$205^A66,IF(A66='Données projet'!$A$88,'Données projet'!$B$88,BD65+BC66-BL65)))</f>
        <v>452.69010989010985</v>
      </c>
      <c r="BE66" s="13">
        <f>BD66*VLOOKUP('Données projet'!$B$11,Paramètres!$A$1:$I$89,3,0)*VLOOKUP('Données projet'!$B$11,Paramètres!$A$1:$I$89,5,0)</f>
        <v>270.70868571428571</v>
      </c>
      <c r="BF66" s="13">
        <f t="shared" si="37"/>
        <v>64.999647329419957</v>
      </c>
      <c r="BG66" s="20">
        <f t="shared" si="7"/>
        <v>584.69201338445407</v>
      </c>
      <c r="BH66" s="59">
        <f t="shared" si="8"/>
        <v>880.38723430968253</v>
      </c>
      <c r="BI66" s="59">
        <f ca="1">AVERAGE(OFFSET($BH$3,0,0,'Données projet'!$E$11+1,1))-AVERAGE(OFFSET($H$3,0,0,'Données projet'!$E$11+1,1))</f>
        <v>376.5647919688821</v>
      </c>
      <c r="BJ66" s="59">
        <f t="shared" si="38"/>
        <v>340.34037344565581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20.337019232312503</v>
      </c>
      <c r="BQ66" s="21">
        <f>EXP(-LN(2)/25)*BQ65+(1-EXP(-LN(2)/25))/(LN(2)/25)*Calculateur!BL66*Calculateur!BN66*VLOOKUP('Données projet'!$B$11,Paramètres!$A$1:$I$89,3,0)*0.475*44/12</f>
        <v>23.212537684581537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43.549556916894041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8.1999999999999993</v>
      </c>
      <c r="BY66" s="12">
        <f>IF('Données projet'!$A$114&gt;35,BY65+BX66-CG65,IF(A66&lt;'Données projet'!$A$114,$BV$205^A66,IF(A66='Données projet'!$A$114,'Données projet'!$B$114,BY65+BX66-CG65)))</f>
        <v>221.60000000000002</v>
      </c>
      <c r="BZ66" s="13">
        <f>BY66*VLOOKUP('Données projet'!$B$12,Paramètres!$A$1:$I$89,3,0)*VLOOKUP('Données projet'!$B$12,Paramètres!$A$1:$I$89,5,0)</f>
        <v>224.70240000000004</v>
      </c>
      <c r="CA66" s="13">
        <f t="shared" si="39"/>
        <v>55.135667706678262</v>
      </c>
      <c r="CB66" s="20">
        <f t="shared" si="10"/>
        <v>487.38463458913134</v>
      </c>
      <c r="CC66" s="59">
        <f t="shared" si="11"/>
        <v>783.07985551435991</v>
      </c>
      <c r="CD66" s="59">
        <f ca="1">AVERAGE(OFFSET($CC$3,0,0,'Données projet'!$E$12+1,1))-AVERAGE(OFFSET($H$3,0,0,'Données projet'!$E$12+1,1))</f>
        <v>473.09076714002885</v>
      </c>
      <c r="CE66" s="59">
        <f t="shared" si="40"/>
        <v>311.6454557566534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12.661597590766952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12.661597590766952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5.5999999999999943</v>
      </c>
      <c r="CT66" s="12">
        <f>IF('Données projet'!$A$140&gt;35,CT65+CS66-DB65,IF(A66&lt;'Données projet'!$A$140,$CQ$205^A66,IF(A66='Données projet'!$A$140,'Données projet'!$B$140,CT65+CS66-DB65)))</f>
        <v>220.8</v>
      </c>
      <c r="CU66" s="17">
        <f>CT66*VLOOKUP('Données projet'!$B$13,Paramètres!$A$1:$I$89,3,0)*VLOOKUP('Données projet'!$B$13,Paramètres!$A$1:$I$89,5,0)</f>
        <v>192.89088000000004</v>
      </c>
      <c r="CV66" s="13">
        <f t="shared" si="41"/>
        <v>48.178522586846704</v>
      </c>
      <c r="CW66" s="20">
        <f t="shared" si="13"/>
        <v>419.86254283875809</v>
      </c>
      <c r="CX66" s="59">
        <f t="shared" si="14"/>
        <v>715.5577637639866</v>
      </c>
      <c r="CY66" s="59">
        <f ca="1">AVERAGE(OFFSET($CX$3,0,0,'Données projet'!$E$13+1,1))-AVERAGE(OFFSET($H$3,0,0,'Données projet'!$E$13+1,1))</f>
        <v>379.66247682099424</v>
      </c>
      <c r="CZ66" s="59">
        <f t="shared" si="42"/>
        <v>342.92507939604081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27.109612003580981</v>
      </c>
      <c r="DG66" s="21">
        <f>EXP(-LN(2)/25)*DG65+(1-EXP(-LN(2)/25))/(LN(2)/25)*Calculateur!DB66*Calculateur!DD66*VLOOKUP('Données projet'!$B$13,Paramètres!$A$1:$I$89,3,0)*0.475*44/12</f>
        <v>10.9279505210873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38.037562524668282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8.8000000000000007</v>
      </c>
      <c r="DO66" s="12">
        <f>IF('Données projet'!$A$166&gt;35,DO65+DN66-DW65,IF(A66&lt;'Données projet'!$A$166,$DL$205^A66,IF(A66='Données projet'!$A$166,'Données projet'!$B$166,DO65+DN66-DW65)))</f>
        <v>271.39999999999998</v>
      </c>
      <c r="DP66" s="17">
        <f>DO66*VLOOKUP('Données projet'!$B$14,Paramètres!$A$1:$I$89,3,0)*VLOOKUP('Données projet'!$B$14,Paramètres!$A$1:$I$89,5,0)</f>
        <v>258.26423999999997</v>
      </c>
      <c r="DQ66" s="13">
        <f t="shared" si="43"/>
        <v>62.352239950788103</v>
      </c>
      <c r="DR66" s="20">
        <f t="shared" si="16"/>
        <v>558.40703591428917</v>
      </c>
      <c r="DS66" s="59">
        <f t="shared" si="17"/>
        <v>854.10225683951762</v>
      </c>
      <c r="DT66" s="59">
        <f ca="1">AVERAGE(OFFSET($DS$3,0,0,'Données projet'!$E$14+1,1))-AVERAGE(OFFSET($H$3,0,0,'Données projet'!$E$14+1,1))</f>
        <v>544.64394576312384</v>
      </c>
      <c r="DU66" s="59">
        <f t="shared" si="44"/>
        <v>310.67291035925484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12.421042436987474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12.421042436987474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3.8</v>
      </c>
      <c r="EJ66" s="12">
        <f>IF('Données projet'!$A$192&gt;35,EJ65+EI66-ER65,IF(A66&lt;'Données projet'!$A$192,$EG$205^A66,IF(A66='Données projet'!$A$192,'Données projet'!$B$192,EJ65+EI66-ER65)))</f>
        <v>116.39999999999996</v>
      </c>
      <c r="EK66" s="17">
        <f>EJ66*VLOOKUP('Données projet'!$B$15,Paramètres!$A$1:$I$89,3,0)*VLOOKUP('Données projet'!$B$15,Paramètres!$A$1:$I$89,5,0)</f>
        <v>112.58207999999998</v>
      </c>
      <c r="EL66" s="13">
        <f t="shared" si="45"/>
        <v>29.938518819529087</v>
      </c>
      <c r="EM66" s="20">
        <f t="shared" si="19"/>
        <v>248.22337627734646</v>
      </c>
      <c r="EN66" s="59">
        <f t="shared" si="20"/>
        <v>543.91859720257503</v>
      </c>
      <c r="EO66" s="59">
        <f ca="1">AVERAGE(OFFSET($EN$3,0,0,'Données projet'!$E$15+1,1))-AVERAGE(OFFSET($H$3,0,0,'Données projet'!$E$15+1,1))</f>
        <v>276.72865583771579</v>
      </c>
      <c r="EP66" s="59">
        <f t="shared" si="46"/>
        <v>174.3587092851154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4.3056195196087286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4.3056195196087286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70.644151161425967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4.25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15.583333333333334</v>
      </c>
      <c r="H67" s="67">
        <f t="shared" si="1"/>
        <v>222.56666666666669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341.11752883785607</v>
      </c>
      <c r="T67" s="59">
        <f t="shared" si="34"/>
        <v>423.15445896616234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106.93535421033687</v>
      </c>
      <c r="AA67" s="21">
        <f>EXP(-LN(2)/25)*AA66+(1-EXP(-LN(2)/25))/(LN(2)/25)*Calculateur!V67*Calculateur!X67*VLOOKUP('Données projet'!$B$9,Paramètres!$A$1:$I$89,3,0)*0.475*44/12</f>
        <v>65.187572359235489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172.12292656957237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253.52495999999999</v>
      </c>
      <c r="AK67" s="13">
        <f t="shared" si="35"/>
        <v>61.340141798422209</v>
      </c>
      <c r="AL67" s="20">
        <f t="shared" si="4"/>
        <v>548.39005229891859</v>
      </c>
      <c r="AM67" s="59">
        <f t="shared" si="5"/>
        <v>844.53408496787347</v>
      </c>
      <c r="AN67" s="59">
        <f ca="1">AVERAGE(OFFSET($AM$3,0,0,'Données projet'!$E$10+1,1))-AVERAGE(OFFSET($H$3,0,0,'Données projet'!$E$10+1,1))</f>
        <v>521.72266623522626</v>
      </c>
      <c r="AO67" s="59">
        <f t="shared" si="36"/>
        <v>298.49205684341825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11.578581237891566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11.578581237891566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11.987912087912102</v>
      </c>
      <c r="BD67" s="12">
        <f>IF('Données projet'!$A$88&gt;35,BD66+BC67-BL66,IF(A67&lt;'Données projet'!$A$88,$BA$205^A67,IF(A67='Données projet'!$A$88,'Données projet'!$B$88,BD66+BC67-BL66)))</f>
        <v>464.67802197802195</v>
      </c>
      <c r="BE67" s="13">
        <f>BD67*VLOOKUP('Données projet'!$B$11,Paramètres!$A$1:$I$89,3,0)*VLOOKUP('Données projet'!$B$11,Paramètres!$A$1:$I$89,5,0)</f>
        <v>277.87745714285711</v>
      </c>
      <c r="BF67" s="13">
        <f t="shared" si="37"/>
        <v>66.518256103252696</v>
      </c>
      <c r="BG67" s="20">
        <f t="shared" si="7"/>
        <v>599.82253390364122</v>
      </c>
      <c r="BH67" s="59">
        <f t="shared" si="8"/>
        <v>895.96656657259609</v>
      </c>
      <c r="BI67" s="59">
        <f ca="1">AVERAGE(OFFSET($BH$3,0,0,'Données projet'!$E$11+1,1))-AVERAGE(OFFSET($H$3,0,0,'Données projet'!$E$11+1,1))</f>
        <v>376.5647919688821</v>
      </c>
      <c r="BJ67" s="59">
        <f t="shared" si="38"/>
        <v>340.34037344565581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19.938222689523759</v>
      </c>
      <c r="BQ67" s="21">
        <f>EXP(-LN(2)/25)*BQ66+(1-EXP(-LN(2)/25))/(LN(2)/25)*Calculateur!BL67*Calculateur!BN67*VLOOKUP('Données projet'!$B$11,Paramètres!$A$1:$I$89,3,0)*0.475*44/12</f>
        <v>22.577789620902351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42.516012310426106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8.1999999999999993</v>
      </c>
      <c r="BY67" s="12">
        <f>IF('Données projet'!$A$114&gt;35,BY66+BX67-CG66,IF(A67&lt;'Données projet'!$A$114,$BV$205^A67,IF(A67='Données projet'!$A$114,'Données projet'!$B$114,BY66+BX67-CG66)))</f>
        <v>229.8</v>
      </c>
      <c r="BZ67" s="13">
        <f>BY67*VLOOKUP('Données projet'!$B$12,Paramètres!$A$1:$I$89,3,0)*VLOOKUP('Données projet'!$B$12,Paramètres!$A$1:$I$89,5,0)</f>
        <v>233.0172</v>
      </c>
      <c r="CA67" s="13">
        <f t="shared" si="39"/>
        <v>56.934575040177407</v>
      </c>
      <c r="CB67" s="20">
        <f t="shared" si="10"/>
        <v>504.99934152830889</v>
      </c>
      <c r="CC67" s="59">
        <f t="shared" si="11"/>
        <v>801.14337419726371</v>
      </c>
      <c r="CD67" s="59">
        <f ca="1">AVERAGE(OFFSET($CC$3,0,0,'Données projet'!$E$12+1,1))-AVERAGE(OFFSET($H$3,0,0,'Données projet'!$E$12+1,1))</f>
        <v>473.09076714002885</v>
      </c>
      <c r="CE67" s="59">
        <f t="shared" si="40"/>
        <v>311.6454557566534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12.413311384823979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12.413311384823979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5.5999999999999943</v>
      </c>
      <c r="CT67" s="12">
        <f>IF('Données projet'!$A$140&gt;35,CT66+CS67-DB66,IF(A67&lt;'Données projet'!$A$140,$CQ$205^A67,IF(A67='Données projet'!$A$140,'Données projet'!$B$140,CT66+CS67-DB66)))</f>
        <v>226.4</v>
      </c>
      <c r="CU67" s="17">
        <f>CT67*VLOOKUP('Données projet'!$B$13,Paramètres!$A$1:$I$89,3,0)*VLOOKUP('Données projet'!$B$13,Paramètres!$A$1:$I$89,5,0)</f>
        <v>197.78304000000003</v>
      </c>
      <c r="CV67" s="13">
        <f t="shared" si="41"/>
        <v>49.256631390532817</v>
      </c>
      <c r="CW67" s="20">
        <f t="shared" si="13"/>
        <v>430.26076100517804</v>
      </c>
      <c r="CX67" s="59">
        <f t="shared" si="14"/>
        <v>726.40479367413286</v>
      </c>
      <c r="CY67" s="59">
        <f ca="1">AVERAGE(OFFSET($CX$3,0,0,'Données projet'!$E$13+1,1))-AVERAGE(OFFSET($H$3,0,0,'Données projet'!$E$13+1,1))</f>
        <v>379.66247682099424</v>
      </c>
      <c r="CZ67" s="59">
        <f t="shared" si="42"/>
        <v>342.92507939604081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26.578009047421361</v>
      </c>
      <c r="DG67" s="21">
        <f>EXP(-LN(2)/25)*DG66+(1-EXP(-LN(2)/25))/(LN(2)/25)*Calculateur!DB67*Calculateur!DD67*VLOOKUP('Données projet'!$B$13,Paramètres!$A$1:$I$89,3,0)*0.475*44/12</f>
        <v>10.629125139412226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37.207134186833585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8.8000000000000007</v>
      </c>
      <c r="DO67" s="12">
        <f>IF('Données projet'!$A$166&gt;35,DO66+DN67-DW66,IF(A67&lt;'Données projet'!$A$166,$DL$205^A67,IF(A67='Données projet'!$A$166,'Données projet'!$B$166,DO66+DN67-DW66)))</f>
        <v>280.2</v>
      </c>
      <c r="DP67" s="17">
        <f>DO67*VLOOKUP('Données projet'!$B$14,Paramètres!$A$1:$I$89,3,0)*VLOOKUP('Données projet'!$B$14,Paramètres!$A$1:$I$89,5,0)</f>
        <v>266.63832000000002</v>
      </c>
      <c r="DQ67" s="13">
        <f t="shared" si="43"/>
        <v>64.135316563180027</v>
      </c>
      <c r="DR67" s="20">
        <f t="shared" si="16"/>
        <v>576.09741701420523</v>
      </c>
      <c r="DS67" s="59">
        <f t="shared" si="17"/>
        <v>872.24144968316</v>
      </c>
      <c r="DT67" s="59">
        <f ca="1">AVERAGE(OFFSET($DS$3,0,0,'Données projet'!$E$14+1,1))-AVERAGE(OFFSET($H$3,0,0,'Données projet'!$E$14+1,1))</f>
        <v>544.64394576312384</v>
      </c>
      <c r="DU67" s="59">
        <f t="shared" si="44"/>
        <v>310.67291035925484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12.177473370885959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12.177473370885959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3.8</v>
      </c>
      <c r="EJ67" s="12">
        <f>IF('Données projet'!$A$192&gt;35,EJ66+EI67-ER66,IF(A67&lt;'Données projet'!$A$192,$EG$205^A67,IF(A67='Données projet'!$A$192,'Données projet'!$B$192,EJ66+EI67-ER66)))</f>
        <v>120.19999999999996</v>
      </c>
      <c r="EK67" s="17">
        <f>EJ67*VLOOKUP('Données projet'!$B$15,Paramètres!$A$1:$I$89,3,0)*VLOOKUP('Données projet'!$B$15,Paramètres!$A$1:$I$89,5,0)</f>
        <v>116.25743999999996</v>
      </c>
      <c r="EL67" s="13">
        <f t="shared" si="45"/>
        <v>30.800505515381992</v>
      </c>
      <c r="EM67" s="20">
        <f t="shared" si="19"/>
        <v>256.1259217726236</v>
      </c>
      <c r="EN67" s="59">
        <f t="shared" si="20"/>
        <v>552.26995444157842</v>
      </c>
      <c r="EO67" s="59">
        <f ca="1">AVERAGE(OFFSET($EN$3,0,0,'Données projet'!$E$15+1,1))-AVERAGE(OFFSET($H$3,0,0,'Données projet'!$E$15+1,1))</f>
        <v>276.72865583771579</v>
      </c>
      <c r="EP67" s="59">
        <f t="shared" si="46"/>
        <v>174.3587092851154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4.2211889469977955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4.2211889469977955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70.766554364260415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4.25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15.583333333333334</v>
      </c>
      <c r="H68" s="67">
        <f t="shared" ref="H68:H131" si="56">(B68+E68+F68)*44/12+(C68+D68)*0.475*44/12</f>
        <v>222.56666666666669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341.11752883785607</v>
      </c>
      <c r="T68" s="59">
        <f t="shared" si="34"/>
        <v>423.15445896616234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104.83841713839789</v>
      </c>
      <c r="AA68" s="21">
        <f>EXP(-LN(2)/25)*AA67+(1-EXP(-LN(2)/25))/(LN(2)/25)*Calculateur!V68*Calculateur!X68*VLOOKUP('Données projet'!$B$9,Paramètres!$A$1:$I$89,3,0)*0.475*44/12</f>
        <v>63.405014765006754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168.24343190340466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261.48719999999997</v>
      </c>
      <c r="AK68" s="13">
        <f t="shared" si="35"/>
        <v>63.039283586802391</v>
      </c>
      <c r="AL68" s="20">
        <f t="shared" ref="AL68:AL131" si="58">(AJ68+AK68)*0.475*44/12</f>
        <v>565.21695891368086</v>
      </c>
      <c r="AM68" s="59">
        <f t="shared" ref="AM68:AM131" si="59">AL68+(AD68+AE68)*44/12</f>
        <v>861.80201744600106</v>
      </c>
      <c r="AN68" s="59">
        <f ca="1">AVERAGE(OFFSET($AM$3,0,0,'Données projet'!$E$10+1,1))-AVERAGE(OFFSET($H$3,0,0,'Données projet'!$E$10+1,1))</f>
        <v>521.72266623522626</v>
      </c>
      <c r="AO68" s="59">
        <f t="shared" si="36"/>
        <v>298.49205684341825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18.577190948129541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18.577190948129541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11.987912087912102</v>
      </c>
      <c r="BD68" s="12">
        <f>IF('Données projet'!$A$88&gt;35,BD67+BC68-BL67,IF(A68&lt;'Données projet'!$A$88,$BA$205^A68,IF(A68='Données projet'!$A$88,'Données projet'!$B$88,BD67+BC68-BL67)))</f>
        <v>476.66593406593404</v>
      </c>
      <c r="BE68" s="13">
        <f>BD68*VLOOKUP('Données projet'!$B$11,Paramètres!$A$1:$I$89,3,0)*VLOOKUP('Données projet'!$B$11,Paramètres!$A$1:$I$89,5,0)</f>
        <v>285.04622857142857</v>
      </c>
      <c r="BF68" s="13">
        <f t="shared" si="37"/>
        <v>68.032310916141427</v>
      </c>
      <c r="BG68" s="20">
        <f t="shared" ref="BG68:BG131" si="61">(BE68+BF68)*0.475*44/12</f>
        <v>614.94512294085098</v>
      </c>
      <c r="BH68" s="59">
        <f t="shared" ref="BH68:BH131" si="62">BG68+(AY68+AZ68)*44/12</f>
        <v>911.53018147317118</v>
      </c>
      <c r="BI68" s="59">
        <f ca="1">AVERAGE(OFFSET($BH$3,0,0,'Données projet'!$E$11+1,1))-AVERAGE(OFFSET($H$3,0,0,'Données projet'!$E$11+1,1))</f>
        <v>376.5647919688821</v>
      </c>
      <c r="BJ68" s="59">
        <f t="shared" si="38"/>
        <v>340.34037344565581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19.547246303697229</v>
      </c>
      <c r="BQ68" s="21">
        <f>EXP(-LN(2)/25)*BQ67+(1-EXP(-LN(2)/25))/(LN(2)/25)*Calculateur!BL68*Calculateur!BN68*VLOOKUP('Données projet'!$B$11,Paramètres!$A$1:$I$89,3,0)*0.475*44/12</f>
        <v>21.960398776404421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41.507645080101653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238</v>
      </c>
      <c r="BW68" s="12">
        <f>VLOOKUP(A68,'Données projet'!$A$113:$I$133,9,0)</f>
        <v>8.1999999999999993</v>
      </c>
      <c r="BX68" s="12">
        <f t="array" ref="BX68">INDEX(BW:BW,MIN(IF(ISNUMBER(BW68:BW264),ROW(BW68:BW264),"")))</f>
        <v>8.1999999999999993</v>
      </c>
      <c r="BY68" s="12">
        <f>IF('Données projet'!$A$114&gt;35,BY67+BX68-CG67,IF(A68&lt;'Données projet'!$A$114,$BV$205^A68,IF(A68='Données projet'!$A$114,'Données projet'!$B$114,BY67+BX68-CG67)))</f>
        <v>238</v>
      </c>
      <c r="BZ68" s="13">
        <f>BY68*VLOOKUP('Données projet'!$B$12,Paramètres!$A$1:$I$89,3,0)*VLOOKUP('Données projet'!$B$12,Paramètres!$A$1:$I$89,5,0)</f>
        <v>241.33200000000002</v>
      </c>
      <c r="CA68" s="13">
        <f t="shared" si="39"/>
        <v>58.72602439130111</v>
      </c>
      <c r="CB68" s="20">
        <f t="shared" ref="CB68:CB131" si="64">(BZ68+CA68)*0.475*44/12</f>
        <v>522.6010591481828</v>
      </c>
      <c r="CC68" s="59">
        <f t="shared" ref="CC68:CC131" si="65">CB68+(BT68+BU68)*44/12</f>
        <v>819.186117680503</v>
      </c>
      <c r="CD68" s="59">
        <f ca="1">AVERAGE(OFFSET($CC$3,0,0,'Données projet'!$E$12+1,1))-AVERAGE(OFFSET($H$3,0,0,'Données projet'!$E$12+1,1))</f>
        <v>473.09076714002885</v>
      </c>
      <c r="CE68" s="59">
        <f t="shared" si="40"/>
        <v>311.6454557566534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27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19.978410477060017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19.978410477060017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231.99999999999997</v>
      </c>
      <c r="CR68" s="12">
        <f>VLOOKUP(A68,'Données projet'!$A$139:$I$159,9,0)</f>
        <v>5.5999999999999943</v>
      </c>
      <c r="CS68" s="12">
        <f t="array" ref="CS68">INDEX(CR:CR,MIN(IF(ISNUMBER(CR68:CR264),ROW(CR68:CR264),"")))</f>
        <v>5.5999999999999943</v>
      </c>
      <c r="CT68" s="12">
        <f>IF('Données projet'!$A$140&gt;35,CT67+CS68-DB67,IF(A68&lt;'Données projet'!$A$140,$CQ$205^A68,IF(A68='Données projet'!$A$140,'Données projet'!$B$140,CT67+CS68-DB67)))</f>
        <v>232</v>
      </c>
      <c r="CU68" s="17">
        <f>CT68*VLOOKUP('Données projet'!$B$13,Paramètres!$A$1:$I$89,3,0)*VLOOKUP('Données projet'!$B$13,Paramètres!$A$1:$I$89,5,0)</f>
        <v>202.67520000000002</v>
      </c>
      <c r="CV68" s="13">
        <f t="shared" si="41"/>
        <v>50.331640285313689</v>
      </c>
      <c r="CW68" s="20">
        <f t="shared" ref="CW68:CW131" si="67">(CU68+CV68)*0.475*44/12</f>
        <v>440.653580163588</v>
      </c>
      <c r="CX68" s="59">
        <f t="shared" ref="CX68:CX131" si="68">CW68+(CO68+CP68)*44/12</f>
        <v>737.23863869590821</v>
      </c>
      <c r="CY68" s="59">
        <f ca="1">AVERAGE(OFFSET($CX$3,0,0,'Données projet'!$E$13+1,1))-AVERAGE(OFFSET($H$3,0,0,'Données projet'!$E$13+1,1))</f>
        <v>379.66247682099424</v>
      </c>
      <c r="CZ68" s="59">
        <f t="shared" si="42"/>
        <v>342.92507939604081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20</v>
      </c>
      <c r="DC68" s="16">
        <f>IF(ISNA(VLOOKUP(A68,'Données projet'!$A$139:$I$159,5,0)),0%,VLOOKUP(A68,'Données projet'!$A$139:$I$159,5,0)*VLOOKUP('Données projet'!$B$13,Paramètres!$A$1:$I$89,7,0))</f>
        <v>0.25800000000000001</v>
      </c>
      <c r="DD68" s="16">
        <f>IF(ISNA(VLOOKUP(A68,'Données projet'!$A$139:$I$159,6,0)),0%,VLOOKUP(A68,'Données projet'!$A$139:$I$159,6,0)*VLOOKUP('Données projet'!$B$13,Paramètres!$A$1:$I$89,7,0))</f>
        <v>0.129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31.04004334655577</v>
      </c>
      <c r="DG68" s="21">
        <f>EXP(-LN(2)/25)*DG67+(1-EXP(-LN(2)/25))/(LN(2)/25)*Calculateur!DB68*Calculateur!DD68*VLOOKUP('Données projet'!$B$13,Paramètres!$A$1:$I$89,3,0)*0.475*44/12</f>
        <v>12.820267172435381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43.860310518991149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289</v>
      </c>
      <c r="DM68" s="12">
        <f>VLOOKUP(A68,'Données projet'!$A$165:$I$185,9,0)</f>
        <v>8.8000000000000007</v>
      </c>
      <c r="DN68" s="12">
        <f t="array" ref="DN68">INDEX(DM:DM,MIN(IF(ISNUMBER(DM68:DM264),ROW(DM68:DM264),"")))</f>
        <v>8.8000000000000007</v>
      </c>
      <c r="DO68" s="12">
        <f>IF('Données projet'!$A$166&gt;35,DO67+DN68-DW67,IF(A68&lt;'Données projet'!$A$166,$DL$205^A68,IF(A68='Données projet'!$A$166,'Données projet'!$B$166,DO67+DN68-DW67)))</f>
        <v>289</v>
      </c>
      <c r="DP68" s="17">
        <f>DO68*VLOOKUP('Données projet'!$B$14,Paramètres!$A$1:$I$89,3,0)*VLOOKUP('Données projet'!$B$14,Paramètres!$A$1:$I$89,5,0)</f>
        <v>275.01240000000001</v>
      </c>
      <c r="DQ68" s="13">
        <f t="shared" si="43"/>
        <v>65.911885597559035</v>
      </c>
      <c r="DR68" s="20">
        <f t="shared" ref="DR68:DR131" si="70">(DP68+DQ68)*0.475*44/12</f>
        <v>593.77646408241537</v>
      </c>
      <c r="DS68" s="59">
        <f t="shared" ref="DS68:DS131" si="71">DR68+(DJ68+DK68)*44/12</f>
        <v>890.36152261473558</v>
      </c>
      <c r="DT68" s="59">
        <f ca="1">AVERAGE(OFFSET($DS$3,0,0,'Données projet'!$E$14+1,1))-AVERAGE(OFFSET($H$3,0,0,'Données projet'!$E$14+1,1))</f>
        <v>544.64394576312384</v>
      </c>
      <c r="DU68" s="59">
        <f t="shared" si="44"/>
        <v>310.67291035925484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28</v>
      </c>
      <c r="DX68" s="16">
        <f>IF(ISNA(VLOOKUP(A68,'Données projet'!$A$165:$I$185,5,0)),0%,VLOOKUP(A68,'Données projet'!$A$165:$I$185,5,0)*VLOOKUP('Données projet'!$B$14,Paramètres!$A$1:$I$89,7,0))</f>
        <v>0.25800000000000001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19.538080135101758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19.538080135101758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124</v>
      </c>
      <c r="EH68" s="12">
        <f>VLOOKUP(A68,'Données projet'!$A$191:$I$211,9,0)</f>
        <v>3.8</v>
      </c>
      <c r="EI68" s="12">
        <f t="array" ref="EI68">INDEX(EH:EH,MIN(IF(ISNUMBER(EH68:EH264),ROW(EH68:EH264),"")))</f>
        <v>3.8</v>
      </c>
      <c r="EJ68" s="12">
        <f>IF('Données projet'!$A$192&gt;35,EJ67+EI68-ER67,IF(A68&lt;'Données projet'!$A$192,$EG$205^A68,IF(A68='Données projet'!$A$192,'Données projet'!$B$192,EJ67+EI68-ER67)))</f>
        <v>123.99999999999996</v>
      </c>
      <c r="EK68" s="17">
        <f>EJ68*VLOOKUP('Données projet'!$B$15,Paramètres!$A$1:$I$89,3,0)*VLOOKUP('Données projet'!$B$15,Paramètres!$A$1:$I$89,5,0)</f>
        <v>119.93279999999996</v>
      </c>
      <c r="EL68" s="13">
        <f t="shared" si="45"/>
        <v>31.659325486741739</v>
      </c>
      <c r="EM68" s="20">
        <f t="shared" ref="EM68:EM131" si="73">(EK68+EL68)*0.475*44/12</f>
        <v>264.02295188940849</v>
      </c>
      <c r="EN68" s="59">
        <f t="shared" ref="EN68:EN131" si="74">EM68+(EE68+EF68)*44/12</f>
        <v>560.60801042172875</v>
      </c>
      <c r="EO68" s="59">
        <f ca="1">AVERAGE(OFFSET($EN$3,0,0,'Données projet'!$E$15+1,1))-AVERAGE(OFFSET($H$3,0,0,'Données projet'!$E$15+1,1))</f>
        <v>276.72865583771579</v>
      </c>
      <c r="EP68" s="59">
        <f t="shared" si="46"/>
        <v>174.3587092851154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10</v>
      </c>
      <c r="ES68" s="16">
        <f>IF(ISNA(VLOOKUP(A68,'Données projet'!$A$191:$I$211,5,0)),0%,VLOOKUP(A68,'Données projet'!$A$191:$I$211,5,0)*VLOOKUP('Données projet'!$B$15,Paramètres!$A$1:$I$89,7,0))</f>
        <v>0.25800000000000001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6.8969782602156133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6.8969782602156133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70.886834145178241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4.25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15.583333333333334</v>
      </c>
      <c r="H69" s="67">
        <f t="shared" si="56"/>
        <v>222.56666666666669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341.11752883785607</v>
      </c>
      <c r="T69" s="59">
        <f t="shared" ref="T69:T132" si="88">$T$3</f>
        <v>423.15445896616234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102.7825997234343</v>
      </c>
      <c r="AA69" s="21">
        <f>EXP(-LN(2)/25)*AA68+(1-EXP(-LN(2)/25))/(LN(2)/25)*Calculateur!V69*Calculateur!X69*VLOOKUP('Données projet'!$B$9,Paramètres!$A$1:$I$89,3,0)*0.475*44/12</f>
        <v>61.671201301932832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164.45380102536714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243.57216</v>
      </c>
      <c r="AK69" s="13">
        <f t="shared" ref="AK69:AK132" si="89">EXP(-1.0587+0.8836*LN(AJ69)+0.284)</f>
        <v>59.207435995642292</v>
      </c>
      <c r="AL69" s="20">
        <f t="shared" si="58"/>
        <v>527.34112969241028</v>
      </c>
      <c r="AM69" s="59">
        <f t="shared" si="59"/>
        <v>824.35956327535268</v>
      </c>
      <c r="AN69" s="59">
        <f ca="1">AVERAGE(OFFSET($AM$3,0,0,'Données projet'!$E$10+1,1))-AVERAGE(OFFSET($H$3,0,0,'Données projet'!$E$10+1,1))</f>
        <v>521.72266623522626</v>
      </c>
      <c r="AO69" s="59">
        <f t="shared" ref="AO69:AO132" si="90">$AO$3</f>
        <v>298.49205684341825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18.21290356460436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18.21290356460436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488.65384615384613</v>
      </c>
      <c r="BB69" s="12">
        <f>VLOOKUP(A69,'Données projet'!$A$87:$I$107,9,0)</f>
        <v>11.987912087912102</v>
      </c>
      <c r="BC69" s="12">
        <f t="array" ref="BC69">INDEX(BB:BB,MIN(IF(ISNUMBER(BB69:BB265),ROW(BB69:BB265),"")))</f>
        <v>11.987912087912102</v>
      </c>
      <c r="BD69" s="12">
        <f>IF('Données projet'!$A$88&gt;35,BD68+BC69-BL68,IF(A69&lt;'Données projet'!$A$88,$BA$205^A69,IF(A69='Données projet'!$A$88,'Données projet'!$B$88,BD68+BC69-BL68)))</f>
        <v>488.65384615384613</v>
      </c>
      <c r="BE69" s="13">
        <f>BD69*VLOOKUP('Données projet'!$B$11,Paramètres!$A$1:$I$89,3,0)*VLOOKUP('Données projet'!$B$11,Paramètres!$A$1:$I$89,5,0)</f>
        <v>292.21500000000003</v>
      </c>
      <c r="BF69" s="13">
        <f t="shared" ref="BF69:BF132" si="91">EXP(-1.0587+0.8836*LN(BE69)+0.284)</f>
        <v>69.541939469490984</v>
      </c>
      <c r="BG69" s="20">
        <f t="shared" si="61"/>
        <v>630.06000290936356</v>
      </c>
      <c r="BH69" s="59">
        <f t="shared" si="62"/>
        <v>927.07843649230585</v>
      </c>
      <c r="BI69" s="59">
        <f ca="1">AVERAGE(OFFSET($BH$3,0,0,'Données projet'!$E$11+1,1))-AVERAGE(OFFSET($H$3,0,0,'Données projet'!$E$11+1,1))</f>
        <v>376.5647919688821</v>
      </c>
      <c r="BJ69" s="59">
        <f t="shared" ref="BJ69:BJ132" si="92">$BJ$3</f>
        <v>340.34037344565581</v>
      </c>
      <c r="BK69" s="15">
        <f>IF(ISNA(VLOOKUP(A69,'Données projet'!$A$87:$I$107,3,0)),0,VLOOKUP(A69,'Données projet'!$A$87:$I$107,3,0))</f>
        <v>11</v>
      </c>
      <c r="BL69" s="15">
        <f>IF(ISNA(VLOOKUP(A69,'Données projet'!$A$87:$I$107,4,0)),0,VLOOKUP(A69,'Données projet'!$A$87:$I$107,4,0))</f>
        <v>68.146153846153851</v>
      </c>
      <c r="BM69" s="16">
        <f>IF(ISNA(VLOOKUP(A69,'Données projet'!$A$87:$I$107,5,0)),0%,VLOOKUP(A69,'Données projet'!$A$87:$I$107,5,0)*VLOOKUP('Données projet'!$B$11,Paramètres!$A$1:$I$89,7,0))</f>
        <v>0.315</v>
      </c>
      <c r="BN69" s="16">
        <f>IF(ISNA(VLOOKUP(A69,'Données projet'!$A$87:$I$107,6,0)),0%,VLOOKUP(A69,'Données projet'!$A$87:$I$107,6,0)*VLOOKUP('Données projet'!$B$11,Paramètres!$A$1:$I$89,7,0))</f>
        <v>0.13500000000000001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36.192634732385358</v>
      </c>
      <c r="BQ69" s="21">
        <f>EXP(-LN(2)/25)*BQ68+(1-EXP(-LN(2)/25))/(LN(2)/25)*Calculateur!BL69*Calculateur!BN69*VLOOKUP('Données projet'!$B$11,Paramètres!$A$1:$I$89,3,0)*0.475*44/12</f>
        <v>28.629168888545678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64.821803620931036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7.6</v>
      </c>
      <c r="BY69" s="12">
        <f>IF('Données projet'!$A$114&gt;35,BY68+BX69-CG68,IF(A69&lt;'Données projet'!$A$114,$BV$205^A69,IF(A69='Données projet'!$A$114,'Données projet'!$B$114,BY68+BX69-CG68)))</f>
        <v>218.6</v>
      </c>
      <c r="BZ69" s="13">
        <f>BY69*VLOOKUP('Données projet'!$B$12,Paramètres!$A$1:$I$89,3,0)*VLOOKUP('Données projet'!$B$12,Paramètres!$A$1:$I$89,5,0)</f>
        <v>221.66040000000001</v>
      </c>
      <c r="CA69" s="13">
        <f t="shared" ref="CA69:CA132" si="93">EXP(-1.0587+0.8836*LN(BZ69)+0.284)</f>
        <v>54.475607383438209</v>
      </c>
      <c r="CB69" s="20">
        <f t="shared" si="64"/>
        <v>480.93687952615483</v>
      </c>
      <c r="CC69" s="59">
        <f t="shared" si="65"/>
        <v>777.95531310909723</v>
      </c>
      <c r="CD69" s="59">
        <f ca="1">AVERAGE(OFFSET($CC$3,0,0,'Données projet'!$E$12+1,1))-AVERAGE(OFFSET($H$3,0,0,'Données projet'!$E$12+1,1))</f>
        <v>473.09076714002885</v>
      </c>
      <c r="CE69" s="59">
        <f t="shared" ref="CE69:CE132" si="94">$CE$3</f>
        <v>311.6454557566534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19.586646033232029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19.586646033232029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5.0000000000000053</v>
      </c>
      <c r="CT69" s="12">
        <f>IF('Données projet'!$A$140&gt;35,CT68+CS69-DB68,IF(A69&lt;'Données projet'!$A$140,$CQ$205^A69,IF(A69='Données projet'!$A$140,'Données projet'!$B$140,CT68+CS69-DB68)))</f>
        <v>217</v>
      </c>
      <c r="CU69" s="17">
        <f>CT69*VLOOKUP('Données projet'!$B$13,Paramètres!$A$1:$I$89,3,0)*VLOOKUP('Données projet'!$B$13,Paramètres!$A$1:$I$89,5,0)</f>
        <v>189.57120000000003</v>
      </c>
      <c r="CV69" s="13">
        <f t="shared" ref="CV69:CV132" si="95">EXP(-1.0587+0.8836*LN(CU69)+0.284)</f>
        <v>47.44513879693244</v>
      </c>
      <c r="CW69" s="20">
        <f t="shared" si="67"/>
        <v>412.8034567379907</v>
      </c>
      <c r="CX69" s="59">
        <f t="shared" si="68"/>
        <v>709.82189032093311</v>
      </c>
      <c r="CY69" s="59">
        <f ca="1">AVERAGE(OFFSET($CX$3,0,0,'Données projet'!$E$13+1,1))-AVERAGE(OFFSET($H$3,0,0,'Données projet'!$E$13+1,1))</f>
        <v>379.66247682099424</v>
      </c>
      <c r="CZ69" s="59">
        <f t="shared" ref="CZ69:CZ132" si="96">$CZ$3</f>
        <v>342.92507939604081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30.431367029086818</v>
      </c>
      <c r="DG69" s="21">
        <f>EXP(-LN(2)/25)*DG68+(1-EXP(-LN(2)/25))/(LN(2)/25)*Calculateur!DB69*Calculateur!DD69*VLOOKUP('Données projet'!$B$13,Paramètres!$A$1:$I$89,3,0)*0.475*44/12</f>
        <v>12.469696292416586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42.901063321503401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8.1999999999999993</v>
      </c>
      <c r="DO69" s="12">
        <f>IF('Données projet'!$A$166&gt;35,DO68+DN69-DW68,IF(A69&lt;'Données projet'!$A$166,$DL$205^A69,IF(A69='Données projet'!$A$166,'Données projet'!$B$166,DO68+DN69-DW68)))</f>
        <v>269.2</v>
      </c>
      <c r="DP69" s="17">
        <f>DO69*VLOOKUP('Données projet'!$B$14,Paramètres!$A$1:$I$89,3,0)*VLOOKUP('Données projet'!$B$14,Paramètres!$A$1:$I$89,5,0)</f>
        <v>256.17072000000002</v>
      </c>
      <c r="DQ69" s="13">
        <f t="shared" ref="DQ69:DQ132" si="97">EXP(-1.0587+0.8836*LN(DP69)+0.284)</f>
        <v>61.905426677256543</v>
      </c>
      <c r="DR69" s="20">
        <f t="shared" si="70"/>
        <v>553.98262212955512</v>
      </c>
      <c r="DS69" s="59">
        <f t="shared" si="71"/>
        <v>851.00105571249742</v>
      </c>
      <c r="DT69" s="59">
        <f ca="1">AVERAGE(OFFSET($DS$3,0,0,'Données projet'!$E$14+1,1))-AVERAGE(OFFSET($H$3,0,0,'Données projet'!$E$14+1,1))</f>
        <v>544.64394576312384</v>
      </c>
      <c r="DU69" s="59">
        <f t="shared" ref="DU69:DU132" si="98">$DU$3</f>
        <v>310.67291035925484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19.154950300704584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19.154950300704584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3.6</v>
      </c>
      <c r="EJ69" s="12">
        <f>IF('Données projet'!$A$192&gt;35,EJ68+EI69-ER68,IF(A69&lt;'Données projet'!$A$192,$EG$205^A69,IF(A69='Données projet'!$A$192,'Données projet'!$B$192,EJ68+EI69-ER68)))</f>
        <v>117.59999999999995</v>
      </c>
      <c r="EK69" s="17">
        <f>EJ69*VLOOKUP('Données projet'!$B$15,Paramètres!$A$1:$I$89,3,0)*VLOOKUP('Données projet'!$B$15,Paramètres!$A$1:$I$89,5,0)</f>
        <v>113.74271999999995</v>
      </c>
      <c r="EL69" s="13">
        <f t="shared" ref="EL69:EL132" si="99">EXP(-1.0587+0.8836*LN(EK69)+0.284)</f>
        <v>30.211074114233345</v>
      </c>
      <c r="EM69" s="20">
        <f t="shared" si="73"/>
        <v>250.71952474895633</v>
      </c>
      <c r="EN69" s="59">
        <f t="shared" si="74"/>
        <v>547.73795833189865</v>
      </c>
      <c r="EO69" s="59">
        <f ca="1">AVERAGE(OFFSET($EN$3,0,0,'Données projet'!$E$15+1,1))-AVERAGE(OFFSET($H$3,0,0,'Données projet'!$E$15+1,1))</f>
        <v>276.72865583771579</v>
      </c>
      <c r="EP69" s="59">
        <f t="shared" ref="EP69:EP132" si="100">$EP$3</f>
        <v>174.3587092851154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6.7617327232741431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6.7617327232741431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71.005027340802457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4.25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15.583333333333334</v>
      </c>
      <c r="H70" s="67">
        <f t="shared" si="56"/>
        <v>222.56666666666669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341.11752883785607</v>
      </c>
      <c r="T70" s="59">
        <f t="shared" si="88"/>
        <v>423.15445896616234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100.76709563405335</v>
      </c>
      <c r="AA70" s="21">
        <f>EXP(-LN(2)/25)*AA69+(1-EXP(-LN(2)/25))/(LN(2)/25)*Calculateur!V70*Calculateur!X70*VLOOKUP('Données projet'!$B$9,Paramètres!$A$1:$I$89,3,0)*0.475*44/12</f>
        <v>59.984799059183956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160.75189469323732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250.99151999999995</v>
      </c>
      <c r="AK70" s="13">
        <f t="shared" si="89"/>
        <v>60.798211000769406</v>
      </c>
      <c r="AL70" s="20">
        <f t="shared" si="58"/>
        <v>543.03378149300659</v>
      </c>
      <c r="AM70" s="59">
        <f t="shared" si="59"/>
        <v>840.47807203832417</v>
      </c>
      <c r="AN70" s="59">
        <f ca="1">AVERAGE(OFFSET($AM$3,0,0,'Données projet'!$E$10+1,1))-AVERAGE(OFFSET($H$3,0,0,'Données projet'!$E$10+1,1))</f>
        <v>521.72266623522626</v>
      </c>
      <c r="AO70" s="59">
        <f t="shared" si="90"/>
        <v>298.49205684341825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17.855759634476744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17.855759634476744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10.023076923076928</v>
      </c>
      <c r="BD70" s="12">
        <f>IF('Données projet'!$A$88&gt;35,BD69+BC70-BL69,IF(A70&lt;'Données projet'!$A$88,$BA$205^A70,IF(A70='Données projet'!$A$88,'Données projet'!$B$88,BD69+BC70-BL69)))</f>
        <v>430.53076923076924</v>
      </c>
      <c r="BE70" s="13">
        <f>BD70*VLOOKUP('Données projet'!$B$11,Paramètres!$A$1:$I$89,3,0)*VLOOKUP('Données projet'!$B$11,Paramètres!$A$1:$I$89,5,0)</f>
        <v>257.45740000000001</v>
      </c>
      <c r="BF70" s="13">
        <f t="shared" si="91"/>
        <v>62.180088788200372</v>
      </c>
      <c r="BG70" s="20">
        <f t="shared" si="61"/>
        <v>556.70195963944889</v>
      </c>
      <c r="BH70" s="59">
        <f t="shared" si="62"/>
        <v>854.14625018476659</v>
      </c>
      <c r="BI70" s="59">
        <f ca="1">AVERAGE(OFFSET($BH$3,0,0,'Données projet'!$E$11+1,1))-AVERAGE(OFFSET($H$3,0,0,'Données projet'!$E$11+1,1))</f>
        <v>376.5647919688821</v>
      </c>
      <c r="BJ70" s="59">
        <f t="shared" si="92"/>
        <v>340.34037344565581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35.482919240610713</v>
      </c>
      <c r="BQ70" s="21">
        <f>EXP(-LN(2)/25)*BQ69+(1-EXP(-LN(2)/25))/(LN(2)/25)*Calculateur!BL70*Calculateur!BN70*VLOOKUP('Données projet'!$B$11,Paramètres!$A$1:$I$89,3,0)*0.475*44/12</f>
        <v>27.846302759745836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63.329222000356552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7.6</v>
      </c>
      <c r="BY70" s="12">
        <f>IF('Données projet'!$A$114&gt;35,BY69+BX70-CG69,IF(A70&lt;'Données projet'!$A$114,$BV$205^A70,IF(A70='Données projet'!$A$114,'Données projet'!$B$114,BY69+BX70-CG69)))</f>
        <v>226.2</v>
      </c>
      <c r="BZ70" s="13">
        <f>BY70*VLOOKUP('Données projet'!$B$12,Paramètres!$A$1:$I$89,3,0)*VLOOKUP('Données projet'!$B$12,Paramètres!$A$1:$I$89,5,0)</f>
        <v>229.36680000000001</v>
      </c>
      <c r="CA70" s="13">
        <f t="shared" si="93"/>
        <v>56.14574692729505</v>
      </c>
      <c r="CB70" s="20">
        <f t="shared" si="64"/>
        <v>497.26768589837212</v>
      </c>
      <c r="CC70" s="59">
        <f t="shared" si="65"/>
        <v>794.71197644368976</v>
      </c>
      <c r="CD70" s="59">
        <f ca="1">AVERAGE(OFFSET($CC$3,0,0,'Données projet'!$E$12+1,1))-AVERAGE(OFFSET($H$3,0,0,'Données projet'!$E$12+1,1))</f>
        <v>473.09076714002885</v>
      </c>
      <c r="CE70" s="59">
        <f t="shared" si="94"/>
        <v>311.6454557566534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19.202563851194792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19.202563851194792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5.0000000000000053</v>
      </c>
      <c r="CT70" s="12">
        <f>IF('Données projet'!$A$140&gt;35,CT69+CS70-DB69,IF(A70&lt;'Données projet'!$A$140,$CQ$205^A70,IF(A70='Données projet'!$A$140,'Données projet'!$B$140,CT69+CS70-DB69)))</f>
        <v>222</v>
      </c>
      <c r="CU70" s="17">
        <f>CT70*VLOOKUP('Données projet'!$B$13,Paramètres!$A$1:$I$89,3,0)*VLOOKUP('Données projet'!$B$13,Paramètres!$A$1:$I$89,5,0)</f>
        <v>193.93920000000003</v>
      </c>
      <c r="CV70" s="13">
        <f t="shared" si="95"/>
        <v>48.409811198069384</v>
      </c>
      <c r="CW70" s="20">
        <f t="shared" si="67"/>
        <v>422.09119450330417</v>
      </c>
      <c r="CX70" s="59">
        <f t="shared" si="68"/>
        <v>719.53548504862181</v>
      </c>
      <c r="CY70" s="59">
        <f ca="1">AVERAGE(OFFSET($CX$3,0,0,'Données projet'!$E$13+1,1))-AVERAGE(OFFSET($H$3,0,0,'Données projet'!$E$13+1,1))</f>
        <v>379.66247682099424</v>
      </c>
      <c r="CZ70" s="59">
        <f t="shared" si="96"/>
        <v>342.92507939604081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29.834626482947538</v>
      </c>
      <c r="DG70" s="21">
        <f>EXP(-LN(2)/25)*DG69+(1-EXP(-LN(2)/25))/(LN(2)/25)*Calculateur!DB70*Calculateur!DD70*VLOOKUP('Données projet'!$B$13,Paramètres!$A$1:$I$89,3,0)*0.475*44/12</f>
        <v>12.128711791547627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41.963338274495165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8.1999999999999993</v>
      </c>
      <c r="DO70" s="12">
        <f>IF('Données projet'!$A$166&gt;35,DO69+DN70-DW69,IF(A70&lt;'Données projet'!$A$166,$DL$205^A70,IF(A70='Données projet'!$A$166,'Données projet'!$B$166,DO69+DN70-DW69)))</f>
        <v>277.39999999999998</v>
      </c>
      <c r="DP70" s="17">
        <f>DO70*VLOOKUP('Données projet'!$B$14,Paramètres!$A$1:$I$89,3,0)*VLOOKUP('Données projet'!$B$14,Paramètres!$A$1:$I$89,5,0)</f>
        <v>263.97383999999994</v>
      </c>
      <c r="DQ70" s="13">
        <f t="shared" si="97"/>
        <v>63.56869082277958</v>
      </c>
      <c r="DR70" s="20">
        <f t="shared" si="70"/>
        <v>570.46990784967431</v>
      </c>
      <c r="DS70" s="59">
        <f t="shared" si="71"/>
        <v>867.9141983949919</v>
      </c>
      <c r="DT70" s="59">
        <f ca="1">AVERAGE(OFFSET($DS$3,0,0,'Données projet'!$E$14+1,1))-AVERAGE(OFFSET($H$3,0,0,'Données projet'!$E$14+1,1))</f>
        <v>544.64394576312384</v>
      </c>
      <c r="DU70" s="59">
        <f t="shared" si="98"/>
        <v>310.67291035925484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18.779333408673814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18.779333408673814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3.6</v>
      </c>
      <c r="EJ70" s="12">
        <f>IF('Données projet'!$A$192&gt;35,EJ69+EI70-ER69,IF(A70&lt;'Données projet'!$A$192,$EG$205^A70,IF(A70='Données projet'!$A$192,'Données projet'!$B$192,EJ69+EI70-ER69)))</f>
        <v>121.19999999999995</v>
      </c>
      <c r="EK70" s="17">
        <f>EJ70*VLOOKUP('Données projet'!$B$15,Paramètres!$A$1:$I$89,3,0)*VLOOKUP('Données projet'!$B$15,Paramètres!$A$1:$I$89,5,0)</f>
        <v>117.22463999999995</v>
      </c>
      <c r="EL70" s="13">
        <f t="shared" si="99"/>
        <v>31.026813250993953</v>
      </c>
      <c r="EM70" s="20">
        <f t="shared" si="73"/>
        <v>258.20461441214769</v>
      </c>
      <c r="EN70" s="59">
        <f t="shared" si="74"/>
        <v>555.64890495746533</v>
      </c>
      <c r="EO70" s="59">
        <f ca="1">AVERAGE(OFFSET($EN$3,0,0,'Données projet'!$E$15+1,1))-AVERAGE(OFFSET($H$3,0,0,'Données projet'!$E$15+1,1))</f>
        <v>276.72865583771579</v>
      </c>
      <c r="EP70" s="59">
        <f t="shared" si="100"/>
        <v>174.3587092851154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6.6291392688204622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6.6291392688204622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71.121170148722996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4.25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15.583333333333334</v>
      </c>
      <c r="H71" s="67">
        <f t="shared" si="56"/>
        <v>222.56666666666669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341.11752883785607</v>
      </c>
      <c r="T71" s="59">
        <f t="shared" si="88"/>
        <v>423.15445896616234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98.791114350529043</v>
      </c>
      <c r="AA71" s="21">
        <f>EXP(-LN(2)/25)*AA70+(1-EXP(-LN(2)/25))/(LN(2)/25)*Calculateur!V71*Calculateur!X71*VLOOKUP('Données projet'!$B$9,Paramètres!$A$1:$I$89,3,0)*0.475*44/12</f>
        <v>58.344511574447083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157.13562592497613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258.41087999999996</v>
      </c>
      <c r="AK71" s="13">
        <f t="shared" si="89"/>
        <v>62.383521020316756</v>
      </c>
      <c r="AL71" s="20">
        <f t="shared" si="58"/>
        <v>558.71691511038489</v>
      </c>
      <c r="AM71" s="59">
        <f t="shared" si="59"/>
        <v>856.57967495185426</v>
      </c>
      <c r="AN71" s="59">
        <f ca="1">AVERAGE(OFFSET($AM$3,0,0,'Données projet'!$E$10+1,1))-AVERAGE(OFFSET($H$3,0,0,'Données projet'!$E$10+1,1))</f>
        <v>521.72266623522626</v>
      </c>
      <c r="AO71" s="59">
        <f t="shared" si="90"/>
        <v>298.49205684341825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17.50561907898264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17.50561907898264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>
        <f>VLOOKUP(A71,'Données projet'!$A$87:$I$107,2,0)</f>
        <v>440.55384615384617</v>
      </c>
      <c r="BB71" s="12">
        <f>VLOOKUP(A71,'Données projet'!$A$87:$I$107,9,0)</f>
        <v>10.023076923076928</v>
      </c>
      <c r="BC71" s="12">
        <f t="array" ref="BC71">INDEX(BB:BB,MIN(IF(ISNUMBER(BB71:BB267),ROW(BB71:BB267),"")))</f>
        <v>10.023076923076928</v>
      </c>
      <c r="BD71" s="12">
        <f>IF('Données projet'!$A$88&gt;35,BD70+BC71-BL70,IF(A71&lt;'Données projet'!$A$88,$BA$205^A71,IF(A71='Données projet'!$A$88,'Données projet'!$B$88,BD70+BC71-BL70)))</f>
        <v>440.55384615384617</v>
      </c>
      <c r="BE71" s="13">
        <f>BD71*VLOOKUP('Données projet'!$B$11,Paramètres!$A$1:$I$89,3,0)*VLOOKUP('Données projet'!$B$11,Paramètres!$A$1:$I$89,5,0)</f>
        <v>263.45120000000003</v>
      </c>
      <c r="BF71" s="13">
        <f t="shared" si="91"/>
        <v>63.457468795375583</v>
      </c>
      <c r="BG71" s="20">
        <f t="shared" si="61"/>
        <v>569.36593148527925</v>
      </c>
      <c r="BH71" s="59">
        <f t="shared" si="62"/>
        <v>867.2286913267485</v>
      </c>
      <c r="BI71" s="59">
        <f ca="1">AVERAGE(OFFSET($BH$3,0,0,'Données projet'!$E$11+1,1))-AVERAGE(OFFSET($H$3,0,0,'Données projet'!$E$11+1,1))</f>
        <v>376.5647919688821</v>
      </c>
      <c r="BJ71" s="59">
        <f t="shared" si="92"/>
        <v>340.34037344565581</v>
      </c>
      <c r="BK71" s="15">
        <f>IF(ISNA(VLOOKUP(A71,'Données projet'!$A$87:$I$107,3,0)),0,VLOOKUP(A71,'Données projet'!$A$87:$I$107,3,0))</f>
        <v>12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0.315</v>
      </c>
      <c r="BN71" s="16">
        <f>IF(ISNA(VLOOKUP(A71,'Données projet'!$A$87:$I$107,6,0)),0%,VLOOKUP(A71,'Données projet'!$A$87:$I$107,6,0)*VLOOKUP('Données projet'!$B$11,Paramètres!$A$1:$I$89,7,0))</f>
        <v>0.13500000000000001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34.787120836746062</v>
      </c>
      <c r="BQ71" s="21">
        <f>EXP(-LN(2)/25)*BQ70+(1-EXP(-LN(2)/25))/(LN(2)/25)*Calculateur!BL71*Calculateur!BN71*VLOOKUP('Données projet'!$B$11,Paramètres!$A$1:$I$89,3,0)*0.475*44/12</f>
        <v>27.084844146407168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61.871964983153234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7.6</v>
      </c>
      <c r="BY71" s="12">
        <f>IF('Données projet'!$A$114&gt;35,BY70+BX71-CG70,IF(A71&lt;'Données projet'!$A$114,$BV$205^A71,IF(A71='Données projet'!$A$114,'Données projet'!$B$114,BY70+BX71-CG70)))</f>
        <v>233.79999999999998</v>
      </c>
      <c r="BZ71" s="13">
        <f>BY71*VLOOKUP('Données projet'!$B$12,Paramètres!$A$1:$I$89,3,0)*VLOOKUP('Données projet'!$B$12,Paramètres!$A$1:$I$89,5,0)</f>
        <v>237.07320000000001</v>
      </c>
      <c r="CA71" s="13">
        <f t="shared" si="93"/>
        <v>57.809366223361302</v>
      </c>
      <c r="CB71" s="20">
        <f t="shared" si="64"/>
        <v>513.58713617235423</v>
      </c>
      <c r="CC71" s="59">
        <f t="shared" si="65"/>
        <v>811.44989601382349</v>
      </c>
      <c r="CD71" s="59">
        <f ca="1">AVERAGE(OFFSET($CC$3,0,0,'Données projet'!$E$12+1,1))-AVERAGE(OFFSET($H$3,0,0,'Données projet'!$E$12+1,1))</f>
        <v>473.09076714002885</v>
      </c>
      <c r="CE71" s="59">
        <f t="shared" si="94"/>
        <v>311.6454557566534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18.826013286480308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18.826013286480308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5.0000000000000053</v>
      </c>
      <c r="CT71" s="12">
        <f>IF('Données projet'!$A$140&gt;35,CT70+CS71-DB70,IF(A71&lt;'Données projet'!$A$140,$CQ$205^A71,IF(A71='Données projet'!$A$140,'Données projet'!$B$140,CT70+CS71-DB70)))</f>
        <v>227</v>
      </c>
      <c r="CU71" s="17">
        <f>CT71*VLOOKUP('Données projet'!$B$13,Paramètres!$A$1:$I$89,3,0)*VLOOKUP('Données projet'!$B$13,Paramètres!$A$1:$I$89,5,0)</f>
        <v>198.30720000000002</v>
      </c>
      <c r="CV71" s="13">
        <f t="shared" si="95"/>
        <v>49.371957679623371</v>
      </c>
      <c r="CW71" s="20">
        <f t="shared" si="67"/>
        <v>431.37453295867743</v>
      </c>
      <c r="CX71" s="59">
        <f t="shared" si="68"/>
        <v>729.23729280014675</v>
      </c>
      <c r="CY71" s="59">
        <f ca="1">AVERAGE(OFFSET($CX$3,0,0,'Données projet'!$E$13+1,1))-AVERAGE(OFFSET($H$3,0,0,'Données projet'!$E$13+1,1))</f>
        <v>379.66247682099424</v>
      </c>
      <c r="CZ71" s="59">
        <f t="shared" si="96"/>
        <v>342.92507939604081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29.249587654942253</v>
      </c>
      <c r="DG71" s="21">
        <f>EXP(-LN(2)/25)*DG70+(1-EXP(-LN(2)/25))/(LN(2)/25)*Calculateur!DB71*Calculateur!DD71*VLOOKUP('Données projet'!$B$13,Paramètres!$A$1:$I$89,3,0)*0.475*44/12</f>
        <v>11.797051529786524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41.046639184728775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8.1999999999999993</v>
      </c>
      <c r="DO71" s="12">
        <f>IF('Données projet'!$A$166&gt;35,DO70+DN71-DW70,IF(A71&lt;'Données projet'!$A$166,$DL$205^A71,IF(A71='Données projet'!$A$166,'Données projet'!$B$166,DO70+DN71-DW70)))</f>
        <v>285.59999999999997</v>
      </c>
      <c r="DP71" s="17">
        <f>DO71*VLOOKUP('Données projet'!$B$14,Paramètres!$A$1:$I$89,3,0)*VLOOKUP('Données projet'!$B$14,Paramètres!$A$1:$I$89,5,0)</f>
        <v>271.77695999999997</v>
      </c>
      <c r="DQ71" s="13">
        <f t="shared" si="97"/>
        <v>65.226240951838292</v>
      </c>
      <c r="DR71" s="20">
        <f t="shared" si="70"/>
        <v>586.94724165778496</v>
      </c>
      <c r="DS71" s="59">
        <f t="shared" si="71"/>
        <v>884.81000149925421</v>
      </c>
      <c r="DT71" s="59">
        <f ca="1">AVERAGE(OFFSET($DS$3,0,0,'Données projet'!$E$14+1,1))-AVERAGE(OFFSET($H$3,0,0,'Données projet'!$E$14+1,1))</f>
        <v>544.64394576312384</v>
      </c>
      <c r="DU71" s="59">
        <f t="shared" si="98"/>
        <v>310.67291035925484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18.411082134792085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18.411082134792085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3.6</v>
      </c>
      <c r="EJ71" s="12">
        <f>IF('Données projet'!$A$192&gt;35,EJ70+EI71-ER70,IF(A71&lt;'Données projet'!$A$192,$EG$205^A71,IF(A71='Données projet'!$A$192,'Données projet'!$B$192,EJ70+EI71-ER70)))</f>
        <v>124.79999999999994</v>
      </c>
      <c r="EK71" s="17">
        <f>EJ71*VLOOKUP('Données projet'!$B$15,Paramètres!$A$1:$I$89,3,0)*VLOOKUP('Données projet'!$B$15,Paramètres!$A$1:$I$89,5,0)</f>
        <v>120.70655999999994</v>
      </c>
      <c r="EL71" s="13">
        <f t="shared" si="99"/>
        <v>31.839736462736809</v>
      </c>
      <c r="EM71" s="20">
        <f t="shared" si="73"/>
        <v>265.68479967259981</v>
      </c>
      <c r="EN71" s="59">
        <f t="shared" si="74"/>
        <v>563.54755951406912</v>
      </c>
      <c r="EO71" s="59">
        <f ca="1">AVERAGE(OFFSET($EN$3,0,0,'Données projet'!$E$15+1,1))-AVERAGE(OFFSET($H$3,0,0,'Données projet'!$E$15+1,1))</f>
        <v>276.72865583771579</v>
      </c>
      <c r="EP71" s="59">
        <f t="shared" si="100"/>
        <v>174.3587092851154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6.4991458911345967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6.4991458911345967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71.235298138582536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4.25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15.583333333333334</v>
      </c>
      <c r="H72" s="67">
        <f t="shared" si="56"/>
        <v>222.56666666666669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341.11752883785607</v>
      </c>
      <c r="T72" s="59">
        <f t="shared" si="88"/>
        <v>423.15445896616234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96.853880854745071</v>
      </c>
      <c r="AA72" s="21">
        <f>EXP(-LN(2)/25)*AA71+(1-EXP(-LN(2)/25))/(LN(2)/25)*Calculateur!V72*Calculateur!X72*VLOOKUP('Données projet'!$B$9,Paramètres!$A$1:$I$89,3,0)*0.475*44/12</f>
        <v>56.749077837239312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153.60295869198438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265.83023999999995</v>
      </c>
      <c r="AK72" s="13">
        <f t="shared" si="89"/>
        <v>63.963540982526439</v>
      </c>
      <c r="AL72" s="20">
        <f t="shared" si="58"/>
        <v>574.39083521123348</v>
      </c>
      <c r="AM72" s="59">
        <f t="shared" si="59"/>
        <v>872.66480484212343</v>
      </c>
      <c r="AN72" s="59">
        <f ca="1">AVERAGE(OFFSET($AM$3,0,0,'Données projet'!$E$10+1,1))-AVERAGE(OFFSET($H$3,0,0,'Données projet'!$E$10+1,1))</f>
        <v>521.72266623522626</v>
      </c>
      <c r="AO72" s="59">
        <f t="shared" si="90"/>
        <v>298.49205684341825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17.162344566217126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17.162344566217126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9.9586538461538368</v>
      </c>
      <c r="BD72" s="12">
        <f>IF('Données projet'!$A$88&gt;35,BD71+BC72-BL71,IF(A72&lt;'Données projet'!$A$88,$BA$205^A72,IF(A72='Données projet'!$A$88,'Données projet'!$B$88,BD71+BC72-BL71)))</f>
        <v>450.51249999999999</v>
      </c>
      <c r="BE72" s="13">
        <f>BD72*VLOOKUP('Données projet'!$B$11,Paramètres!$A$1:$I$89,3,0)*VLOOKUP('Données projet'!$B$11,Paramètres!$A$1:$I$89,5,0)</f>
        <v>269.406475</v>
      </c>
      <c r="BF72" s="13">
        <f t="shared" si="91"/>
        <v>64.72329217492728</v>
      </c>
      <c r="BG72" s="20">
        <f t="shared" si="61"/>
        <v>581.94267782966506</v>
      </c>
      <c r="BH72" s="59">
        <f t="shared" si="62"/>
        <v>880.2166474605549</v>
      </c>
      <c r="BI72" s="59">
        <f ca="1">AVERAGE(OFFSET($BH$3,0,0,'Données projet'!$E$11+1,1))-AVERAGE(OFFSET($H$3,0,0,'Données projet'!$E$11+1,1))</f>
        <v>376.5647919688821</v>
      </c>
      <c r="BJ72" s="59">
        <f t="shared" si="92"/>
        <v>340.34037344565581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34.104966615186072</v>
      </c>
      <c r="BQ72" s="21">
        <f>EXP(-LN(2)/25)*BQ71+(1-EXP(-LN(2)/25))/(LN(2)/25)*Calculateur!BL72*Calculateur!BN72*VLOOKUP('Données projet'!$B$11,Paramètres!$A$1:$I$89,3,0)*0.475*44/12</f>
        <v>26.344207658893612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60.449174274079681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7.6</v>
      </c>
      <c r="BY72" s="12">
        <f>IF('Données projet'!$A$114&gt;35,BY71+BX72-CG71,IF(A72&lt;'Données projet'!$A$114,$BV$205^A72,IF(A72='Données projet'!$A$114,'Données projet'!$B$114,BY71+BX72-CG71)))</f>
        <v>241.39999999999998</v>
      </c>
      <c r="BZ72" s="13">
        <f>BY72*VLOOKUP('Données projet'!$B$12,Paramètres!$A$1:$I$89,3,0)*VLOOKUP('Données projet'!$B$12,Paramètres!$A$1:$I$89,5,0)</f>
        <v>244.77960000000002</v>
      </c>
      <c r="CA72" s="13">
        <f t="shared" si="93"/>
        <v>59.466701529874221</v>
      </c>
      <c r="CB72" s="20">
        <f t="shared" si="64"/>
        <v>529.89564183119762</v>
      </c>
      <c r="CC72" s="59">
        <f t="shared" si="65"/>
        <v>828.16961146208746</v>
      </c>
      <c r="CD72" s="59">
        <f ca="1">AVERAGE(OFFSET($CC$3,0,0,'Données projet'!$E$12+1,1))-AVERAGE(OFFSET($H$3,0,0,'Données projet'!$E$12+1,1))</f>
        <v>473.09076714002885</v>
      </c>
      <c r="CE72" s="59">
        <f t="shared" si="94"/>
        <v>311.6454557566534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18.456846648666708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18.456846648666708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5.0000000000000053</v>
      </c>
      <c r="CT72" s="12">
        <f>IF('Données projet'!$A$140&gt;35,CT71+CS72-DB71,IF(A72&lt;'Données projet'!$A$140,$CQ$205^A72,IF(A72='Données projet'!$A$140,'Données projet'!$B$140,CT71+CS72-DB71)))</f>
        <v>232</v>
      </c>
      <c r="CU72" s="17">
        <f>CT72*VLOOKUP('Données projet'!$B$13,Paramètres!$A$1:$I$89,3,0)*VLOOKUP('Données projet'!$B$13,Paramètres!$A$1:$I$89,5,0)</f>
        <v>202.67520000000002</v>
      </c>
      <c r="CV72" s="13">
        <f t="shared" si="95"/>
        <v>50.331640285313689</v>
      </c>
      <c r="CW72" s="20">
        <f t="shared" si="67"/>
        <v>440.653580163588</v>
      </c>
      <c r="CX72" s="59">
        <f t="shared" si="68"/>
        <v>738.92754979447795</v>
      </c>
      <c r="CY72" s="59">
        <f ca="1">AVERAGE(OFFSET($CX$3,0,0,'Données projet'!$E$13+1,1))-AVERAGE(OFFSET($H$3,0,0,'Données projet'!$E$13+1,1))</f>
        <v>379.66247682099424</v>
      </c>
      <c r="CZ72" s="59">
        <f t="shared" si="96"/>
        <v>342.92507939604081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28.676021081515703</v>
      </c>
      <c r="DG72" s="21">
        <f>EXP(-LN(2)/25)*DG71+(1-EXP(-LN(2)/25))/(LN(2)/25)*Calculateur!DB72*Calculateur!DD72*VLOOKUP('Données projet'!$B$13,Paramètres!$A$1:$I$89,3,0)*0.475*44/12</f>
        <v>11.474460535324534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40.150481616840239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8.1999999999999993</v>
      </c>
      <c r="DO72" s="12">
        <f>IF('Données projet'!$A$166&gt;35,DO71+DN72-DW71,IF(A72&lt;'Données projet'!$A$166,$DL$205^A72,IF(A72='Données projet'!$A$166,'Données projet'!$B$166,DO71+DN72-DW71)))</f>
        <v>293.79999999999995</v>
      </c>
      <c r="DP72" s="17">
        <f>DO72*VLOOKUP('Données projet'!$B$14,Paramètres!$A$1:$I$89,3,0)*VLOOKUP('Données projet'!$B$14,Paramètres!$A$1:$I$89,5,0)</f>
        <v>279.58007999999995</v>
      </c>
      <c r="DQ72" s="13">
        <f t="shared" si="97"/>
        <v>66.878259963882243</v>
      </c>
      <c r="DR72" s="20">
        <f t="shared" si="70"/>
        <v>603.41494210376152</v>
      </c>
      <c r="DS72" s="59">
        <f t="shared" si="71"/>
        <v>901.68891173465136</v>
      </c>
      <c r="DT72" s="59">
        <f ca="1">AVERAGE(OFFSET($DS$3,0,0,'Données projet'!$E$14+1,1))-AVERAGE(OFFSET($H$3,0,0,'Données projet'!$E$14+1,1))</f>
        <v>544.64394576312384</v>
      </c>
      <c r="DU72" s="59">
        <f t="shared" si="98"/>
        <v>310.67291035925484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18.050052043780077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18.050052043780077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3.6</v>
      </c>
      <c r="EJ72" s="12">
        <f>IF('Données projet'!$A$192&gt;35,EJ71+EI72-ER71,IF(A72&lt;'Données projet'!$A$192,$EG$205^A72,IF(A72='Données projet'!$A$192,'Données projet'!$B$192,EJ71+EI72-ER71)))</f>
        <v>128.39999999999995</v>
      </c>
      <c r="EK72" s="17">
        <f>EJ72*VLOOKUP('Données projet'!$B$15,Paramètres!$A$1:$I$89,3,0)*VLOOKUP('Données projet'!$B$15,Paramètres!$A$1:$I$89,5,0)</f>
        <v>124.18847999999994</v>
      </c>
      <c r="EL72" s="13">
        <f t="shared" si="99"/>
        <v>32.64993430645783</v>
      </c>
      <c r="EM72" s="20">
        <f t="shared" si="73"/>
        <v>273.16023825041395</v>
      </c>
      <c r="EN72" s="59">
        <f t="shared" si="74"/>
        <v>571.43420788130379</v>
      </c>
      <c r="EO72" s="59">
        <f ca="1">AVERAGE(OFFSET($EN$3,0,0,'Données projet'!$E$15+1,1))-AVERAGE(OFFSET($H$3,0,0,'Données projet'!$E$15+1,1))</f>
        <v>276.72865583771579</v>
      </c>
      <c r="EP72" s="59">
        <f t="shared" si="100"/>
        <v>174.3587092851154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6.3717016042970194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6.3717016042970194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71.347446262969967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4.25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15.583333333333334</v>
      </c>
      <c r="H73" s="67">
        <f t="shared" si="56"/>
        <v>222.56666666666669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341.11752883785607</v>
      </c>
      <c r="T73" s="59">
        <f t="shared" si="88"/>
        <v>423.15445896616234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94.954635326217669</v>
      </c>
      <c r="AA73" s="21">
        <f>EXP(-LN(2)/25)*AA72+(1-EXP(-LN(2)/25))/(LN(2)/25)*Calculateur!V73*Calculateur!X73*VLOOKUP('Données projet'!$B$9,Paramètres!$A$1:$I$89,3,0)*0.475*44/12</f>
        <v>55.197271319475703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150.15190664569337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273.24959999999999</v>
      </c>
      <c r="AK73" s="13">
        <f t="shared" si="89"/>
        <v>65.538435495514321</v>
      </c>
      <c r="AL73" s="20">
        <f t="shared" si="58"/>
        <v>590.05582848802067</v>
      </c>
      <c r="AM73" s="59">
        <f t="shared" si="59"/>
        <v>888.73387433781204</v>
      </c>
      <c r="AN73" s="59">
        <f ca="1">AVERAGE(OFFSET($AM$3,0,0,'Données projet'!$E$10+1,1))-AVERAGE(OFFSET($H$3,0,0,'Données projet'!$E$10+1,1))</f>
        <v>521.72266623522626</v>
      </c>
      <c r="AO73" s="59">
        <f t="shared" si="90"/>
        <v>298.49205684341825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0.25800000000000001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24.051460083345972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24.051460083345972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9.9586538461538368</v>
      </c>
      <c r="BD73" s="12">
        <f>IF('Données projet'!$A$88&gt;35,BD72+BC73-BL72,IF(A73&lt;'Données projet'!$A$88,$BA$205^A73,IF(A73='Données projet'!$A$88,'Données projet'!$B$88,BD72+BC73-BL72)))</f>
        <v>460.47115384615381</v>
      </c>
      <c r="BE73" s="13">
        <f>BD73*VLOOKUP('Données projet'!$B$11,Paramètres!$A$1:$I$89,3,0)*VLOOKUP('Données projet'!$B$11,Paramètres!$A$1:$I$89,5,0)</f>
        <v>275.36174999999997</v>
      </c>
      <c r="BF73" s="13">
        <f t="shared" si="91"/>
        <v>65.985862445137997</v>
      </c>
      <c r="BG73" s="20">
        <f t="shared" si="61"/>
        <v>594.51375834194869</v>
      </c>
      <c r="BH73" s="59">
        <f t="shared" si="62"/>
        <v>893.19180419174018</v>
      </c>
      <c r="BI73" s="59">
        <f ca="1">AVERAGE(OFFSET($BH$3,0,0,'Données projet'!$E$11+1,1))-AVERAGE(OFFSET($H$3,0,0,'Données projet'!$E$11+1,1))</f>
        <v>376.5647919688821</v>
      </c>
      <c r="BJ73" s="59">
        <f t="shared" si="92"/>
        <v>340.34037344565581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33.436189021837883</v>
      </c>
      <c r="BQ73" s="21">
        <f>EXP(-LN(2)/25)*BQ72+(1-EXP(-LN(2)/25))/(LN(2)/25)*Calculateur!BL73*Calculateur!BN73*VLOOKUP('Données projet'!$B$11,Paramètres!$A$1:$I$89,3,0)*0.475*44/12</f>
        <v>25.623823915079495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59.060012936917374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249</v>
      </c>
      <c r="BW73" s="12">
        <f>VLOOKUP(A73,'Données projet'!$A$113:$I$133,9,0)</f>
        <v>7.6</v>
      </c>
      <c r="BX73" s="12">
        <f t="array" ref="BX73">INDEX(BW:BW,MIN(IF(ISNUMBER(BW73:BW269),ROW(BW73:BW269),"")))</f>
        <v>7.6</v>
      </c>
      <c r="BY73" s="12">
        <f>IF('Données projet'!$A$114&gt;35,BY72+BX73-CG72,IF(A73&lt;'Données projet'!$A$114,$BV$205^A73,IF(A73='Données projet'!$A$114,'Données projet'!$B$114,BY72+BX73-CG72)))</f>
        <v>248.99999999999997</v>
      </c>
      <c r="BZ73" s="13">
        <f>BY73*VLOOKUP('Données projet'!$B$12,Paramètres!$A$1:$I$89,3,0)*VLOOKUP('Données projet'!$B$12,Paramètres!$A$1:$I$89,5,0)</f>
        <v>252.48599999999999</v>
      </c>
      <c r="CA73" s="13">
        <f t="shared" si="93"/>
        <v>61.117973383957384</v>
      </c>
      <c r="CB73" s="20">
        <f t="shared" si="64"/>
        <v>546.19358697705911</v>
      </c>
      <c r="CC73" s="59">
        <f t="shared" si="65"/>
        <v>844.8716328268506</v>
      </c>
      <c r="CD73" s="59">
        <f ca="1">AVERAGE(OFFSET($CC$3,0,0,'Données projet'!$E$12+1,1))-AVERAGE(OFFSET($H$3,0,0,'Données projet'!$E$12+1,1))</f>
        <v>473.09076714002885</v>
      </c>
      <c r="CE73" s="59">
        <f t="shared" si="94"/>
        <v>311.6454557566534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26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25.614231383640945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25.614231383640945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237</v>
      </c>
      <c r="CR73" s="12">
        <f>VLOOKUP(A73,'Données projet'!$A$139:$I$159,9,0)</f>
        <v>5.0000000000000053</v>
      </c>
      <c r="CS73" s="12">
        <f t="array" ref="CS73">INDEX(CR:CR,MIN(IF(ISNUMBER(CR73:CR269),ROW(CR73:CR269),"")))</f>
        <v>5.0000000000000053</v>
      </c>
      <c r="CT73" s="12">
        <f>IF('Données projet'!$A$140&gt;35,CT72+CS73-DB72,IF(A73&lt;'Données projet'!$A$140,$CQ$205^A73,IF(A73='Données projet'!$A$140,'Données projet'!$B$140,CT72+CS73-DB72)))</f>
        <v>237</v>
      </c>
      <c r="CU73" s="17">
        <f>CT73*VLOOKUP('Données projet'!$B$13,Paramètres!$A$1:$I$89,3,0)*VLOOKUP('Données projet'!$B$13,Paramètres!$A$1:$I$89,5,0)</f>
        <v>207.04320000000001</v>
      </c>
      <c r="CV73" s="13">
        <f t="shared" si="95"/>
        <v>51.288918231806321</v>
      </c>
      <c r="CW73" s="20">
        <f t="shared" si="67"/>
        <v>449.92843925372944</v>
      </c>
      <c r="CX73" s="59">
        <f t="shared" si="68"/>
        <v>748.60648510352087</v>
      </c>
      <c r="CY73" s="59">
        <f ca="1">AVERAGE(OFFSET($CX$3,0,0,'Données projet'!$E$13+1,1))-AVERAGE(OFFSET($H$3,0,0,'Données projet'!$E$13+1,1))</f>
        <v>379.66247682099424</v>
      </c>
      <c r="CZ73" s="59">
        <f t="shared" si="96"/>
        <v>342.92507939604081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18</v>
      </c>
      <c r="DC73" s="16">
        <f>IF(ISNA(VLOOKUP(A73,'Données projet'!$A$139:$I$159,5,0)),0%,VLOOKUP(A73,'Données projet'!$A$139:$I$159,5,0)*VLOOKUP('Données projet'!$B$13,Paramètres!$A$1:$I$89,7,0))</f>
        <v>0.25800000000000001</v>
      </c>
      <c r="DD73" s="16">
        <f>IF(ISNA(VLOOKUP(A73,'Données projet'!$A$139:$I$159,6,0)),0%,VLOOKUP(A73,'Données projet'!$A$139:$I$159,6,0)*VLOOKUP('Données projet'!$B$13,Paramètres!$A$1:$I$89,7,0))</f>
        <v>0.129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32.598593359765552</v>
      </c>
      <c r="DG73" s="21">
        <f>EXP(-LN(2)/25)*DG72+(1-EXP(-LN(2)/25))/(LN(2)/25)*Calculateur!DB73*Calculateur!DD73*VLOOKUP('Données projet'!$B$13,Paramètres!$A$1:$I$89,3,0)*0.475*44/12</f>
        <v>13.394307225600034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45.992900585365589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302</v>
      </c>
      <c r="DM73" s="12">
        <f>VLOOKUP(A73,'Données projet'!$A$165:$I$185,9,0)</f>
        <v>8.1999999999999993</v>
      </c>
      <c r="DN73" s="12">
        <f t="array" ref="DN73">INDEX(DM:DM,MIN(IF(ISNUMBER(DM73:DM269),ROW(DM73:DM269),"")))</f>
        <v>8.1999999999999993</v>
      </c>
      <c r="DO73" s="12">
        <f>IF('Données projet'!$A$166&gt;35,DO72+DN73-DW72,IF(A73&lt;'Données projet'!$A$166,$DL$205^A73,IF(A73='Données projet'!$A$166,'Données projet'!$B$166,DO72+DN73-DW72)))</f>
        <v>301.99999999999994</v>
      </c>
      <c r="DP73" s="17">
        <f>DO73*VLOOKUP('Données projet'!$B$14,Paramètres!$A$1:$I$89,3,0)*VLOOKUP('Données projet'!$B$14,Paramètres!$A$1:$I$89,5,0)</f>
        <v>287.38319999999999</v>
      </c>
      <c r="DQ73" s="13">
        <f t="shared" si="97"/>
        <v>68.524919967962759</v>
      </c>
      <c r="DR73" s="20">
        <f t="shared" si="70"/>
        <v>619.87330894420177</v>
      </c>
      <c r="DS73" s="59">
        <f t="shared" si="71"/>
        <v>918.55135479399314</v>
      </c>
      <c r="DT73" s="59">
        <f ca="1">AVERAGE(OFFSET($DS$3,0,0,'Données projet'!$E$14+1,1))-AVERAGE(OFFSET($H$3,0,0,'Données projet'!$E$14+1,1))</f>
        <v>544.64394576312384</v>
      </c>
      <c r="DU73" s="59">
        <f t="shared" si="98"/>
        <v>310.67291035925484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28</v>
      </c>
      <c r="DX73" s="16">
        <f>IF(ISNA(VLOOKUP(A73,'Données projet'!$A$165:$I$185,5,0)),0%,VLOOKUP(A73,'Données projet'!$A$165:$I$185,5,0)*VLOOKUP('Données projet'!$B$14,Paramètres!$A$1:$I$89,7,0))</f>
        <v>0.25800000000000001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25.295501122139726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25.295501122139726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132</v>
      </c>
      <c r="EH73" s="12">
        <f>VLOOKUP(A73,'Données projet'!$A$191:$I$211,9,0)</f>
        <v>3.6</v>
      </c>
      <c r="EI73" s="12">
        <f t="array" ref="EI73">INDEX(EH:EH,MIN(IF(ISNUMBER(EH73:EH269),ROW(EH73:EH269),"")))</f>
        <v>3.6</v>
      </c>
      <c r="EJ73" s="12">
        <f>IF('Données projet'!$A$192&gt;35,EJ72+EI73-ER72,IF(A73&lt;'Données projet'!$A$192,$EG$205^A73,IF(A73='Données projet'!$A$192,'Données projet'!$B$192,EJ72+EI73-ER72)))</f>
        <v>131.99999999999994</v>
      </c>
      <c r="EK73" s="17">
        <f>EJ73*VLOOKUP('Données projet'!$B$15,Paramètres!$A$1:$I$89,3,0)*VLOOKUP('Données projet'!$B$15,Paramètres!$A$1:$I$89,5,0)</f>
        <v>127.67039999999994</v>
      </c>
      <c r="EL73" s="13">
        <f t="shared" si="99"/>
        <v>33.457491972285482</v>
      </c>
      <c r="EM73" s="20">
        <f t="shared" si="73"/>
        <v>280.63107851839709</v>
      </c>
      <c r="EN73" s="59">
        <f t="shared" si="74"/>
        <v>579.30912436818858</v>
      </c>
      <c r="EO73" s="59">
        <f ca="1">AVERAGE(OFFSET($EN$3,0,0,'Données projet'!$E$15+1,1))-AVERAGE(OFFSET($H$3,0,0,'Données projet'!$E$15+1,1))</f>
        <v>276.72865583771579</v>
      </c>
      <c r="EP73" s="59">
        <f t="shared" si="100"/>
        <v>174.3587092851154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10</v>
      </c>
      <c r="ES73" s="16">
        <f>IF(ISNA(VLOOKUP(A73,'Données projet'!$A$191:$I$211,5,0)),0%,VLOOKUP(A73,'Données projet'!$A$191:$I$211,5,0)*VLOOKUP('Données projet'!$B$15,Paramètres!$A$1:$I$89,7,0))</f>
        <v>0.25800000000000001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9.0053206759884024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9.0053206759884024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71.457648868124934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4.25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15.583333333333334</v>
      </c>
      <c r="H74" s="67">
        <f t="shared" si="56"/>
        <v>222.56666666666669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341.11752883785607</v>
      </c>
      <c r="T74" s="59">
        <f t="shared" si="88"/>
        <v>423.15445896616234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93.092632844079304</v>
      </c>
      <c r="AA74" s="21">
        <f>EXP(-LN(2)/25)*AA73+(1-EXP(-LN(2)/25))/(LN(2)/25)*Calculateur!V74*Calculateur!X74*VLOOKUP('Données projet'!$B$9,Paramètres!$A$1:$I$89,3,0)*0.475*44/12</f>
        <v>53.687899032546298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146.78053187662562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254.79167999999996</v>
      </c>
      <c r="AK74" s="13">
        <f t="shared" si="89"/>
        <v>61.610870508448471</v>
      </c>
      <c r="AL74" s="20">
        <f t="shared" si="58"/>
        <v>551.067775468881</v>
      </c>
      <c r="AM74" s="59">
        <f t="shared" si="59"/>
        <v>850.14288771855513</v>
      </c>
      <c r="AN74" s="59">
        <f ca="1">AVERAGE(OFFSET($AM$3,0,0,'Données projet'!$E$10+1,1))-AVERAGE(OFFSET($H$3,0,0,'Données projet'!$E$10+1,1))</f>
        <v>521.72266623522626</v>
      </c>
      <c r="AO74" s="59">
        <f t="shared" si="90"/>
        <v>298.49205684341825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23.579825621053672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23.579825621053672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9.9586538461538368</v>
      </c>
      <c r="BD74" s="12">
        <f>IF('Données projet'!$A$88&gt;35,BD73+BC74-BL73,IF(A74&lt;'Données projet'!$A$88,$BA$205^A74,IF(A74='Données projet'!$A$88,'Données projet'!$B$88,BD73+BC74-BL73)))</f>
        <v>470.42980769230763</v>
      </c>
      <c r="BE74" s="13">
        <f>BD74*VLOOKUP('Données projet'!$B$11,Paramètres!$A$1:$I$89,3,0)*VLOOKUP('Données projet'!$B$11,Paramètres!$A$1:$I$89,5,0)</f>
        <v>281.317025</v>
      </c>
      <c r="BF74" s="13">
        <f t="shared" si="91"/>
        <v>67.24525806424613</v>
      </c>
      <c r="BG74" s="20">
        <f t="shared" si="61"/>
        <v>607.07930967022855</v>
      </c>
      <c r="BH74" s="59">
        <f t="shared" si="62"/>
        <v>906.15442191990269</v>
      </c>
      <c r="BI74" s="59">
        <f ca="1">AVERAGE(OFFSET($BH$3,0,0,'Données projet'!$E$11+1,1))-AVERAGE(OFFSET($H$3,0,0,'Données projet'!$E$11+1,1))</f>
        <v>376.5647919688821</v>
      </c>
      <c r="BJ74" s="59">
        <f t="shared" si="92"/>
        <v>340.34037344565581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32.780525749181201</v>
      </c>
      <c r="BQ74" s="21">
        <f>EXP(-LN(2)/25)*BQ73+(1-EXP(-LN(2)/25))/(LN(2)/25)*Calculateur!BL74*Calculateur!BN74*VLOOKUP('Données projet'!$B$11,Paramètres!$A$1:$I$89,3,0)*0.475*44/12</f>
        <v>24.92313910262331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57.703664851804511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230.59999999999997</v>
      </c>
      <c r="BZ74" s="13">
        <f>BY74*VLOOKUP('Données projet'!$B$12,Paramètres!$A$1:$I$89,3,0)*VLOOKUP('Données projet'!$B$12,Paramètres!$A$1:$I$89,5,0)</f>
        <v>233.82839999999999</v>
      </c>
      <c r="CA74" s="13">
        <f t="shared" si="93"/>
        <v>57.109674120619815</v>
      </c>
      <c r="CB74" s="20">
        <f t="shared" si="64"/>
        <v>506.71714576007952</v>
      </c>
      <c r="CC74" s="59">
        <f t="shared" si="65"/>
        <v>805.7922580097536</v>
      </c>
      <c r="CD74" s="59">
        <f ca="1">AVERAGE(OFFSET($CC$3,0,0,'Données projet'!$E$12+1,1))-AVERAGE(OFFSET($H$3,0,0,'Données projet'!$E$12+1,1))</f>
        <v>473.09076714002885</v>
      </c>
      <c r="CE74" s="59">
        <f t="shared" si="94"/>
        <v>311.6454557566534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25.111951929346233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25.111951929346233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4.4000000000000004</v>
      </c>
      <c r="CT74" s="12">
        <f>IF('Données projet'!$A$140&gt;35,CT73+CS74-DB73,IF(A74&lt;'Données projet'!$A$140,$CQ$205^A74,IF(A74='Données projet'!$A$140,'Données projet'!$B$140,CT73+CS74-DB73)))</f>
        <v>223.4</v>
      </c>
      <c r="CU74" s="17">
        <f>CT74*VLOOKUP('Données projet'!$B$13,Paramètres!$A$1:$I$89,3,0)*VLOOKUP('Données projet'!$B$13,Paramètres!$A$1:$I$89,5,0)</f>
        <v>195.16224000000003</v>
      </c>
      <c r="CV74" s="13">
        <f t="shared" si="95"/>
        <v>48.67946410296608</v>
      </c>
      <c r="CW74" s="20">
        <f t="shared" si="67"/>
        <v>424.69096797933258</v>
      </c>
      <c r="CX74" s="59">
        <f t="shared" si="68"/>
        <v>723.76608022900666</v>
      </c>
      <c r="CY74" s="59">
        <f ca="1">AVERAGE(OFFSET($CX$3,0,0,'Données projet'!$E$13+1,1))-AVERAGE(OFFSET($H$3,0,0,'Données projet'!$E$13+1,1))</f>
        <v>379.66247682099424</v>
      </c>
      <c r="CZ74" s="59">
        <f t="shared" si="96"/>
        <v>342.92507939604081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31.959354827159199</v>
      </c>
      <c r="DG74" s="21">
        <f>EXP(-LN(2)/25)*DG73+(1-EXP(-LN(2)/25))/(LN(2)/25)*Calculateur!DB74*Calculateur!DD74*VLOOKUP('Données projet'!$B$13,Paramètres!$A$1:$I$89,3,0)*0.475*44/12</f>
        <v>13.028039190139998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44.987394017299195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7.6</v>
      </c>
      <c r="DO74" s="12">
        <f>IF('Données projet'!$A$166&gt;35,DO73+DN74-DW73,IF(A74&lt;'Données projet'!$A$166,$DL$205^A74,IF(A74='Données projet'!$A$166,'Données projet'!$B$166,DO73+DN74-DW73)))</f>
        <v>281.59999999999997</v>
      </c>
      <c r="DP74" s="17">
        <f>DO74*VLOOKUP('Données projet'!$B$14,Paramètres!$A$1:$I$89,3,0)*VLOOKUP('Données projet'!$B$14,Paramètres!$A$1:$I$89,5,0)</f>
        <v>267.97055999999998</v>
      </c>
      <c r="DQ74" s="13">
        <f t="shared" si="97"/>
        <v>64.418381959040033</v>
      </c>
      <c r="DR74" s="20">
        <f t="shared" si="70"/>
        <v>578.91074057866138</v>
      </c>
      <c r="DS74" s="59">
        <f t="shared" si="71"/>
        <v>877.98585282833551</v>
      </c>
      <c r="DT74" s="59">
        <f ca="1">AVERAGE(OFFSET($DS$3,0,0,'Données projet'!$E$14+1,1))-AVERAGE(OFFSET($H$3,0,0,'Données projet'!$E$14+1,1))</f>
        <v>544.64394576312384</v>
      </c>
      <c r="DU74" s="59">
        <f t="shared" si="98"/>
        <v>310.67291035925484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24.799471773866788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24.799471773866788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3.4</v>
      </c>
      <c r="EJ74" s="12">
        <f>IF('Données projet'!$A$192&gt;35,EJ73+EI74-ER73,IF(A74&lt;'Données projet'!$A$192,$EG$205^A74,IF(A74='Données projet'!$A$192,'Données projet'!$B$192,EJ73+EI74-ER73)))</f>
        <v>125.39999999999995</v>
      </c>
      <c r="EK74" s="17">
        <f>EJ74*VLOOKUP('Données projet'!$B$15,Paramètres!$A$1:$I$89,3,0)*VLOOKUP('Données projet'!$B$15,Paramètres!$A$1:$I$89,5,0)</f>
        <v>121.28687999999994</v>
      </c>
      <c r="EL74" s="13">
        <f t="shared" si="99"/>
        <v>31.974956333849075</v>
      </c>
      <c r="EM74" s="20">
        <f t="shared" si="73"/>
        <v>266.931031614787</v>
      </c>
      <c r="EN74" s="59">
        <f t="shared" si="74"/>
        <v>566.00614386446114</v>
      </c>
      <c r="EO74" s="59">
        <f ca="1">AVERAGE(OFFSET($EN$3,0,0,'Données projet'!$E$15+1,1))-AVERAGE(OFFSET($H$3,0,0,'Données projet'!$E$15+1,1))</f>
        <v>276.72865583771579</v>
      </c>
      <c r="EP74" s="59">
        <f t="shared" si="100"/>
        <v>174.3587092851154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8.8287318302355224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8.8287318302355224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71.565939704456568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4.25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15.583333333333334</v>
      </c>
      <c r="H75" s="67">
        <f t="shared" si="56"/>
        <v>222.56666666666669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341.11752883785607</v>
      </c>
      <c r="T75" s="59">
        <f t="shared" si="88"/>
        <v>423.15445896616234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91.267143094906302</v>
      </c>
      <c r="AA75" s="21">
        <f>EXP(-LN(2)/25)*AA74+(1-EXP(-LN(2)/25))/(LN(2)/25)*Calculateur!V75*Calculateur!X75*VLOOKUP('Données projet'!$B$9,Paramètres!$A$1:$I$89,3,0)*0.475*44/12</f>
        <v>52.219800610177415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143.48694370508372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261.66816</v>
      </c>
      <c r="AK75" s="13">
        <f t="shared" si="89"/>
        <v>63.077829793082856</v>
      </c>
      <c r="AL75" s="20">
        <f t="shared" si="58"/>
        <v>565.5992655562859</v>
      </c>
      <c r="AM75" s="59">
        <f t="shared" si="59"/>
        <v>865.06455599151218</v>
      </c>
      <c r="AN75" s="59">
        <f ca="1">AVERAGE(OFFSET($AM$3,0,0,'Données projet'!$E$10+1,1))-AVERAGE(OFFSET($H$3,0,0,'Données projet'!$E$10+1,1))</f>
        <v>521.72266623522626</v>
      </c>
      <c r="AO75" s="59">
        <f t="shared" si="90"/>
        <v>298.49205684341825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23.117439622898306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23.117439622898306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9.9586538461538368</v>
      </c>
      <c r="BD75" s="12">
        <f>IF('Données projet'!$A$88&gt;35,BD74+BC75-BL74,IF(A75&lt;'Données projet'!$A$88,$BA$205^A75,IF(A75='Données projet'!$A$88,'Données projet'!$B$88,BD74+BC75-BL74)))</f>
        <v>480.38846153846146</v>
      </c>
      <c r="BE75" s="13">
        <f>BD75*VLOOKUP('Données projet'!$B$11,Paramètres!$A$1:$I$89,3,0)*VLOOKUP('Données projet'!$B$11,Paramètres!$A$1:$I$89,5,0)</f>
        <v>287.27229999999997</v>
      </c>
      <c r="BF75" s="13">
        <f t="shared" si="91"/>
        <v>68.501553978893796</v>
      </c>
      <c r="BG75" s="20">
        <f t="shared" si="61"/>
        <v>619.63946234657328</v>
      </c>
      <c r="BH75" s="59">
        <f t="shared" si="62"/>
        <v>919.10475278179956</v>
      </c>
      <c r="BI75" s="59">
        <f ca="1">AVERAGE(OFFSET($BH$3,0,0,'Données projet'!$E$11+1,1))-AVERAGE(OFFSET($H$3,0,0,'Données projet'!$E$11+1,1))</f>
        <v>376.5647919688821</v>
      </c>
      <c r="BJ75" s="59">
        <f t="shared" si="92"/>
        <v>340.34037344565581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32.137719633386205</v>
      </c>
      <c r="BQ75" s="21">
        <f>EXP(-LN(2)/25)*BQ74+(1-EXP(-LN(2)/25))/(LN(2)/25)*Calculateur!BL75*Calculateur!BN75*VLOOKUP('Données projet'!$B$11,Paramètres!$A$1:$I$89,3,0)*0.475*44/12</f>
        <v>24.241614553211154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56.379334186597362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238.19999999999996</v>
      </c>
      <c r="BZ75" s="13">
        <f>BY75*VLOOKUP('Données projet'!$B$12,Paramètres!$A$1:$I$89,3,0)*VLOOKUP('Données projet'!$B$12,Paramètres!$A$1:$I$89,5,0)</f>
        <v>241.53479999999999</v>
      </c>
      <c r="CA75" s="13">
        <f t="shared" si="93"/>
        <v>58.769627566189008</v>
      </c>
      <c r="CB75" s="20">
        <f t="shared" si="64"/>
        <v>523.03021134444577</v>
      </c>
      <c r="CC75" s="59">
        <f t="shared" si="65"/>
        <v>822.49550177967194</v>
      </c>
      <c r="CD75" s="59">
        <f ca="1">AVERAGE(OFFSET($CC$3,0,0,'Données projet'!$E$12+1,1))-AVERAGE(OFFSET($H$3,0,0,'Données projet'!$E$12+1,1))</f>
        <v>473.09076714002885</v>
      </c>
      <c r="CE75" s="59">
        <f t="shared" si="94"/>
        <v>311.6454557566534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24.619521868790024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24.619521868790024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4.4000000000000004</v>
      </c>
      <c r="CT75" s="12">
        <f>IF('Données projet'!$A$140&gt;35,CT74+CS75-DB74,IF(A75&lt;'Données projet'!$A$140,$CQ$205^A75,IF(A75='Données projet'!$A$140,'Données projet'!$B$140,CT74+CS75-DB74)))</f>
        <v>227.8</v>
      </c>
      <c r="CU75" s="17">
        <f>CT75*VLOOKUP('Données projet'!$B$13,Paramètres!$A$1:$I$89,3,0)*VLOOKUP('Données projet'!$B$13,Paramètres!$A$1:$I$89,5,0)</f>
        <v>199.00608000000003</v>
      </c>
      <c r="CV75" s="13">
        <f t="shared" si="95"/>
        <v>49.525670897515027</v>
      </c>
      <c r="CW75" s="20">
        <f t="shared" si="67"/>
        <v>432.85946614650538</v>
      </c>
      <c r="CX75" s="59">
        <f t="shared" si="68"/>
        <v>732.32475658173166</v>
      </c>
      <c r="CY75" s="59">
        <f ca="1">AVERAGE(OFFSET($CX$3,0,0,'Données projet'!$E$13+1,1))-AVERAGE(OFFSET($H$3,0,0,'Données projet'!$E$13+1,1))</f>
        <v>379.66247682099424</v>
      </c>
      <c r="CZ75" s="59">
        <f t="shared" si="96"/>
        <v>342.92507939604081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31.33265137228025</v>
      </c>
      <c r="DG75" s="21">
        <f>EXP(-LN(2)/25)*DG74+(1-EXP(-LN(2)/25))/(LN(2)/25)*Calculateur!DB75*Calculateur!DD75*VLOOKUP('Données projet'!$B$13,Paramètres!$A$1:$I$89,3,0)*0.475*44/12</f>
        <v>12.671786773370814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44.004438145651065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7.6</v>
      </c>
      <c r="DO75" s="12">
        <f>IF('Données projet'!$A$166&gt;35,DO74+DN75-DW74,IF(A75&lt;'Données projet'!$A$166,$DL$205^A75,IF(A75='Données projet'!$A$166,'Données projet'!$B$166,DO74+DN75-DW74)))</f>
        <v>289.2</v>
      </c>
      <c r="DP75" s="17">
        <f>DO75*VLOOKUP('Données projet'!$B$14,Paramètres!$A$1:$I$89,3,0)*VLOOKUP('Données projet'!$B$14,Paramètres!$A$1:$I$89,5,0)</f>
        <v>275.20272</v>
      </c>
      <c r="DQ75" s="13">
        <f t="shared" si="97"/>
        <v>65.952188294449357</v>
      </c>
      <c r="DR75" s="20">
        <f t="shared" si="70"/>
        <v>594.17813194616588</v>
      </c>
      <c r="DS75" s="59">
        <f t="shared" si="71"/>
        <v>893.64342238139216</v>
      </c>
      <c r="DT75" s="59">
        <f ca="1">AVERAGE(OFFSET($DS$3,0,0,'Données projet'!$E$14+1,1))-AVERAGE(OFFSET($H$3,0,0,'Données projet'!$E$14+1,1))</f>
        <v>544.64394576312384</v>
      </c>
      <c r="DU75" s="59">
        <f t="shared" si="98"/>
        <v>310.67291035925484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24.313169258565456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24.313169258565456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3.4</v>
      </c>
      <c r="EJ75" s="12">
        <f>IF('Données projet'!$A$192&gt;35,EJ74+EI75-ER74,IF(A75&lt;'Données projet'!$A$192,$EG$205^A75,IF(A75='Données projet'!$A$192,'Données projet'!$B$192,EJ74+EI75-ER74)))</f>
        <v>128.79999999999995</v>
      </c>
      <c r="EK75" s="17">
        <f>EJ75*VLOOKUP('Données projet'!$B$15,Paramètres!$A$1:$I$89,3,0)*VLOOKUP('Données projet'!$B$15,Paramètres!$A$1:$I$89,5,0)</f>
        <v>124.57535999999995</v>
      </c>
      <c r="EL75" s="13">
        <f t="shared" si="99"/>
        <v>32.739791806000952</v>
      </c>
      <c r="EM75" s="20">
        <f t="shared" si="73"/>
        <v>273.99055606211817</v>
      </c>
      <c r="EN75" s="59">
        <f t="shared" si="74"/>
        <v>573.4558464973444</v>
      </c>
      <c r="EO75" s="59">
        <f ca="1">AVERAGE(OFFSET($EN$3,0,0,'Données projet'!$E$15+1,1))-AVERAGE(OFFSET($H$3,0,0,'Données projet'!$E$15+1,1))</f>
        <v>276.72865583771579</v>
      </c>
      <c r="EP75" s="59">
        <f t="shared" si="100"/>
        <v>174.3587092851154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8.655605784039297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8.655605784039297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71.672351936879878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4.25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15.583333333333334</v>
      </c>
      <c r="H76" s="67">
        <f t="shared" si="56"/>
        <v>222.56666666666669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341.11752883785607</v>
      </c>
      <c r="T76" s="59">
        <f t="shared" si="88"/>
        <v>423.15445896616234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89.477450086275766</v>
      </c>
      <c r="AA76" s="21">
        <f>EXP(-LN(2)/25)*AA75+(1-EXP(-LN(2)/25))/(LN(2)/25)*Calculateur!V76*Calculateur!X76*VLOOKUP('Données projet'!$B$9,Paramètres!$A$1:$I$89,3,0)*0.475*44/12</f>
        <v>50.79184741637215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140.26929750264793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268.54464000000002</v>
      </c>
      <c r="AK76" s="13">
        <f t="shared" si="89"/>
        <v>64.54030807605065</v>
      </c>
      <c r="AL76" s="20">
        <f t="shared" si="58"/>
        <v>580.12295123245474</v>
      </c>
      <c r="AM76" s="59">
        <f t="shared" si="59"/>
        <v>879.97165113402161</v>
      </c>
      <c r="AN76" s="59">
        <f ca="1">AVERAGE(OFFSET($AM$3,0,0,'Données projet'!$E$10+1,1))-AVERAGE(OFFSET($H$3,0,0,'Données projet'!$E$10+1,1))</f>
        <v>521.72266623522626</v>
      </c>
      <c r="AO76" s="59">
        <f t="shared" si="90"/>
        <v>298.49205684341825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22.664120732139157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22.664120732139157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9.9586538461538368</v>
      </c>
      <c r="BD76" s="12">
        <f>IF('Données projet'!$A$88&gt;35,BD75+BC76-BL75,IF(A76&lt;'Données projet'!$A$88,$BA$205^A76,IF(A76='Données projet'!$A$88,'Données projet'!$B$88,BD75+BC76-BL75)))</f>
        <v>490.34711538461528</v>
      </c>
      <c r="BE76" s="13">
        <f>BD76*VLOOKUP('Données projet'!$B$11,Paramètres!$A$1:$I$89,3,0)*VLOOKUP('Données projet'!$B$11,Paramètres!$A$1:$I$89,5,0)</f>
        <v>293.22757499999994</v>
      </c>
      <c r="BF76" s="13">
        <f t="shared" si="91"/>
        <v>69.75482185078252</v>
      </c>
      <c r="BG76" s="20">
        <f t="shared" si="61"/>
        <v>632.19434118177946</v>
      </c>
      <c r="BH76" s="59">
        <f t="shared" si="62"/>
        <v>932.04304108334622</v>
      </c>
      <c r="BI76" s="59">
        <f ca="1">AVERAGE(OFFSET($BH$3,0,0,'Données projet'!$E$11+1,1))-AVERAGE(OFFSET($H$3,0,0,'Données projet'!$E$11+1,1))</f>
        <v>376.5647919688821</v>
      </c>
      <c r="BJ76" s="59">
        <f t="shared" si="92"/>
        <v>340.34037344565581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31.507518553448932</v>
      </c>
      <c r="BQ76" s="21">
        <f>EXP(-LN(2)/25)*BQ75+(1-EXP(-LN(2)/25))/(LN(2)/25)*Calculateur!BL76*Calculateur!BN76*VLOOKUP('Données projet'!$B$11,Paramètres!$A$1:$I$89,3,0)*0.475*44/12</f>
        <v>23.578726328442489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55.086244881891417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245.79999999999995</v>
      </c>
      <c r="BZ76" s="13">
        <f>BY76*VLOOKUP('Données projet'!$B$12,Paramètres!$A$1:$I$89,3,0)*VLOOKUP('Données projet'!$B$12,Paramètres!$A$1:$I$89,5,0)</f>
        <v>249.24119999999999</v>
      </c>
      <c r="CA76" s="13">
        <f t="shared" si="93"/>
        <v>60.42342651744692</v>
      </c>
      <c r="CB76" s="20">
        <f t="shared" si="64"/>
        <v>539.33255785122003</v>
      </c>
      <c r="CC76" s="59">
        <f t="shared" si="65"/>
        <v>839.18125775278691</v>
      </c>
      <c r="CD76" s="59">
        <f ca="1">AVERAGE(OFFSET($CC$3,0,0,'Données projet'!$E$12+1,1))-AVERAGE(OFFSET($H$3,0,0,'Données projet'!$E$12+1,1))</f>
        <v>473.09076714002885</v>
      </c>
      <c r="CE76" s="59">
        <f t="shared" si="94"/>
        <v>311.6454557566534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24.136748061368642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24.136748061368642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4.4000000000000004</v>
      </c>
      <c r="CT76" s="12">
        <f>IF('Données projet'!$A$140&gt;35,CT75+CS76-DB75,IF(A76&lt;'Données projet'!$A$140,$CQ$205^A76,IF(A76='Données projet'!$A$140,'Données projet'!$B$140,CT75+CS76-DB75)))</f>
        <v>232.20000000000002</v>
      </c>
      <c r="CU76" s="17">
        <f>CT76*VLOOKUP('Données projet'!$B$13,Paramètres!$A$1:$I$89,3,0)*VLOOKUP('Données projet'!$B$13,Paramètres!$A$1:$I$89,5,0)</f>
        <v>202.84992000000003</v>
      </c>
      <c r="CV76" s="13">
        <f t="shared" si="95"/>
        <v>50.369977187686075</v>
      </c>
      <c r="CW76" s="20">
        <f t="shared" si="67"/>
        <v>441.02465426855332</v>
      </c>
      <c r="CX76" s="59">
        <f t="shared" si="68"/>
        <v>740.87335417012014</v>
      </c>
      <c r="CY76" s="59">
        <f ca="1">AVERAGE(OFFSET($CX$3,0,0,'Données projet'!$E$13+1,1))-AVERAGE(OFFSET($H$3,0,0,'Données projet'!$E$13+1,1))</f>
        <v>379.66247682099424</v>
      </c>
      <c r="CZ76" s="59">
        <f t="shared" si="96"/>
        <v>342.92507939604081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30.718237189900112</v>
      </c>
      <c r="DG76" s="21">
        <f>EXP(-LN(2)/25)*DG75+(1-EXP(-LN(2)/25))/(LN(2)/25)*Calculateur!DB76*Calculateur!DD76*VLOOKUP('Données projet'!$B$13,Paramètres!$A$1:$I$89,3,0)*0.475*44/12</f>
        <v>12.325276097672685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43.043513287572793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7.6</v>
      </c>
      <c r="DO76" s="12">
        <f>IF('Données projet'!$A$166&gt;35,DO75+DN76-DW75,IF(A76&lt;'Données projet'!$A$166,$DL$205^A76,IF(A76='Données projet'!$A$166,'Données projet'!$B$166,DO75+DN76-DW75)))</f>
        <v>296.8</v>
      </c>
      <c r="DP76" s="17">
        <f>DO76*VLOOKUP('Données projet'!$B$14,Paramètres!$A$1:$I$89,3,0)*VLOOKUP('Données projet'!$B$14,Paramètres!$A$1:$I$89,5,0)</f>
        <v>282.43488000000002</v>
      </c>
      <c r="DQ76" s="13">
        <f t="shared" si="97"/>
        <v>67.481309435922299</v>
      </c>
      <c r="DR76" s="20">
        <f t="shared" si="70"/>
        <v>609.43736326756471</v>
      </c>
      <c r="DS76" s="59">
        <f t="shared" si="71"/>
        <v>909.28606316913147</v>
      </c>
      <c r="DT76" s="59">
        <f ca="1">AVERAGE(OFFSET($DS$3,0,0,'Données projet'!$E$14+1,1))-AVERAGE(OFFSET($H$3,0,0,'Données projet'!$E$14+1,1))</f>
        <v>544.64394576312384</v>
      </c>
      <c r="DU76" s="59">
        <f t="shared" si="98"/>
        <v>310.67291035925484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23.836402838973935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23.836402838973935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3.4</v>
      </c>
      <c r="EJ76" s="12">
        <f>IF('Données projet'!$A$192&gt;35,EJ75+EI76-ER75,IF(A76&lt;'Données projet'!$A$192,$EG$205^A76,IF(A76='Données projet'!$A$192,'Données projet'!$B$192,EJ75+EI76-ER75)))</f>
        <v>132.19999999999996</v>
      </c>
      <c r="EK76" s="17">
        <f>EJ76*VLOOKUP('Données projet'!$B$15,Paramètres!$A$1:$I$89,3,0)*VLOOKUP('Données projet'!$B$15,Paramètres!$A$1:$I$89,5,0)</f>
        <v>127.86383999999995</v>
      </c>
      <c r="EL76" s="13">
        <f t="shared" si="99"/>
        <v>33.502280509335172</v>
      </c>
      <c r="EM76" s="20">
        <f t="shared" si="73"/>
        <v>281.04599322042532</v>
      </c>
      <c r="EN76" s="59">
        <f t="shared" si="74"/>
        <v>580.89469312199208</v>
      </c>
      <c r="EO76" s="59">
        <f ca="1">AVERAGE(OFFSET($EN$3,0,0,'Données projet'!$E$15+1,1))-AVERAGE(OFFSET($H$3,0,0,'Données projet'!$E$15+1,1))</f>
        <v>276.72865583771579</v>
      </c>
      <c r="EP76" s="59">
        <f t="shared" si="100"/>
        <v>174.3587092851154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8.485874634012518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8.485874634012518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71.776918154972762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4.25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15.583333333333334</v>
      </c>
      <c r="H77" s="67">
        <f t="shared" si="56"/>
        <v>222.56666666666669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341.11752883785607</v>
      </c>
      <c r="T77" s="59">
        <f t="shared" si="88"/>
        <v>423.15445896616234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87.722851865939532</v>
      </c>
      <c r="AA77" s="21">
        <f>EXP(-LN(2)/25)*AA76+(1-EXP(-LN(2)/25))/(LN(2)/25)*Calculateur!V77*Calculateur!X77*VLOOKUP('Données projet'!$B$9,Paramètres!$A$1:$I$89,3,0)*0.475*44/12</f>
        <v>49.402941677744288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137.12579354368381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275.42112000000003</v>
      </c>
      <c r="AK77" s="13">
        <f t="shared" si="89"/>
        <v>65.998433293601067</v>
      </c>
      <c r="AL77" s="20">
        <f t="shared" si="58"/>
        <v>594.63905531968851</v>
      </c>
      <c r="AM77" s="59">
        <f t="shared" si="59"/>
        <v>894.86451339052996</v>
      </c>
      <c r="AN77" s="59">
        <f ca="1">AVERAGE(OFFSET($AM$3,0,0,'Données projet'!$E$10+1,1))-AVERAGE(OFFSET($H$3,0,0,'Données projet'!$E$10+1,1))</f>
        <v>521.72266623522626</v>
      </c>
      <c r="AO77" s="59">
        <f t="shared" si="90"/>
        <v>298.49205684341825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22.219691148330572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22.219691148330572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9.9586538461538368</v>
      </c>
      <c r="BD77" s="12">
        <f>IF('Données projet'!$A$88&gt;35,BD76+BC77-BL76,IF(A77&lt;'Données projet'!$A$88,$BA$205^A77,IF(A77='Données projet'!$A$88,'Données projet'!$B$88,BD76+BC77-BL76)))</f>
        <v>500.3057692307691</v>
      </c>
      <c r="BE77" s="13">
        <f>BD77*VLOOKUP('Données projet'!$B$11,Paramètres!$A$1:$I$89,3,0)*VLOOKUP('Données projet'!$B$11,Paramètres!$A$1:$I$89,5,0)</f>
        <v>299.18284999999997</v>
      </c>
      <c r="BF77" s="13">
        <f t="shared" si="91"/>
        <v>71.005130264396357</v>
      </c>
      <c r="BG77" s="20">
        <f t="shared" si="61"/>
        <v>644.74406562715694</v>
      </c>
      <c r="BH77" s="59">
        <f t="shared" si="62"/>
        <v>944.96952369799851</v>
      </c>
      <c r="BI77" s="59">
        <f ca="1">AVERAGE(OFFSET($BH$3,0,0,'Données projet'!$E$11+1,1))-AVERAGE(OFFSET($H$3,0,0,'Données projet'!$E$11+1,1))</f>
        <v>376.5647919688821</v>
      </c>
      <c r="BJ77" s="59">
        <f t="shared" si="92"/>
        <v>340.34037344565581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30.889675332304527</v>
      </c>
      <c r="BQ77" s="21">
        <f>EXP(-LN(2)/25)*BQ76+(1-EXP(-LN(2)/25))/(LN(2)/25)*Calculateur!BL77*Calculateur!BN77*VLOOKUP('Données projet'!$B$11,Paramètres!$A$1:$I$89,3,0)*0.475*44/12</f>
        <v>22.9339648170399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53.823640149344428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253.39999999999995</v>
      </c>
      <c r="BZ77" s="13">
        <f>BY77*VLOOKUP('Données projet'!$B$12,Paramètres!$A$1:$I$89,3,0)*VLOOKUP('Données projet'!$B$12,Paramètres!$A$1:$I$89,5,0)</f>
        <v>256.94759999999997</v>
      </c>
      <c r="CA77" s="13">
        <f t="shared" si="93"/>
        <v>62.071283104858303</v>
      </c>
      <c r="CB77" s="20">
        <f t="shared" si="64"/>
        <v>555.62455474096146</v>
      </c>
      <c r="CC77" s="59">
        <f t="shared" si="65"/>
        <v>855.85001281180303</v>
      </c>
      <c r="CD77" s="59">
        <f ca="1">AVERAGE(OFFSET($CC$3,0,0,'Données projet'!$E$12+1,1))-AVERAGE(OFFSET($H$3,0,0,'Données projet'!$E$12+1,1))</f>
        <v>473.09076714002885</v>
      </c>
      <c r="CE77" s="59">
        <f t="shared" si="94"/>
        <v>311.6454557566534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23.663441153847849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23.663441153847849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4.4000000000000004</v>
      </c>
      <c r="CT77" s="12">
        <f>IF('Données projet'!$A$140&gt;35,CT76+CS77-DB76,IF(A77&lt;'Données projet'!$A$140,$CQ$205^A77,IF(A77='Données projet'!$A$140,'Données projet'!$B$140,CT76+CS77-DB76)))</f>
        <v>236.60000000000002</v>
      </c>
      <c r="CU77" s="17">
        <f>CT77*VLOOKUP('Données projet'!$B$13,Paramètres!$A$1:$I$89,3,0)*VLOOKUP('Données projet'!$B$13,Paramètres!$A$1:$I$89,5,0)</f>
        <v>206.69376000000005</v>
      </c>
      <c r="CV77" s="13">
        <f t="shared" si="95"/>
        <v>51.212423138937325</v>
      </c>
      <c r="CW77" s="20">
        <f t="shared" si="67"/>
        <v>449.18660230031583</v>
      </c>
      <c r="CX77" s="59">
        <f t="shared" si="68"/>
        <v>749.41206037115739</v>
      </c>
      <c r="CY77" s="59">
        <f ca="1">AVERAGE(OFFSET($CX$3,0,0,'Données projet'!$E$13+1,1))-AVERAGE(OFFSET($H$3,0,0,'Données projet'!$E$13+1,1))</f>
        <v>379.66247682099424</v>
      </c>
      <c r="CZ77" s="59">
        <f t="shared" si="96"/>
        <v>342.92507939604081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30.115871294880804</v>
      </c>
      <c r="DG77" s="21">
        <f>EXP(-LN(2)/25)*DG76+(1-EXP(-LN(2)/25))/(LN(2)/25)*Calculateur!DB77*Calculateur!DD77*VLOOKUP('Données projet'!$B$13,Paramètres!$A$1:$I$89,3,0)*0.475*44/12</f>
        <v>11.988240774623725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42.104112069504531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7.6</v>
      </c>
      <c r="DO77" s="12">
        <f>IF('Données projet'!$A$166&gt;35,DO76+DN77-DW76,IF(A77&lt;'Données projet'!$A$166,$DL$205^A77,IF(A77='Données projet'!$A$166,'Données projet'!$B$166,DO76+DN77-DW76)))</f>
        <v>304.40000000000003</v>
      </c>
      <c r="DP77" s="17">
        <f>DO77*VLOOKUP('Données projet'!$B$14,Paramètres!$A$1:$I$89,3,0)*VLOOKUP('Données projet'!$B$14,Paramètres!$A$1:$I$89,5,0)</f>
        <v>289.66704000000004</v>
      </c>
      <c r="DQ77" s="13">
        <f t="shared" si="97"/>
        <v>69.005879149563839</v>
      </c>
      <c r="DR77" s="20">
        <f t="shared" si="70"/>
        <v>624.68866751882376</v>
      </c>
      <c r="DS77" s="59">
        <f t="shared" si="71"/>
        <v>924.91412558966522</v>
      </c>
      <c r="DT77" s="59">
        <f ca="1">AVERAGE(OFFSET($DS$3,0,0,'Données projet'!$E$14+1,1))-AVERAGE(OFFSET($H$3,0,0,'Données projet'!$E$14+1,1))</f>
        <v>544.64394576312384</v>
      </c>
      <c r="DU77" s="59">
        <f t="shared" si="98"/>
        <v>310.67291035925484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23.368985518071803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23.368985518071803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3.4</v>
      </c>
      <c r="EJ77" s="12">
        <f>IF('Données projet'!$A$192&gt;35,EJ76+EI77-ER76,IF(A77&lt;'Données projet'!$A$192,$EG$205^A77,IF(A77='Données projet'!$A$192,'Données projet'!$B$192,EJ76+EI77-ER76)))</f>
        <v>135.59999999999997</v>
      </c>
      <c r="EK77" s="17">
        <f>EJ77*VLOOKUP('Données projet'!$B$15,Paramètres!$A$1:$I$89,3,0)*VLOOKUP('Données projet'!$B$15,Paramètres!$A$1:$I$89,5,0)</f>
        <v>131.15231999999997</v>
      </c>
      <c r="EL77" s="13">
        <f t="shared" si="99"/>
        <v>34.262489739130991</v>
      </c>
      <c r="EM77" s="20">
        <f t="shared" si="73"/>
        <v>288.09746029565309</v>
      </c>
      <c r="EN77" s="59">
        <f t="shared" si="74"/>
        <v>588.3229183664946</v>
      </c>
      <c r="EO77" s="59">
        <f ca="1">AVERAGE(OFFSET($EN$3,0,0,'Données projet'!$E$15+1,1))-AVERAGE(OFFSET($H$3,0,0,'Données projet'!$E$15+1,1))</f>
        <v>276.72865583771579</v>
      </c>
      <c r="EP77" s="59">
        <f t="shared" si="100"/>
        <v>174.3587092851154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8.3194718083119845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8.3194718083119845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71.879670382956775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4.25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15.583333333333334</v>
      </c>
      <c r="H78" s="67">
        <f t="shared" si="56"/>
        <v>222.56666666666669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341.11752883785607</v>
      </c>
      <c r="T78" s="59">
        <f t="shared" si="88"/>
        <v>423.15445896616234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86.002660246504846</v>
      </c>
      <c r="AA78" s="21">
        <f>EXP(-LN(2)/25)*AA77+(1-EXP(-LN(2)/25))/(LN(2)/25)*Calculateur!V78*Calculateur!X78*VLOOKUP('Données projet'!$B$9,Paramètres!$A$1:$I$89,3,0)*0.475*44/12</f>
        <v>48.052015639578578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134.05467588608343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282.29760000000005</v>
      </c>
      <c r="AK78" s="13">
        <f t="shared" si="89"/>
        <v>67.452326629470178</v>
      </c>
      <c r="AL78" s="20">
        <f t="shared" si="58"/>
        <v>609.14778887966054</v>
      </c>
      <c r="AM78" s="59">
        <f t="shared" si="59"/>
        <v>909.74346920784501</v>
      </c>
      <c r="AN78" s="59">
        <f ca="1">AVERAGE(OFFSET($AM$3,0,0,'Données projet'!$E$10+1,1))-AVERAGE(OFFSET($H$3,0,0,'Données projet'!$E$10+1,1))</f>
        <v>521.72266623522626</v>
      </c>
      <c r="AO78" s="59">
        <f t="shared" si="90"/>
        <v>298.49205684341825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0.25800000000000001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29.009635183661004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29.009635183661004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9.9586538461538368</v>
      </c>
      <c r="BD78" s="12">
        <f>IF('Données projet'!$A$88&gt;35,BD77+BC78-BL77,IF(A78&lt;'Données projet'!$A$88,$BA$205^A78,IF(A78='Données projet'!$A$88,'Données projet'!$B$88,BD77+BC78-BL77)))</f>
        <v>510.26442307692292</v>
      </c>
      <c r="BE78" s="13">
        <f>BD78*VLOOKUP('Données projet'!$B$11,Paramètres!$A$1:$I$89,3,0)*VLOOKUP('Données projet'!$B$11,Paramètres!$A$1:$I$89,5,0)</f>
        <v>305.13812499999995</v>
      </c>
      <c r="BF78" s="13">
        <f t="shared" si="91"/>
        <v>72.252544917717799</v>
      </c>
      <c r="BG78" s="20">
        <f t="shared" si="61"/>
        <v>657.28875010669174</v>
      </c>
      <c r="BH78" s="59">
        <f t="shared" si="62"/>
        <v>957.88443043487609</v>
      </c>
      <c r="BI78" s="59">
        <f ca="1">AVERAGE(OFFSET($BH$3,0,0,'Données projet'!$E$11+1,1))-AVERAGE(OFFSET($H$3,0,0,'Données projet'!$E$11+1,1))</f>
        <v>376.5647919688821</v>
      </c>
      <c r="BJ78" s="59">
        <f t="shared" si="92"/>
        <v>340.34037344565581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30.28394763987961</v>
      </c>
      <c r="BQ78" s="21">
        <f>EXP(-LN(2)/25)*BQ77+(1-EXP(-LN(2)/25))/(LN(2)/25)*Calculateur!BL78*Calculateur!BN78*VLOOKUP('Données projet'!$B$11,Paramètres!$A$1:$I$89,3,0)*0.475*44/12</f>
        <v>22.306834343073152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52.590781982952763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261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260.99999999999994</v>
      </c>
      <c r="BZ78" s="13">
        <f>BY78*VLOOKUP('Données projet'!$B$12,Paramètres!$A$1:$I$89,3,0)*VLOOKUP('Données projet'!$B$12,Paramètres!$A$1:$I$89,5,0)</f>
        <v>264.654</v>
      </c>
      <c r="CA78" s="13">
        <f t="shared" si="93"/>
        <v>63.713396011211117</v>
      </c>
      <c r="CB78" s="20">
        <f t="shared" si="64"/>
        <v>571.90654805285931</v>
      </c>
      <c r="CC78" s="59">
        <f t="shared" si="65"/>
        <v>872.50222838104378</v>
      </c>
      <c r="CD78" s="59">
        <f ca="1">AVERAGE(OFFSET($CC$3,0,0,'Données projet'!$E$12+1,1))-AVERAGE(OFFSET($H$3,0,0,'Données projet'!$E$12+1,1))</f>
        <v>473.09076714002885</v>
      </c>
      <c r="CE78" s="59">
        <f t="shared" si="94"/>
        <v>311.6454557566534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26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30.718727746284557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30.718727746284557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241</v>
      </c>
      <c r="CR78" s="12">
        <f>VLOOKUP(A78,'Données projet'!$A$139:$I$159,9,0)</f>
        <v>4.4000000000000004</v>
      </c>
      <c r="CS78" s="12">
        <f t="array" ref="CS78">INDEX(CR:CR,MIN(IF(ISNUMBER(CR78:CR274),ROW(CR78:CR274),"")))</f>
        <v>4.4000000000000004</v>
      </c>
      <c r="CT78" s="12">
        <f>IF('Données projet'!$A$140&gt;35,CT77+CS78-DB77,IF(A78&lt;'Données projet'!$A$140,$CQ$205^A78,IF(A78='Données projet'!$A$140,'Données projet'!$B$140,CT77+CS78-DB77)))</f>
        <v>241.00000000000003</v>
      </c>
      <c r="CU78" s="17">
        <f>CT78*VLOOKUP('Données projet'!$B$13,Paramètres!$A$1:$I$89,3,0)*VLOOKUP('Données projet'!$B$13,Paramètres!$A$1:$I$89,5,0)</f>
        <v>210.53760000000005</v>
      </c>
      <c r="CV78" s="13">
        <f t="shared" si="95"/>
        <v>52.053047337322276</v>
      </c>
      <c r="CW78" s="20">
        <f t="shared" si="67"/>
        <v>457.34537744583628</v>
      </c>
      <c r="CX78" s="59">
        <f t="shared" si="68"/>
        <v>757.94105777402069</v>
      </c>
      <c r="CY78" s="59">
        <f ca="1">AVERAGE(OFFSET($CX$3,0,0,'Données projet'!$E$13+1,1))-AVERAGE(OFFSET($H$3,0,0,'Données projet'!$E$13+1,1))</f>
        <v>379.66247682099424</v>
      </c>
      <c r="CZ78" s="59">
        <f t="shared" si="96"/>
        <v>342.92507939604081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16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0.129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33.511887704111523</v>
      </c>
      <c r="DG78" s="21">
        <f>EXP(-LN(2)/25)*DG77+(1-EXP(-LN(2)/25))/(LN(2)/25)*Calculateur!DB78*Calculateur!DD78*VLOOKUP('Données projet'!$B$13,Paramètres!$A$1:$I$89,3,0)*0.475*44/12</f>
        <v>13.645858515344882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47.157746219456406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312</v>
      </c>
      <c r="DM78" s="12">
        <f>VLOOKUP(A78,'Données projet'!$A$165:$I$185,9,0)</f>
        <v>7.6</v>
      </c>
      <c r="DN78" s="12">
        <f t="array" ref="DN78">INDEX(DM:DM,MIN(IF(ISNUMBER(DM78:DM274),ROW(DM78:DM274),"")))</f>
        <v>7.6</v>
      </c>
      <c r="DO78" s="12">
        <f>IF('Données projet'!$A$166&gt;35,DO77+DN78-DW77,IF(A78&lt;'Données projet'!$A$166,$DL$205^A78,IF(A78='Données projet'!$A$166,'Données projet'!$B$166,DO77+DN78-DW77)))</f>
        <v>312.00000000000006</v>
      </c>
      <c r="DP78" s="17">
        <f>DO78*VLOOKUP('Données projet'!$B$14,Paramètres!$A$1:$I$89,3,0)*VLOOKUP('Données projet'!$B$14,Paramètres!$A$1:$I$89,5,0)</f>
        <v>296.89920000000006</v>
      </c>
      <c r="DQ78" s="13">
        <f t="shared" si="97"/>
        <v>70.526024141264159</v>
      </c>
      <c r="DR78" s="20">
        <f t="shared" si="70"/>
        <v>639.93226537936846</v>
      </c>
      <c r="DS78" s="59">
        <f t="shared" si="71"/>
        <v>940.52794570755282</v>
      </c>
      <c r="DT78" s="59">
        <f ca="1">AVERAGE(OFFSET($DS$3,0,0,'Données projet'!$E$14+1,1))-AVERAGE(OFFSET($H$3,0,0,'Données projet'!$E$14+1,1))</f>
        <v>544.64394576312384</v>
      </c>
      <c r="DU78" s="59">
        <f t="shared" si="98"/>
        <v>310.67291035925484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28</v>
      </c>
      <c r="DX78" s="16">
        <f>IF(ISNA(VLOOKUP(A78,'Données projet'!$A$165:$I$185,5,0)),0%,VLOOKUP(A78,'Données projet'!$A$165:$I$185,5,0)*VLOOKUP('Données projet'!$B$14,Paramètres!$A$1:$I$89,7,0))</f>
        <v>0.25800000000000001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30.510133555229668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30.510133555229668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139</v>
      </c>
      <c r="EH78" s="12">
        <f>VLOOKUP(A78,'Données projet'!$A$191:$I$211,9,0)</f>
        <v>3.4</v>
      </c>
      <c r="EI78" s="12">
        <f t="array" ref="EI78">INDEX(EH:EH,MIN(IF(ISNUMBER(EH78:EH274),ROW(EH78:EH274),"")))</f>
        <v>3.4</v>
      </c>
      <c r="EJ78" s="12">
        <f>IF('Données projet'!$A$192&gt;35,EJ77+EI78-ER77,IF(A78&lt;'Données projet'!$A$192,$EG$205^A78,IF(A78='Données projet'!$A$192,'Données projet'!$B$192,EJ77+EI78-ER77)))</f>
        <v>138.99999999999997</v>
      </c>
      <c r="EK78" s="17">
        <f>EJ78*VLOOKUP('Données projet'!$B$15,Paramètres!$A$1:$I$89,3,0)*VLOOKUP('Données projet'!$B$15,Paramètres!$A$1:$I$89,5,0)</f>
        <v>134.44079999999997</v>
      </c>
      <c r="EL78" s="13">
        <f t="shared" si="99"/>
        <v>35.02048322365038</v>
      </c>
      <c r="EM78" s="20">
        <f t="shared" si="73"/>
        <v>295.14506828119102</v>
      </c>
      <c r="EN78" s="59">
        <f t="shared" si="74"/>
        <v>595.74074860937549</v>
      </c>
      <c r="EO78" s="59">
        <f ca="1">AVERAGE(OFFSET($EN$3,0,0,'Données projet'!$E$15+1,1))-AVERAGE(OFFSET($H$3,0,0,'Données projet'!$E$15+1,1))</f>
        <v>276.72865583771579</v>
      </c>
      <c r="EP78" s="59">
        <f t="shared" si="100"/>
        <v>174.3587092851154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10</v>
      </c>
      <c r="ES78" s="16">
        <f>IF(ISNA(VLOOKUP(A78,'Données projet'!$A$191:$I$211,5,0)),0%,VLOOKUP(A78,'Données projet'!$A$191:$I$211,5,0)*VLOOKUP('Données projet'!$B$15,Paramètres!$A$1:$I$89,7,0))</f>
        <v>0.25800000000000001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10.914896294325152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10.914896294325152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71.980640089504845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4.25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15.583333333333334</v>
      </c>
      <c r="H79" s="67">
        <f t="shared" si="56"/>
        <v>222.56666666666669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341.11752883785607</v>
      </c>
      <c r="T79" s="59">
        <f t="shared" si="88"/>
        <v>423.15445896616234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84.316200535513985</v>
      </c>
      <c r="AA79" s="21">
        <f>EXP(-LN(2)/25)*AA78+(1-EXP(-LN(2)/25))/(LN(2)/25)*Calculateur!V79*Calculateur!X79*VLOOKUP('Données projet'!$B$9,Paramètres!$A$1:$I$89,3,0)*0.475*44/12</f>
        <v>46.738030744968626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131.05423128048261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263.47776000000005</v>
      </c>
      <c r="AK79" s="13">
        <f t="shared" si="89"/>
        <v>63.46312159763346</v>
      </c>
      <c r="AL79" s="20">
        <f t="shared" si="58"/>
        <v>569.42203544921165</v>
      </c>
      <c r="AM79" s="59">
        <f t="shared" si="59"/>
        <v>870.38151550626708</v>
      </c>
      <c r="AN79" s="59">
        <f ca="1">AVERAGE(OFFSET($AM$3,0,0,'Données projet'!$E$10+1,1))-AVERAGE(OFFSET($H$3,0,0,'Données projet'!$E$10+1,1))</f>
        <v>521.72266623522626</v>
      </c>
      <c r="AO79" s="59">
        <f t="shared" si="90"/>
        <v>298.49205684341825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28.440773931839722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28.440773931839722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>
        <f>VLOOKUP(A79,'Données projet'!$A$87:$I$107,2,0)</f>
        <v>520.22307692307686</v>
      </c>
      <c r="BB79" s="12">
        <f>VLOOKUP(A79,'Données projet'!$A$87:$I$107,9,0)</f>
        <v>9.9586538461538368</v>
      </c>
      <c r="BC79" s="12">
        <f t="array" ref="BC79">INDEX(BB:BB,MIN(IF(ISNUMBER(BB79:BB275),ROW(BB79:BB275),"")))</f>
        <v>9.9586538461538368</v>
      </c>
      <c r="BD79" s="12">
        <f>IF('Données projet'!$A$88&gt;35,BD78+BC79-BL78,IF(A79&lt;'Données projet'!$A$88,$BA$205^A79,IF(A79='Données projet'!$A$88,'Données projet'!$B$88,BD78+BC79-BL78)))</f>
        <v>520.22307692307675</v>
      </c>
      <c r="BE79" s="13">
        <f>BD79*VLOOKUP('Données projet'!$B$11,Paramètres!$A$1:$I$89,3,0)*VLOOKUP('Données projet'!$B$11,Paramètres!$A$1:$I$89,5,0)</f>
        <v>311.09339999999992</v>
      </c>
      <c r="BF79" s="13">
        <f t="shared" si="91"/>
        <v>73.497128797635312</v>
      </c>
      <c r="BG79" s="20">
        <f t="shared" si="61"/>
        <v>669.82850432254793</v>
      </c>
      <c r="BH79" s="59">
        <f t="shared" si="62"/>
        <v>970.78798437960336</v>
      </c>
      <c r="BI79" s="59">
        <f ca="1">AVERAGE(OFFSET($BH$3,0,0,'Données projet'!$E$11+1,1))-AVERAGE(OFFSET($H$3,0,0,'Données projet'!$E$11+1,1))</f>
        <v>376.5647919688821</v>
      </c>
      <c r="BJ79" s="59">
        <f t="shared" si="92"/>
        <v>340.34037344565581</v>
      </c>
      <c r="BK79" s="15">
        <f>IF(ISNA(VLOOKUP(A79,'Données projet'!$A$87:$I$107,3,0)),0,VLOOKUP(A79,'Données projet'!$A$87:$I$107,3,0))</f>
        <v>13</v>
      </c>
      <c r="BL79" s="15">
        <f>IF(ISNA(VLOOKUP(A79,'Données projet'!$A$87:$I$107,4,0)),0,VLOOKUP(A79,'Données projet'!$A$87:$I$107,4,0))</f>
        <v>520.22307692307686</v>
      </c>
      <c r="BM79" s="16">
        <f>IF(ISNA(VLOOKUP(A79,'Données projet'!$A$87:$I$107,5,0)),0%,VLOOKUP(A79,'Données projet'!$A$87:$I$107,5,0)*VLOOKUP('Données projet'!$B$11,Paramètres!$A$1:$I$89,7,0))</f>
        <v>0.315</v>
      </c>
      <c r="BN79" s="16">
        <f>IF(ISNA(VLOOKUP(A79,'Données projet'!$A$87:$I$107,6,0)),0%,VLOOKUP(A79,'Données projet'!$A$87:$I$107,6,0)*VLOOKUP('Données projet'!$B$11,Paramètres!$A$1:$I$89,7,0))</f>
        <v>0.13500000000000001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159.68601362802377</v>
      </c>
      <c r="BQ79" s="21">
        <f>EXP(-LN(2)/25)*BQ78+(1-EXP(-LN(2)/25))/(LN(2)/25)*Calculateur!BL79*Calculateur!BN79*VLOOKUP('Données projet'!$B$11,Paramètres!$A$1:$I$89,3,0)*0.475*44/12</f>
        <v>77.190026618077226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236.87604024610101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</v>
      </c>
      <c r="BY79" s="12">
        <f>IF('Données projet'!$A$114&gt;35,BY78+BX79-CG78,IF(A79&lt;'Données projet'!$A$114,$BV$205^A79,IF(A79='Données projet'!$A$114,'Données projet'!$B$114,BY78+BX79-CG78)))</f>
        <v>241.99999999999994</v>
      </c>
      <c r="BZ79" s="13">
        <f>BY79*VLOOKUP('Données projet'!$B$12,Paramètres!$A$1:$I$89,3,0)*VLOOKUP('Données projet'!$B$12,Paramètres!$A$1:$I$89,5,0)</f>
        <v>245.38799999999995</v>
      </c>
      <c r="CA79" s="13">
        <f t="shared" si="93"/>
        <v>59.597282764919569</v>
      </c>
      <c r="CB79" s="20">
        <f t="shared" si="64"/>
        <v>531.18270081556818</v>
      </c>
      <c r="CC79" s="59">
        <f t="shared" si="65"/>
        <v>832.14218087262361</v>
      </c>
      <c r="CD79" s="59">
        <f ca="1">AVERAGE(OFFSET($CC$3,0,0,'Données projet'!$E$12+1,1))-AVERAGE(OFFSET($H$3,0,0,'Données projet'!$E$12+1,1))</f>
        <v>473.09076714002885</v>
      </c>
      <c r="CE79" s="59">
        <f t="shared" si="94"/>
        <v>311.6454557566534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30.116352231753758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30.116352231753758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229.00000000000003</v>
      </c>
      <c r="CU79" s="17">
        <f>CT79*VLOOKUP('Données projet'!$B$13,Paramètres!$A$1:$I$89,3,0)*VLOOKUP('Données projet'!$B$13,Paramètres!$A$1:$I$89,5,0)</f>
        <v>200.05440000000007</v>
      </c>
      <c r="CV79" s="13">
        <f t="shared" si="95"/>
        <v>49.756123009618236</v>
      </c>
      <c r="CW79" s="20">
        <f t="shared" si="67"/>
        <v>435.08666090841854</v>
      </c>
      <c r="CX79" s="59">
        <f t="shared" si="68"/>
        <v>736.04614096547391</v>
      </c>
      <c r="CY79" s="59">
        <f ca="1">AVERAGE(OFFSET($CX$3,0,0,'Données projet'!$E$13+1,1))-AVERAGE(OFFSET($H$3,0,0,'Données projet'!$E$13+1,1))</f>
        <v>379.66247682099424</v>
      </c>
      <c r="CZ79" s="59">
        <f t="shared" si="96"/>
        <v>342.92507939604081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32.854740026467091</v>
      </c>
      <c r="DG79" s="21">
        <f>EXP(-LN(2)/25)*DG78+(1-EXP(-LN(2)/25))/(LN(2)/25)*Calculateur!DB79*Calculateur!DD79*VLOOKUP('Données projet'!$B$13,Paramètres!$A$1:$I$89,3,0)*0.475*44/12</f>
        <v>13.272711796638266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46.127451823105361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7.2</v>
      </c>
      <c r="DO79" s="12">
        <f>IF('Données projet'!$A$166&gt;35,DO78+DN79-DW78,IF(A79&lt;'Données projet'!$A$166,$DL$205^A79,IF(A79='Données projet'!$A$166,'Données projet'!$B$166,DO78+DN79-DW78)))</f>
        <v>291.20000000000005</v>
      </c>
      <c r="DP79" s="17">
        <f>DO79*VLOOKUP('Données projet'!$B$14,Paramètres!$A$1:$I$89,3,0)*VLOOKUP('Données projet'!$B$14,Paramètres!$A$1:$I$89,5,0)</f>
        <v>277.10592000000008</v>
      </c>
      <c r="DQ79" s="13">
        <f t="shared" si="97"/>
        <v>66.355037246694323</v>
      </c>
      <c r="DR79" s="20">
        <f t="shared" si="70"/>
        <v>598.19450053799278</v>
      </c>
      <c r="DS79" s="59">
        <f t="shared" si="71"/>
        <v>899.1539805950481</v>
      </c>
      <c r="DT79" s="59">
        <f ca="1">AVERAGE(OFFSET($DS$3,0,0,'Données projet'!$E$14+1,1))-AVERAGE(OFFSET($H$3,0,0,'Données projet'!$E$14+1,1))</f>
        <v>544.64394576312384</v>
      </c>
      <c r="DU79" s="59">
        <f t="shared" si="98"/>
        <v>310.67291035925484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29.911848445555563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29.911848445555563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3.4</v>
      </c>
      <c r="EJ79" s="12">
        <f>IF('Données projet'!$A$192&gt;35,EJ78+EI79-ER78,IF(A79&lt;'Données projet'!$A$192,$EG$205^A79,IF(A79='Données projet'!$A$192,'Données projet'!$B$192,EJ78+EI79-ER78)))</f>
        <v>132.39999999999998</v>
      </c>
      <c r="EK79" s="17">
        <f>EJ79*VLOOKUP('Données projet'!$B$15,Paramètres!$A$1:$I$89,3,0)*VLOOKUP('Données projet'!$B$15,Paramètres!$A$1:$I$89,5,0)</f>
        <v>128.05727999999996</v>
      </c>
      <c r="EL79" s="13">
        <f t="shared" si="99"/>
        <v>33.54706115995706</v>
      </c>
      <c r="EM79" s="20">
        <f t="shared" si="73"/>
        <v>281.46089418692515</v>
      </c>
      <c r="EN79" s="59">
        <f t="shared" si="74"/>
        <v>582.42037424398052</v>
      </c>
      <c r="EO79" s="59">
        <f ca="1">AVERAGE(OFFSET($EN$3,0,0,'Données projet'!$E$15+1,1))-AVERAGE(OFFSET($H$3,0,0,'Données projet'!$E$15+1,1))</f>
        <v>276.72865583771579</v>
      </c>
      <c r="EP79" s="59">
        <f t="shared" si="100"/>
        <v>174.3587092851154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10.700861835422808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10.700861835422808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72.079858197378741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4.25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15.583333333333334</v>
      </c>
      <c r="H80" s="67">
        <f t="shared" si="56"/>
        <v>222.56666666666669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341.11752883785607</v>
      </c>
      <c r="T80" s="59">
        <f t="shared" si="88"/>
        <v>423.15445896616234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82.662811270816803</v>
      </c>
      <c r="AA80" s="21">
        <f>EXP(-LN(2)/25)*AA79+(1-EXP(-LN(2)/25))/(LN(2)/25)*Calculateur!V80*Calculateur!X80*VLOOKUP('Données projet'!$B$9,Paramètres!$A$1:$I$89,3,0)*0.475*44/12</f>
        <v>45.459976836401246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128.12278810721804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269.99232000000001</v>
      </c>
      <c r="AK80" s="13">
        <f t="shared" si="89"/>
        <v>64.847639395310296</v>
      </c>
      <c r="AL80" s="20">
        <f t="shared" si="58"/>
        <v>583.17959594683214</v>
      </c>
      <c r="AM80" s="59">
        <f t="shared" si="59"/>
        <v>884.49656462079702</v>
      </c>
      <c r="AN80" s="59">
        <f ca="1">AVERAGE(OFFSET($AM$3,0,0,'Données projet'!$E$10+1,1))-AVERAGE(OFFSET($H$3,0,0,'Données projet'!$E$10+1,1))</f>
        <v>521.72266623522626</v>
      </c>
      <c r="AO80" s="59">
        <f t="shared" si="90"/>
        <v>298.49205684341825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27.883067702195554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27.883067702195554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-6.7984728957526396E-14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376.5647919688821</v>
      </c>
      <c r="BJ80" s="59">
        <f t="shared" si="92"/>
        <v>340.34037344565581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156.55466829962921</v>
      </c>
      <c r="BQ80" s="21">
        <f>EXP(-LN(2)/25)*BQ79+(1-EXP(-LN(2)/25))/(LN(2)/25)*Calculateur!BL80*Calculateur!BN80*VLOOKUP('Données projet'!$B$11,Paramètres!$A$1:$I$89,3,0)*0.475*44/12</f>
        <v>75.079261280958832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231.63392958058805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</v>
      </c>
      <c r="BY80" s="12">
        <f>IF('Données projet'!$A$114&gt;35,BY79+BX80-CG79,IF(A80&lt;'Données projet'!$A$114,$BV$205^A80,IF(A80='Données projet'!$A$114,'Données projet'!$B$114,BY79+BX80-CG79)))</f>
        <v>248.99999999999994</v>
      </c>
      <c r="BZ80" s="13">
        <f>BY80*VLOOKUP('Données projet'!$B$12,Paramètres!$A$1:$I$89,3,0)*VLOOKUP('Données projet'!$B$12,Paramètres!$A$1:$I$89,5,0)</f>
        <v>252.48599999999996</v>
      </c>
      <c r="CA80" s="13">
        <f t="shared" si="93"/>
        <v>61.117973383957384</v>
      </c>
      <c r="CB80" s="20">
        <f t="shared" si="64"/>
        <v>546.193586977059</v>
      </c>
      <c r="CC80" s="59">
        <f t="shared" si="65"/>
        <v>847.51055565102388</v>
      </c>
      <c r="CD80" s="59">
        <f ca="1">AVERAGE(OFFSET($CC$3,0,0,'Données projet'!$E$12+1,1))-AVERAGE(OFFSET($H$3,0,0,'Données projet'!$E$12+1,1))</f>
        <v>473.09076714002885</v>
      </c>
      <c r="CE80" s="59">
        <f t="shared" si="94"/>
        <v>311.6454557566534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29.525788933650123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29.525788933650123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233.00000000000003</v>
      </c>
      <c r="CU80" s="17">
        <f>CT80*VLOOKUP('Données projet'!$B$13,Paramètres!$A$1:$I$89,3,0)*VLOOKUP('Données projet'!$B$13,Paramètres!$A$1:$I$89,5,0)</f>
        <v>203.54880000000003</v>
      </c>
      <c r="CV80" s="13">
        <f t="shared" si="95"/>
        <v>50.523286400023487</v>
      </c>
      <c r="CW80" s="20">
        <f t="shared" si="67"/>
        <v>442.50888381337427</v>
      </c>
      <c r="CX80" s="59">
        <f t="shared" si="68"/>
        <v>743.82585248733903</v>
      </c>
      <c r="CY80" s="59">
        <f ca="1">AVERAGE(OFFSET($CX$3,0,0,'Données projet'!$E$13+1,1))-AVERAGE(OFFSET($H$3,0,0,'Données projet'!$E$13+1,1))</f>
        <v>379.66247682099424</v>
      </c>
      <c r="CZ80" s="59">
        <f t="shared" si="96"/>
        <v>342.92507939604081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32.21047861396076</v>
      </c>
      <c r="DG80" s="21">
        <f>EXP(-LN(2)/25)*DG79+(1-EXP(-LN(2)/25))/(LN(2)/25)*Calculateur!DB80*Calculateur!DD80*VLOOKUP('Données projet'!$B$13,Paramètres!$A$1:$I$89,3,0)*0.475*44/12</f>
        <v>12.909768794577614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45.120247408538376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7.2</v>
      </c>
      <c r="DO80" s="12">
        <f>IF('Données projet'!$A$166&gt;35,DO79+DN80-DW79,IF(A80&lt;'Données projet'!$A$166,$DL$205^A80,IF(A80='Données projet'!$A$166,'Données projet'!$B$166,DO79+DN80-DW79)))</f>
        <v>298.40000000000003</v>
      </c>
      <c r="DP80" s="17">
        <f>DO80*VLOOKUP('Données projet'!$B$14,Paramètres!$A$1:$I$89,3,0)*VLOOKUP('Données projet'!$B$14,Paramètres!$A$1:$I$89,5,0)</f>
        <v>283.95744000000008</v>
      </c>
      <c r="DQ80" s="13">
        <f t="shared" si="97"/>
        <v>67.802645364933795</v>
      </c>
      <c r="DR80" s="20">
        <f t="shared" si="70"/>
        <v>612.64881534392646</v>
      </c>
      <c r="DS80" s="59">
        <f t="shared" si="71"/>
        <v>913.96578401789134</v>
      </c>
      <c r="DT80" s="59">
        <f ca="1">AVERAGE(OFFSET($DS$3,0,0,'Données projet'!$E$14+1,1))-AVERAGE(OFFSET($H$3,0,0,'Données projet'!$E$14+1,1))</f>
        <v>544.64394576312384</v>
      </c>
      <c r="DU80" s="59">
        <f t="shared" si="98"/>
        <v>310.67291035925484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29.325295341964281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29.325295341964281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3.4</v>
      </c>
      <c r="EJ80" s="12">
        <f>IF('Données projet'!$A$192&gt;35,EJ79+EI80-ER79,IF(A80&lt;'Données projet'!$A$192,$EG$205^A80,IF(A80='Données projet'!$A$192,'Données projet'!$B$192,EJ79+EI80-ER79)))</f>
        <v>135.79999999999998</v>
      </c>
      <c r="EK80" s="17">
        <f>EJ80*VLOOKUP('Données projet'!$B$15,Paramètres!$A$1:$I$89,3,0)*VLOOKUP('Données projet'!$B$15,Paramètres!$A$1:$I$89,5,0)</f>
        <v>131.34575999999998</v>
      </c>
      <c r="EL80" s="13">
        <f t="shared" si="99"/>
        <v>34.30713832111968</v>
      </c>
      <c r="EM80" s="20">
        <f t="shared" si="73"/>
        <v>288.5121312426167</v>
      </c>
      <c r="EN80" s="59">
        <f t="shared" si="74"/>
        <v>589.82909991658153</v>
      </c>
      <c r="EO80" s="59">
        <f ca="1">AVERAGE(OFFSET($EN$3,0,0,'Données projet'!$E$15+1,1))-AVERAGE(OFFSET($H$3,0,0,'Données projet'!$E$15+1,1))</f>
        <v>276.72865583771579</v>
      </c>
      <c r="EP80" s="59">
        <f t="shared" si="100"/>
        <v>174.3587092851154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10.49102446171141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10.49102446171141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72.177355092899489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4.25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15.583333333333334</v>
      </c>
      <c r="H81" s="67">
        <f t="shared" si="56"/>
        <v>222.56666666666669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341.11752883785607</v>
      </c>
      <c r="T81" s="59">
        <f t="shared" si="88"/>
        <v>423.15445896616234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81.041843961132471</v>
      </c>
      <c r="AA81" s="21">
        <f>EXP(-LN(2)/25)*AA80+(1-EXP(-LN(2)/25))/(LN(2)/25)*Calculateur!V81*Calculateur!X81*VLOOKUP('Données projet'!$B$9,Paramètres!$A$1:$I$89,3,0)*0.475*44/12</f>
        <v>44.216871379173575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125.25871534030605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276.50687999999997</v>
      </c>
      <c r="AK81" s="13">
        <f t="shared" si="89"/>
        <v>66.228273722513677</v>
      </c>
      <c r="AL81" s="20">
        <f t="shared" si="58"/>
        <v>596.93039273337797</v>
      </c>
      <c r="AM81" s="59">
        <f t="shared" si="59"/>
        <v>898.59864839597367</v>
      </c>
      <c r="AN81" s="59">
        <f ca="1">AVERAGE(OFFSET($AM$3,0,0,'Données projet'!$E$10+1,1))-AVERAGE(OFFSET($H$3,0,0,'Données projet'!$E$10+1,1))</f>
        <v>521.72266623522626</v>
      </c>
      <c r="AO81" s="59">
        <f t="shared" si="90"/>
        <v>298.49205684341825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27.336297751547495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27.336297751547495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-6.7984728957526396E-14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376.5647919688821</v>
      </c>
      <c r="BJ81" s="59">
        <f t="shared" si="92"/>
        <v>340.34037344565581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153.4847267431924</v>
      </c>
      <c r="BQ81" s="21">
        <f>EXP(-LN(2)/25)*BQ80+(1-EXP(-LN(2)/25))/(LN(2)/25)*Calculateur!BL81*Calculateur!BN81*VLOOKUP('Données projet'!$B$11,Paramètres!$A$1:$I$89,3,0)*0.475*44/12</f>
        <v>73.02621493298426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226.51094167617666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</v>
      </c>
      <c r="BY81" s="12">
        <f>IF('Données projet'!$A$114&gt;35,BY80+BX81-CG80,IF(A81&lt;'Données projet'!$A$114,$BV$205^A81,IF(A81='Données projet'!$A$114,'Données projet'!$B$114,BY80+BX81-CG80)))</f>
        <v>255.99999999999994</v>
      </c>
      <c r="BZ81" s="13">
        <f>BY81*VLOOKUP('Données projet'!$B$12,Paramètres!$A$1:$I$89,3,0)*VLOOKUP('Données projet'!$B$12,Paramètres!$A$1:$I$89,5,0)</f>
        <v>259.58399999999995</v>
      </c>
      <c r="CA81" s="13">
        <f t="shared" si="93"/>
        <v>62.63369530482354</v>
      </c>
      <c r="CB81" s="20">
        <f t="shared" si="64"/>
        <v>561.19581932256767</v>
      </c>
      <c r="CC81" s="59">
        <f t="shared" si="65"/>
        <v>862.86407498516337</v>
      </c>
      <c r="CD81" s="59">
        <f ca="1">AVERAGE(OFFSET($CC$3,0,0,'Données projet'!$E$12+1,1))-AVERAGE(OFFSET($H$3,0,0,'Données projet'!$E$12+1,1))</f>
        <v>473.09076714002885</v>
      </c>
      <c r="CE81" s="59">
        <f t="shared" si="94"/>
        <v>311.6454557566534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28.946806221614256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28.946806221614256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237.00000000000003</v>
      </c>
      <c r="CU81" s="17">
        <f>CT81*VLOOKUP('Données projet'!$B$13,Paramètres!$A$1:$I$89,3,0)*VLOOKUP('Données projet'!$B$13,Paramètres!$A$1:$I$89,5,0)</f>
        <v>207.04320000000004</v>
      </c>
      <c r="CV81" s="13">
        <f t="shared" si="95"/>
        <v>51.288918231806321</v>
      </c>
      <c r="CW81" s="20">
        <f t="shared" si="67"/>
        <v>449.92843925372944</v>
      </c>
      <c r="CX81" s="59">
        <f t="shared" si="68"/>
        <v>751.59669491632508</v>
      </c>
      <c r="CY81" s="59">
        <f ca="1">AVERAGE(OFFSET($CX$3,0,0,'Données projet'!$E$13+1,1))-AVERAGE(OFFSET($H$3,0,0,'Données projet'!$E$13+1,1))</f>
        <v>379.66247682099424</v>
      </c>
      <c r="CZ81" s="59">
        <f t="shared" si="96"/>
        <v>342.92507939604081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31.578850774793018</v>
      </c>
      <c r="DG81" s="21">
        <f>EXP(-LN(2)/25)*DG80+(1-EXP(-LN(2)/25))/(LN(2)/25)*Calculateur!DB81*Calculateur!DD81*VLOOKUP('Données projet'!$B$13,Paramètres!$A$1:$I$89,3,0)*0.475*44/12</f>
        <v>12.556750487994654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44.135601262787674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7.2</v>
      </c>
      <c r="DO81" s="12">
        <f>IF('Données projet'!$A$166&gt;35,DO80+DN81-DW80,IF(A81&lt;'Données projet'!$A$166,$DL$205^A81,IF(A81='Données projet'!$A$166,'Données projet'!$B$166,DO80+DN81-DW80)))</f>
        <v>305.60000000000002</v>
      </c>
      <c r="DP81" s="17">
        <f>DO81*VLOOKUP('Données projet'!$B$14,Paramètres!$A$1:$I$89,3,0)*VLOOKUP('Données projet'!$B$14,Paramètres!$A$1:$I$89,5,0)</f>
        <v>290.80896000000001</v>
      </c>
      <c r="DQ81" s="13">
        <f t="shared" si="97"/>
        <v>69.246193048996375</v>
      </c>
      <c r="DR81" s="20">
        <f t="shared" si="70"/>
        <v>627.096058227002</v>
      </c>
      <c r="DS81" s="59">
        <f t="shared" si="71"/>
        <v>928.76431388959759</v>
      </c>
      <c r="DT81" s="59">
        <f ca="1">AVERAGE(OFFSET($DS$3,0,0,'Données projet'!$E$14+1,1))-AVERAGE(OFFSET($H$3,0,0,'Données projet'!$E$14+1,1))</f>
        <v>544.64394576312384</v>
      </c>
      <c r="DU81" s="59">
        <f t="shared" si="98"/>
        <v>310.67291035925484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28.75024418697236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28.75024418697236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3.4</v>
      </c>
      <c r="EJ81" s="12">
        <f>IF('Données projet'!$A$192&gt;35,EJ80+EI81-ER80,IF(A81&lt;'Données projet'!$A$192,$EG$205^A81,IF(A81='Données projet'!$A$192,'Données projet'!$B$192,EJ80+EI81-ER80)))</f>
        <v>139.19999999999999</v>
      </c>
      <c r="EK81" s="17">
        <f>EJ81*VLOOKUP('Données projet'!$B$15,Paramètres!$A$1:$I$89,3,0)*VLOOKUP('Données projet'!$B$15,Paramètres!$A$1:$I$89,5,0)</f>
        <v>134.63423999999998</v>
      </c>
      <c r="EL81" s="13">
        <f t="shared" si="99"/>
        <v>35.065003380589694</v>
      </c>
      <c r="EM81" s="20">
        <f t="shared" si="73"/>
        <v>295.55951555452697</v>
      </c>
      <c r="EN81" s="59">
        <f t="shared" si="74"/>
        <v>597.22777121712261</v>
      </c>
      <c r="EO81" s="59">
        <f ca="1">AVERAGE(OFFSET($EN$3,0,0,'Données projet'!$E$15+1,1))-AVERAGE(OFFSET($H$3,0,0,'Données projet'!$E$15+1,1))</f>
        <v>276.72865583771579</v>
      </c>
      <c r="EP81" s="59">
        <f t="shared" si="100"/>
        <v>174.3587092851154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10.285301870910333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10.285301870910333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72.273160635253348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4.25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15.583333333333334</v>
      </c>
      <c r="H82" s="67">
        <f t="shared" si="56"/>
        <v>222.56666666666669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341.11752883785607</v>
      </c>
      <c r="T82" s="59">
        <f t="shared" si="88"/>
        <v>423.15445896616234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79.452662831698603</v>
      </c>
      <c r="AA82" s="21">
        <f>EXP(-LN(2)/25)*AA81+(1-EXP(-LN(2)/25))/(LN(2)/25)*Calculateur!V82*Calculateur!X82*VLOOKUP('Données projet'!$B$9,Paramètres!$A$1:$I$89,3,0)*0.475*44/12</f>
        <v>43.00775870604587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122.46042153774448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283.02144000000004</v>
      </c>
      <c r="AK82" s="13">
        <f t="shared" si="89"/>
        <v>67.605126603830598</v>
      </c>
      <c r="AL82" s="20">
        <f t="shared" si="58"/>
        <v>610.67460350167164</v>
      </c>
      <c r="AM82" s="59">
        <f t="shared" si="59"/>
        <v>912.68805210900541</v>
      </c>
      <c r="AN82" s="59">
        <f ca="1">AVERAGE(OFFSET($AM$3,0,0,'Données projet'!$E$10+1,1))-AVERAGE(OFFSET($H$3,0,0,'Données projet'!$E$10+1,1))</f>
        <v>521.72266623522626</v>
      </c>
      <c r="AO82" s="59">
        <f t="shared" si="90"/>
        <v>298.49205684341825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26.800249626134907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26.800249626134907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-6.7984728957526396E-14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376.5647919688821</v>
      </c>
      <c r="BJ82" s="59">
        <f t="shared" si="92"/>
        <v>340.34037344565581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150.47498486819785</v>
      </c>
      <c r="BQ82" s="21">
        <f>EXP(-LN(2)/25)*BQ81+(1-EXP(-LN(2)/25))/(LN(2)/25)*Calculateur!BL82*Calculateur!BN82*VLOOKUP('Données projet'!$B$11,Paramètres!$A$1:$I$89,3,0)*0.475*44/12</f>
        <v>71.029309245360068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221.50429411355793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</v>
      </c>
      <c r="BY82" s="12">
        <f>IF('Données projet'!$A$114&gt;35,BY81+BX82-CG81,IF(A82&lt;'Données projet'!$A$114,$BV$205^A82,IF(A82='Données projet'!$A$114,'Données projet'!$B$114,BY81+BX82-CG81)))</f>
        <v>262.99999999999994</v>
      </c>
      <c r="BZ82" s="13">
        <f>BY82*VLOOKUP('Données projet'!$B$12,Paramètres!$A$1:$I$89,3,0)*VLOOKUP('Données projet'!$B$12,Paramètres!$A$1:$I$89,5,0)</f>
        <v>266.68199999999996</v>
      </c>
      <c r="CA82" s="13">
        <f t="shared" si="93"/>
        <v>64.144600001897771</v>
      </c>
      <c r="CB82" s="20">
        <f t="shared" si="64"/>
        <v>576.189661669972</v>
      </c>
      <c r="CC82" s="59">
        <f t="shared" si="65"/>
        <v>878.20311027730577</v>
      </c>
      <c r="CD82" s="59">
        <f ca="1">AVERAGE(OFFSET($CC$3,0,0,'Données projet'!$E$12+1,1))-AVERAGE(OFFSET($H$3,0,0,'Données projet'!$E$12+1,1))</f>
        <v>473.09076714002885</v>
      </c>
      <c r="CE82" s="59">
        <f t="shared" si="94"/>
        <v>311.6454557566534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28.379177007416828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28.379177007416828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241.00000000000003</v>
      </c>
      <c r="CU82" s="17">
        <f>CT82*VLOOKUP('Données projet'!$B$13,Paramètres!$A$1:$I$89,3,0)*VLOOKUP('Données projet'!$B$13,Paramètres!$A$1:$I$89,5,0)</f>
        <v>210.53760000000005</v>
      </c>
      <c r="CV82" s="13">
        <f t="shared" si="95"/>
        <v>52.053047337322276</v>
      </c>
      <c r="CW82" s="20">
        <f t="shared" si="67"/>
        <v>457.34537744583628</v>
      </c>
      <c r="CX82" s="59">
        <f t="shared" si="68"/>
        <v>759.35882605317011</v>
      </c>
      <c r="CY82" s="59">
        <f ca="1">AVERAGE(OFFSET($CX$3,0,0,'Données projet'!$E$13+1,1))-AVERAGE(OFFSET($H$3,0,0,'Données projet'!$E$13+1,1))</f>
        <v>379.66247682099424</v>
      </c>
      <c r="CZ82" s="59">
        <f t="shared" si="96"/>
        <v>342.92507939604081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30.959608772296413</v>
      </c>
      <c r="DG82" s="21">
        <f>EXP(-LN(2)/25)*DG81+(1-EXP(-LN(2)/25))/(LN(2)/25)*Calculateur!DB82*Calculateur!DD82*VLOOKUP('Données projet'!$B$13,Paramètres!$A$1:$I$89,3,0)*0.475*44/12</f>
        <v>12.213385485569631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43.172994257866044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7.2</v>
      </c>
      <c r="DO82" s="12">
        <f>IF('Données projet'!$A$166&gt;35,DO81+DN82-DW81,IF(A82&lt;'Données projet'!$A$166,$DL$205^A82,IF(A82='Données projet'!$A$166,'Données projet'!$B$166,DO81+DN82-DW81)))</f>
        <v>312.8</v>
      </c>
      <c r="DP82" s="17">
        <f>DO82*VLOOKUP('Données projet'!$B$14,Paramètres!$A$1:$I$89,3,0)*VLOOKUP('Données projet'!$B$14,Paramètres!$A$1:$I$89,5,0)</f>
        <v>297.66048000000001</v>
      </c>
      <c r="DQ82" s="13">
        <f t="shared" si="97"/>
        <v>70.685786972570611</v>
      </c>
      <c r="DR82" s="20">
        <f t="shared" si="70"/>
        <v>641.53641497722708</v>
      </c>
      <c r="DS82" s="59">
        <f t="shared" si="71"/>
        <v>943.54986358456085</v>
      </c>
      <c r="DT82" s="59">
        <f ca="1">AVERAGE(OFFSET($DS$3,0,0,'Données projet'!$E$14+1,1))-AVERAGE(OFFSET($H$3,0,0,'Données projet'!$E$14+1,1))</f>
        <v>544.64394576312384</v>
      </c>
      <c r="DU82" s="59">
        <f t="shared" si="98"/>
        <v>310.67291035925484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28.186469434383259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28.186469434383259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3.4</v>
      </c>
      <c r="EJ82" s="12">
        <f>IF('Données projet'!$A$192&gt;35,EJ81+EI82-ER81,IF(A82&lt;'Données projet'!$A$192,$EG$205^A82,IF(A82='Données projet'!$A$192,'Données projet'!$B$192,EJ81+EI82-ER81)))</f>
        <v>142.6</v>
      </c>
      <c r="EK82" s="17">
        <f>EJ82*VLOOKUP('Données projet'!$B$15,Paramètres!$A$1:$I$89,3,0)*VLOOKUP('Données projet'!$B$15,Paramètres!$A$1:$I$89,5,0)</f>
        <v>137.92272</v>
      </c>
      <c r="EL82" s="13">
        <f t="shared" si="99"/>
        <v>35.82071658526872</v>
      </c>
      <c r="EM82" s="20">
        <f t="shared" si="73"/>
        <v>302.60315205267631</v>
      </c>
      <c r="EN82" s="59">
        <f t="shared" si="74"/>
        <v>604.61660066001014</v>
      </c>
      <c r="EO82" s="59">
        <f ca="1">AVERAGE(OFFSET($EN$3,0,0,'Données projet'!$E$15+1,1))-AVERAGE(OFFSET($H$3,0,0,'Données projet'!$E$15+1,1))</f>
        <v>276.72865583771579</v>
      </c>
      <c r="EP82" s="59">
        <f t="shared" si="100"/>
        <v>174.3587092851154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10.083613374636474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10.083613374636474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72.367304165636483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4.25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15.583333333333334</v>
      </c>
      <c r="H83" s="67">
        <f t="shared" si="56"/>
        <v>222.56666666666669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341.11752883785607</v>
      </c>
      <c r="T83" s="59">
        <f t="shared" si="88"/>
        <v>423.15445896616234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77.894644574908156</v>
      </c>
      <c r="AA83" s="21">
        <f>EXP(-LN(2)/25)*AA82+(1-EXP(-LN(2)/25))/(LN(2)/25)*Calculateur!V83*Calculateur!X83*VLOOKUP('Données projet'!$B$9,Paramètres!$A$1:$I$89,3,0)*0.475*44/12</f>
        <v>41.831709282549312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119.72635385745747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289.536</v>
      </c>
      <c r="AK83" s="13">
        <f t="shared" si="89"/>
        <v>68.97829509904436</v>
      </c>
      <c r="AL83" s="20">
        <f t="shared" si="58"/>
        <v>624.41239729750225</v>
      </c>
      <c r="AM83" s="59">
        <f t="shared" si="59"/>
        <v>926.76505052371863</v>
      </c>
      <c r="AN83" s="59">
        <f ca="1">AVERAGE(OFFSET($AM$3,0,0,'Données projet'!$E$10+1,1))-AVERAGE(OFFSET($H$3,0,0,'Données projet'!$E$10+1,1))</f>
        <v>521.72266623522626</v>
      </c>
      <c r="AO83" s="59">
        <f t="shared" si="90"/>
        <v>298.49205684341825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33.500371703580399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33.500371703580399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-6.7984728957526396E-14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376.5647919688821</v>
      </c>
      <c r="BJ83" s="59">
        <f t="shared" si="92"/>
        <v>340.34037344565581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147.52426219561067</v>
      </c>
      <c r="BQ83" s="21">
        <f>EXP(-LN(2)/25)*BQ82+(1-EXP(-LN(2)/25))/(LN(2)/25)*Calculateur!BL83*Calculateur!BN83*VLOOKUP('Données projet'!$B$11,Paramètres!$A$1:$I$89,3,0)*0.475*44/12</f>
        <v>69.087009048776665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216.61127124438735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270</v>
      </c>
      <c r="BW83" s="12">
        <f>VLOOKUP(A83,'Données projet'!$A$113:$I$133,9,0)</f>
        <v>7</v>
      </c>
      <c r="BX83" s="12">
        <f t="array" ref="BX83">INDEX(BW:BW,MIN(IF(ISNUMBER(BW83:BW279),ROW(BW83:BW279),"")))</f>
        <v>7</v>
      </c>
      <c r="BY83" s="12">
        <f>IF('Données projet'!$A$114&gt;35,BY82+BX83-CG82,IF(A83&lt;'Données projet'!$A$114,$BV$205^A83,IF(A83='Données projet'!$A$114,'Données projet'!$B$114,BY82+BX83-CG82)))</f>
        <v>269.99999999999994</v>
      </c>
      <c r="BZ83" s="13">
        <f>BY83*VLOOKUP('Données projet'!$B$12,Paramètres!$A$1:$I$89,3,0)*VLOOKUP('Données projet'!$B$12,Paramètres!$A$1:$I$89,5,0)</f>
        <v>273.77999999999997</v>
      </c>
      <c r="CA83" s="13">
        <f t="shared" si="93"/>
        <v>65.650830427167435</v>
      </c>
      <c r="CB83" s="20">
        <f t="shared" si="64"/>
        <v>591.17536299398319</v>
      </c>
      <c r="CC83" s="59">
        <f t="shared" si="65"/>
        <v>893.52801622019956</v>
      </c>
      <c r="CD83" s="59">
        <f ca="1">AVERAGE(OFFSET($CC$3,0,0,'Données projet'!$E$12+1,1))-AVERAGE(OFFSET($H$3,0,0,'Données projet'!$E$12+1,1))</f>
        <v>473.09076714002885</v>
      </c>
      <c r="CE83" s="59">
        <f t="shared" si="94"/>
        <v>311.6454557566534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25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35.052786579149533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35.052786579149533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245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245.00000000000003</v>
      </c>
      <c r="CU83" s="17">
        <f>CT83*VLOOKUP('Données projet'!$B$13,Paramètres!$A$1:$I$89,3,0)*VLOOKUP('Données projet'!$B$13,Paramètres!$A$1:$I$89,5,0)</f>
        <v>214.03200000000004</v>
      </c>
      <c r="CV83" s="13">
        <f t="shared" si="95"/>
        <v>52.815701536972242</v>
      </c>
      <c r="CW83" s="20">
        <f t="shared" si="67"/>
        <v>464.75974684356009</v>
      </c>
      <c r="CX83" s="59">
        <f t="shared" si="68"/>
        <v>767.11240006977653</v>
      </c>
      <c r="CY83" s="59">
        <f ca="1">AVERAGE(OFFSET($CX$3,0,0,'Données projet'!$E$13+1,1))-AVERAGE(OFFSET($H$3,0,0,'Données projet'!$E$13+1,1))</f>
        <v>379.66247682099424</v>
      </c>
      <c r="CZ83" s="59">
        <f t="shared" si="96"/>
        <v>342.92507939604081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15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0.129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34.089919361945583</v>
      </c>
      <c r="DG83" s="21">
        <f>EXP(-LN(2)/25)*DG82+(1-EXP(-LN(2)/25))/(LN(2)/25)*Calculateur!DB83*Calculateur!DD83*VLOOKUP('Données projet'!$B$13,Paramètres!$A$1:$I$89,3,0)*0.475*44/12</f>
        <v>13.740756831384038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47.830676193329623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320</v>
      </c>
      <c r="DM83" s="12">
        <f>VLOOKUP(A83,'Données projet'!$A$165:$I$185,9,0)</f>
        <v>7.2</v>
      </c>
      <c r="DN83" s="12">
        <f t="array" ref="DN83">INDEX(DM:DM,MIN(IF(ISNUMBER(DM83:DM279),ROW(DM83:DM279),"")))</f>
        <v>7.2</v>
      </c>
      <c r="DO83" s="12">
        <f>IF('Données projet'!$A$166&gt;35,DO82+DN83-DW82,IF(A83&lt;'Données projet'!$A$166,$DL$205^A83,IF(A83='Données projet'!$A$166,'Données projet'!$B$166,DO82+DN83-DW82)))</f>
        <v>320</v>
      </c>
      <c r="DP83" s="17">
        <f>DO83*VLOOKUP('Données projet'!$B$14,Paramètres!$A$1:$I$89,3,0)*VLOOKUP('Données projet'!$B$14,Paramètres!$A$1:$I$89,5,0)</f>
        <v>304.512</v>
      </c>
      <c r="DQ83" s="13">
        <f t="shared" si="97"/>
        <v>72.121528618302861</v>
      </c>
      <c r="DR83" s="20">
        <f t="shared" si="70"/>
        <v>655.97006234354421</v>
      </c>
      <c r="DS83" s="59">
        <f t="shared" si="71"/>
        <v>958.3227155697607</v>
      </c>
      <c r="DT83" s="59">
        <f ca="1">AVERAGE(OFFSET($DS$3,0,0,'Données projet'!$E$14+1,1))-AVERAGE(OFFSET($H$3,0,0,'Données projet'!$E$14+1,1))</f>
        <v>544.64394576312384</v>
      </c>
      <c r="DU83" s="59">
        <f t="shared" si="98"/>
        <v>310.67291035925484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28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35.233149550317307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35.233149550317307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146</v>
      </c>
      <c r="EH83" s="12">
        <f>VLOOKUP(A83,'Données projet'!$A$191:$I$211,9,0)</f>
        <v>3.4</v>
      </c>
      <c r="EI83" s="12">
        <f t="array" ref="EI83">INDEX(EH:EH,MIN(IF(ISNUMBER(EH83:EH279),ROW(EH83:EH279),"")))</f>
        <v>3.4</v>
      </c>
      <c r="EJ83" s="12">
        <f>IF('Données projet'!$A$192&gt;35,EJ82+EI83-ER82,IF(A83&lt;'Données projet'!$A$192,$EG$205^A83,IF(A83='Données projet'!$A$192,'Données projet'!$B$192,EJ82+EI83-ER82)))</f>
        <v>146</v>
      </c>
      <c r="EK83" s="17">
        <f>EJ83*VLOOKUP('Données projet'!$B$15,Paramètres!$A$1:$I$89,3,0)*VLOOKUP('Données projet'!$B$15,Paramètres!$A$1:$I$89,5,0)</f>
        <v>141.21119999999999</v>
      </c>
      <c r="EL83" s="13">
        <f t="shared" si="99"/>
        <v>36.574335145278738</v>
      </c>
      <c r="EM83" s="20">
        <f t="shared" si="73"/>
        <v>309.64314037802711</v>
      </c>
      <c r="EN83" s="59">
        <f t="shared" si="74"/>
        <v>611.99579360424354</v>
      </c>
      <c r="EO83" s="59">
        <f ca="1">AVERAGE(OFFSET($EN$3,0,0,'Données projet'!$E$15+1,1))-AVERAGE(OFFSET($H$3,0,0,'Données projet'!$E$15+1,1))</f>
        <v>276.72865583771579</v>
      </c>
      <c r="EP83" s="59">
        <f t="shared" si="100"/>
        <v>174.3587092851154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9</v>
      </c>
      <c r="ES83" s="16">
        <f>IF(ISNA(VLOOKUP(A83,'Données projet'!$A$191:$I$211,5,0)),0%,VLOOKUP(A83,'Données projet'!$A$191:$I$211,5,0)*VLOOKUP('Données projet'!$B$15,Paramètres!$A$1:$I$89,7,0))</f>
        <v>0.25800000000000001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12.368587695174384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12.368587695174384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72.459814516240854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4.25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15.583333333333334</v>
      </c>
      <c r="H84" s="67">
        <f t="shared" si="56"/>
        <v>222.56666666666669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341.11752883785607</v>
      </c>
      <c r="T84" s="59">
        <f t="shared" si="88"/>
        <v>423.15445896616234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76.367178105836075</v>
      </c>
      <c r="AA84" s="21">
        <f>EXP(-LN(2)/25)*AA83+(1-EXP(-LN(2)/25))/(LN(2)/25)*Calculateur!V84*Calculateur!X84*VLOOKUP('Données projet'!$B$9,Paramètres!$A$1:$I$89,3,0)*0.475*44/12</f>
        <v>40.687818992384017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117.0549970982201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3.8</v>
      </c>
      <c r="AI84" s="13">
        <f>IF('Données projet'!$A$62&gt;35,AI83+AH84-AQ83,IF(A84&lt;'Données projet'!$A$62,$AF$205^A84,IF(A84='Données projet'!$A$62,'Données projet'!$B$62,AI83+AH84-AQ83)))</f>
        <v>295.8</v>
      </c>
      <c r="AJ84" s="13">
        <f>AI84*VLOOKUP('Données projet'!$B$10,Paramètres!$A$1:$I$89,3,0)*VLOOKUP('Données projet'!$B$10,Paramètres!$A$1:$I$89,5,0)</f>
        <v>267.63983999999999</v>
      </c>
      <c r="AK84" s="13">
        <f t="shared" si="89"/>
        <v>64.348128113313663</v>
      </c>
      <c r="AL84" s="20">
        <f t="shared" si="58"/>
        <v>578.21237779735463</v>
      </c>
      <c r="AM84" s="59">
        <f t="shared" si="59"/>
        <v>880.89835120066414</v>
      </c>
      <c r="AN84" s="59">
        <f ca="1">AVERAGE(OFFSET($AM$3,0,0,'Données projet'!$E$10+1,1))-AVERAGE(OFFSET($H$3,0,0,'Données projet'!$E$10+1,1))</f>
        <v>521.72266623522626</v>
      </c>
      <c r="AO84" s="59">
        <f t="shared" si="90"/>
        <v>298.49205684341825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32.843449847682315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32.843449847682315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-6.7984728957526396E-14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376.5647919688821</v>
      </c>
      <c r="BJ84" s="59">
        <f t="shared" si="92"/>
        <v>340.34037344565581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144.63140139486981</v>
      </c>
      <c r="BQ84" s="21">
        <f>EXP(-LN(2)/25)*BQ83+(1-EXP(-LN(2)/25))/(LN(2)/25)*Calculateur!BL84*Calculateur!BN84*VLOOKUP('Données projet'!$B$11,Paramètres!$A$1:$I$89,3,0)*0.475*44/12</f>
        <v>67.197821153209958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211.82922254807977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6.8</v>
      </c>
      <c r="BY84" s="12">
        <f>IF('Données projet'!$A$114&gt;35,BY83+BX84-CG83,IF(A84&lt;'Données projet'!$A$114,$BV$205^A84,IF(A84='Données projet'!$A$114,'Données projet'!$B$114,BY83+BX84-CG83)))</f>
        <v>251.79999999999995</v>
      </c>
      <c r="BZ84" s="13">
        <f>BY84*VLOOKUP('Données projet'!$B$12,Paramètres!$A$1:$I$89,3,0)*VLOOKUP('Données projet'!$B$12,Paramètres!$A$1:$I$89,5,0)</f>
        <v>255.3252</v>
      </c>
      <c r="CA84" s="13">
        <f t="shared" si="93"/>
        <v>61.724849714059751</v>
      </c>
      <c r="CB84" s="20">
        <f t="shared" si="64"/>
        <v>552.19550325198736</v>
      </c>
      <c r="CC84" s="59">
        <f t="shared" si="65"/>
        <v>854.88147665529686</v>
      </c>
      <c r="CD84" s="59">
        <f ca="1">AVERAGE(OFFSET($CC$3,0,0,'Données projet'!$E$12+1,1))-AVERAGE(OFFSET($H$3,0,0,'Données projet'!$E$12+1,1))</f>
        <v>473.09076714002885</v>
      </c>
      <c r="CE84" s="59">
        <f t="shared" si="94"/>
        <v>311.6454557566534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34.365422814421116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34.365422814421116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3.6</v>
      </c>
      <c r="CT84" s="12">
        <f>IF('Données projet'!$A$140&gt;35,CT83+CS84-DB83,IF(A84&lt;'Données projet'!$A$140,$CQ$205^A84,IF(A84='Données projet'!$A$140,'Données projet'!$B$140,CT83+CS84-DB83)))</f>
        <v>233.60000000000002</v>
      </c>
      <c r="CU84" s="17">
        <f>CT84*VLOOKUP('Données projet'!$B$13,Paramètres!$A$1:$I$89,3,0)*VLOOKUP('Données projet'!$B$13,Paramètres!$A$1:$I$89,5,0)</f>
        <v>204.07296000000005</v>
      </c>
      <c r="CV84" s="13">
        <f t="shared" si="95"/>
        <v>50.638228095278635</v>
      </c>
      <c r="CW84" s="20">
        <f t="shared" si="67"/>
        <v>443.62198593261041</v>
      </c>
      <c r="CX84" s="59">
        <f t="shared" si="68"/>
        <v>746.30795933592003</v>
      </c>
      <c r="CY84" s="59">
        <f ca="1">AVERAGE(OFFSET($CX$3,0,0,'Données projet'!$E$13+1,1))-AVERAGE(OFFSET($H$3,0,0,'Données projet'!$E$13+1,1))</f>
        <v>379.66247682099424</v>
      </c>
      <c r="CZ84" s="59">
        <f t="shared" si="96"/>
        <v>342.92507939604081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33.42143683605552</v>
      </c>
      <c r="DG84" s="21">
        <f>EXP(-LN(2)/25)*DG83+(1-EXP(-LN(2)/25))/(LN(2)/25)*Calculateur!DB84*Calculateur!DD84*VLOOKUP('Données projet'!$B$13,Paramètres!$A$1:$I$89,3,0)*0.475*44/12</f>
        <v>13.365015113234845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46.786451949290367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3.8</v>
      </c>
      <c r="DO84" s="12">
        <f>IF('Données projet'!$A$166&gt;35,DO83+DN84-DW83,IF(A84&lt;'Données projet'!$A$166,$DL$205^A84,IF(A84='Données projet'!$A$166,'Données projet'!$B$166,DO83+DN84-DW83)))</f>
        <v>295.8</v>
      </c>
      <c r="DP84" s="17">
        <f>DO84*VLOOKUP('Données projet'!$B$14,Paramètres!$A$1:$I$89,3,0)*VLOOKUP('Données projet'!$B$14,Paramètres!$A$1:$I$89,5,0)</f>
        <v>281.48328000000004</v>
      </c>
      <c r="DQ84" s="13">
        <f t="shared" si="97"/>
        <v>67.280372131477449</v>
      </c>
      <c r="DR84" s="20">
        <f t="shared" si="70"/>
        <v>607.43002746232332</v>
      </c>
      <c r="DS84" s="59">
        <f t="shared" si="71"/>
        <v>910.11600086563294</v>
      </c>
      <c r="DT84" s="59">
        <f ca="1">AVERAGE(OFFSET($DS$3,0,0,'Données projet'!$E$14+1,1))-AVERAGE(OFFSET($H$3,0,0,'Données projet'!$E$14+1,1))</f>
        <v>544.64394576312384</v>
      </c>
      <c r="DU84" s="59">
        <f t="shared" si="98"/>
        <v>310.67291035925484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34.542248977734836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34.542248977734836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3</v>
      </c>
      <c r="EJ84" s="12">
        <f>IF('Données projet'!$A$192&gt;35,EJ83+EI84-ER83,IF(A84&lt;'Données projet'!$A$192,$EG$205^A84,IF(A84='Données projet'!$A$192,'Données projet'!$B$192,EJ83+EI84-ER83)))</f>
        <v>140</v>
      </c>
      <c r="EK84" s="17">
        <f>EJ84*VLOOKUP('Données projet'!$B$15,Paramètres!$A$1:$I$89,3,0)*VLOOKUP('Données projet'!$B$15,Paramètres!$A$1:$I$89,5,0)</f>
        <v>135.40799999999999</v>
      </c>
      <c r="EL84" s="13">
        <f t="shared" si="99"/>
        <v>35.243009677478732</v>
      </c>
      <c r="EM84" s="20">
        <f t="shared" si="73"/>
        <v>297.21717518827546</v>
      </c>
      <c r="EN84" s="59">
        <f t="shared" si="74"/>
        <v>599.90314859158502</v>
      </c>
      <c r="EO84" s="59">
        <f ca="1">AVERAGE(OFFSET($EN$3,0,0,'Données projet'!$E$15+1,1))-AVERAGE(OFFSET($H$3,0,0,'Données projet'!$E$15+1,1))</f>
        <v>276.72865583771579</v>
      </c>
      <c r="EP84" s="59">
        <f t="shared" si="100"/>
        <v>174.3587092851154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12.12604723456559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12.12604723456559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72.550720019084423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4.25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15.583333333333334</v>
      </c>
      <c r="H85" s="67">
        <f t="shared" si="56"/>
        <v>222.56666666666669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341.11752883785607</v>
      </c>
      <c r="T85" s="59">
        <f t="shared" si="88"/>
        <v>423.15445896616234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74.869664322559942</v>
      </c>
      <c r="AA85" s="21">
        <f>EXP(-LN(2)/25)*AA84+(1-EXP(-LN(2)/25))/(LN(2)/25)*Calculateur!V85*Calculateur!X85*VLOOKUP('Données projet'!$B$9,Paramètres!$A$1:$I$89,3,0)*0.475*44/12</f>
        <v>39.575208442357869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114.44487276491782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3.8</v>
      </c>
      <c r="AI85" s="13">
        <f>IF('Données projet'!$A$62&gt;35,AI84+AH85-AQ84,IF(A85&lt;'Données projet'!$A$62,$AF$205^A85,IF(A85='Données projet'!$A$62,'Données projet'!$B$62,AI84+AH85-AQ84)))</f>
        <v>299.60000000000002</v>
      </c>
      <c r="AJ85" s="13">
        <f>AI85*VLOOKUP('Données projet'!$B$10,Paramètres!$A$1:$I$89,3,0)*VLOOKUP('Données projet'!$B$10,Paramètres!$A$1:$I$89,5,0)</f>
        <v>271.07808</v>
      </c>
      <c r="AK85" s="13">
        <f t="shared" si="89"/>
        <v>65.078011982620964</v>
      </c>
      <c r="AL85" s="20">
        <f t="shared" si="58"/>
        <v>585.47186020306481</v>
      </c>
      <c r="AM85" s="59">
        <f t="shared" si="59"/>
        <v>888.48537142358714</v>
      </c>
      <c r="AN85" s="59">
        <f ca="1">AVERAGE(OFFSET($AM$3,0,0,'Données projet'!$E$10+1,1))-AVERAGE(OFFSET($H$3,0,0,'Données projet'!$E$10+1,1))</f>
        <v>521.72266623522626</v>
      </c>
      <c r="AO85" s="59">
        <f t="shared" si="90"/>
        <v>298.49205684341825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32.199409828695622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32.199409828695622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-6.7984728957526396E-14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376.5647919688821</v>
      </c>
      <c r="BJ85" s="59">
        <f t="shared" si="92"/>
        <v>340.34037344565581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141.79526782996061</v>
      </c>
      <c r="BQ85" s="21">
        <f>EXP(-LN(2)/25)*BQ84+(1-EXP(-LN(2)/25))/(LN(2)/25)*Calculateur!BL85*Calculateur!BN85*VLOOKUP('Données projet'!$B$11,Paramètres!$A$1:$I$89,3,0)*0.475*44/12</f>
        <v>65.360293199995596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207.1555610299562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6.8</v>
      </c>
      <c r="BY85" s="12">
        <f>IF('Données projet'!$A$114&gt;35,BY84+BX85-CG84,IF(A85&lt;'Données projet'!$A$114,$BV$205^A85,IF(A85='Données projet'!$A$114,'Données projet'!$B$114,BY84+BX85-CG84)))</f>
        <v>258.59999999999997</v>
      </c>
      <c r="BZ85" s="13">
        <f>BY85*VLOOKUP('Données projet'!$B$12,Paramètres!$A$1:$I$89,3,0)*VLOOKUP('Données projet'!$B$12,Paramètres!$A$1:$I$89,5,0)</f>
        <v>262.22039999999998</v>
      </c>
      <c r="CA85" s="13">
        <f t="shared" si="93"/>
        <v>63.195443008884048</v>
      </c>
      <c r="CB85" s="20">
        <f t="shared" si="64"/>
        <v>566.76592657380638</v>
      </c>
      <c r="CC85" s="59">
        <f t="shared" si="65"/>
        <v>869.77943779432871</v>
      </c>
      <c r="CD85" s="59">
        <f ca="1">AVERAGE(OFFSET($CC$3,0,0,'Données projet'!$E$12+1,1))-AVERAGE(OFFSET($H$3,0,0,'Données projet'!$E$12+1,1))</f>
        <v>473.09076714002885</v>
      </c>
      <c r="CE85" s="59">
        <f t="shared" si="94"/>
        <v>311.6454557566534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33.691537833868523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33.691537833868523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3.6</v>
      </c>
      <c r="CT85" s="12">
        <f>IF('Données projet'!$A$140&gt;35,CT84+CS85-DB84,IF(A85&lt;'Données projet'!$A$140,$CQ$205^A85,IF(A85='Données projet'!$A$140,'Données projet'!$B$140,CT84+CS85-DB84)))</f>
        <v>237.20000000000002</v>
      </c>
      <c r="CU85" s="17">
        <f>CT85*VLOOKUP('Données projet'!$B$13,Paramètres!$A$1:$I$89,3,0)*VLOOKUP('Données projet'!$B$13,Paramètres!$A$1:$I$89,5,0)</f>
        <v>207.21792000000005</v>
      </c>
      <c r="CV85" s="13">
        <f t="shared" si="95"/>
        <v>51.327160141561521</v>
      </c>
      <c r="CW85" s="20">
        <f t="shared" si="67"/>
        <v>450.29934791321972</v>
      </c>
      <c r="CX85" s="59">
        <f t="shared" si="68"/>
        <v>753.31285913374199</v>
      </c>
      <c r="CY85" s="59">
        <f ca="1">AVERAGE(OFFSET($CX$3,0,0,'Données projet'!$E$13+1,1))-AVERAGE(OFFSET($H$3,0,0,'Données projet'!$E$13+1,1))</f>
        <v>379.66247682099424</v>
      </c>
      <c r="CZ85" s="59">
        <f t="shared" si="96"/>
        <v>342.92507939604081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32.766062844764086</v>
      </c>
      <c r="DG85" s="21">
        <f>EXP(-LN(2)/25)*DG84+(1-EXP(-LN(2)/25))/(LN(2)/25)*Calculateur!DB85*Calculateur!DD85*VLOOKUP('Données projet'!$B$13,Paramètres!$A$1:$I$89,3,0)*0.475*44/12</f>
        <v>12.99954807212784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45.76561091689193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3.8</v>
      </c>
      <c r="DO85" s="12">
        <f>IF('Données projet'!$A$166&gt;35,DO84+DN85-DW84,IF(A85&lt;'Données projet'!$A$166,$DL$205^A85,IF(A85='Données projet'!$A$166,'Données projet'!$B$166,DO84+DN85-DW84)))</f>
        <v>299.60000000000002</v>
      </c>
      <c r="DP85" s="17">
        <f>DO85*VLOOKUP('Données projet'!$B$14,Paramètres!$A$1:$I$89,3,0)*VLOOKUP('Données projet'!$B$14,Paramètres!$A$1:$I$89,5,0)</f>
        <v>285.09935999999999</v>
      </c>
      <c r="DQ85" s="13">
        <f t="shared" si="97"/>
        <v>68.043515672394108</v>
      </c>
      <c r="DR85" s="20">
        <f t="shared" si="70"/>
        <v>615.05717512941965</v>
      </c>
      <c r="DS85" s="59">
        <f t="shared" si="71"/>
        <v>918.07068634994198</v>
      </c>
      <c r="DT85" s="59">
        <f ca="1">AVERAGE(OFFSET($DS$3,0,0,'Données projet'!$E$14+1,1))-AVERAGE(OFFSET($H$3,0,0,'Données projet'!$E$14+1,1))</f>
        <v>544.64394576312384</v>
      </c>
      <c r="DU85" s="59">
        <f t="shared" si="98"/>
        <v>310.67291035925484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33.864896543972975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33.864896543972975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</v>
      </c>
      <c r="EJ85" s="12">
        <f>IF('Données projet'!$A$192&gt;35,EJ84+EI85-ER84,IF(A85&lt;'Données projet'!$A$192,$EG$205^A85,IF(A85='Données projet'!$A$192,'Données projet'!$B$192,EJ84+EI85-ER84)))</f>
        <v>143</v>
      </c>
      <c r="EK85" s="17">
        <f>EJ85*VLOOKUP('Données projet'!$B$15,Paramètres!$A$1:$I$89,3,0)*VLOOKUP('Données projet'!$B$15,Paramètres!$A$1:$I$89,5,0)</f>
        <v>138.30959999999999</v>
      </c>
      <c r="EL85" s="13">
        <f t="shared" si="99"/>
        <v>35.909485234307901</v>
      </c>
      <c r="EM85" s="20">
        <f t="shared" si="73"/>
        <v>303.43157344975288</v>
      </c>
      <c r="EN85" s="59">
        <f t="shared" si="74"/>
        <v>606.44508467027526</v>
      </c>
      <c r="EO85" s="59">
        <f ca="1">AVERAGE(OFFSET($EN$3,0,0,'Données projet'!$E$15+1,1))-AVERAGE(OFFSET($H$3,0,0,'Données projet'!$E$15+1,1))</f>
        <v>276.72865583771579</v>
      </c>
      <c r="EP85" s="59">
        <f t="shared" si="100"/>
        <v>174.3587092851154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11.888262844454262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11.888262844454262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72.640048514687905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4.25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15.583333333333334</v>
      </c>
      <c r="H86" s="67">
        <f t="shared" si="56"/>
        <v>222.56666666666669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341.11752883785607</v>
      </c>
      <c r="T86" s="59">
        <f t="shared" si="88"/>
        <v>423.15445896616234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73.401515871180635</v>
      </c>
      <c r="AA86" s="21">
        <f>EXP(-LN(2)/25)*AA85+(1-EXP(-LN(2)/25))/(LN(2)/25)*Calculateur!V86*Calculateur!X86*VLOOKUP('Données projet'!$B$9,Paramètres!$A$1:$I$89,3,0)*0.475*44/12</f>
        <v>38.493022286331829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111.89453815751247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3.8</v>
      </c>
      <c r="AI86" s="13">
        <f>IF('Données projet'!$A$62&gt;35,AI85+AH86-AQ85,IF(A86&lt;'Données projet'!$A$62,$AF$205^A86,IF(A86='Données projet'!$A$62,'Données projet'!$B$62,AI85+AH86-AQ85)))</f>
        <v>303.40000000000003</v>
      </c>
      <c r="AJ86" s="13">
        <f>AI86*VLOOKUP('Données projet'!$B$10,Paramètres!$A$1:$I$89,3,0)*VLOOKUP('Données projet'!$B$10,Paramètres!$A$1:$I$89,5,0)</f>
        <v>274.51632000000001</v>
      </c>
      <c r="AK86" s="13">
        <f t="shared" si="89"/>
        <v>65.80681903890995</v>
      </c>
      <c r="AL86" s="20">
        <f t="shared" si="58"/>
        <v>592.72946715943488</v>
      </c>
      <c r="AM86" s="59">
        <f t="shared" si="59"/>
        <v>896.0648341483062</v>
      </c>
      <c r="AN86" s="59">
        <f ca="1">AVERAGE(OFFSET($AM$3,0,0,'Données projet'!$E$10+1,1))-AVERAGE(OFFSET($H$3,0,0,'Données projet'!$E$10+1,1))</f>
        <v>521.72266623522626</v>
      </c>
      <c r="AO86" s="59">
        <f t="shared" si="90"/>
        <v>298.49205684341825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31.567999041655636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31.567999041655636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-6.7984728957526396E-14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376.5647919688821</v>
      </c>
      <c r="BJ86" s="59">
        <f t="shared" si="92"/>
        <v>340.34037344565581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139.01474911438862</v>
      </c>
      <c r="BQ86" s="21">
        <f>EXP(-LN(2)/25)*BQ85+(1-EXP(-LN(2)/25))/(LN(2)/25)*Calculateur!BL86*Calculateur!BN86*VLOOKUP('Données projet'!$B$11,Paramètres!$A$1:$I$89,3,0)*0.475*44/12</f>
        <v>63.573012545293281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202.58776165968192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6.8</v>
      </c>
      <c r="BY86" s="12">
        <f>IF('Données projet'!$A$114&gt;35,BY85+BX86-CG85,IF(A86&lt;'Données projet'!$A$114,$BV$205^A86,IF(A86='Données projet'!$A$114,'Données projet'!$B$114,BY85+BX86-CG85)))</f>
        <v>265.39999999999998</v>
      </c>
      <c r="BZ86" s="13">
        <f>BY86*VLOOKUP('Données projet'!$B$12,Paramètres!$A$1:$I$89,3,0)*VLOOKUP('Données projet'!$B$12,Paramètres!$A$1:$I$89,5,0)</f>
        <v>269.11559999999997</v>
      </c>
      <c r="CA86" s="13">
        <f t="shared" si="93"/>
        <v>64.661541462287133</v>
      </c>
      <c r="CB86" s="20">
        <f t="shared" si="64"/>
        <v>581.32852138014994</v>
      </c>
      <c r="CC86" s="59">
        <f t="shared" si="65"/>
        <v>884.66388836902127</v>
      </c>
      <c r="CD86" s="59">
        <f ca="1">AVERAGE(OFFSET($CC$3,0,0,'Données projet'!$E$12+1,1))-AVERAGE(OFFSET($H$3,0,0,'Données projet'!$E$12+1,1))</f>
        <v>473.09076714002885</v>
      </c>
      <c r="CE86" s="59">
        <f t="shared" si="94"/>
        <v>311.6454557566534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33.030867326755313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33.030867326755313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3.6</v>
      </c>
      <c r="CT86" s="12">
        <f>IF('Données projet'!$A$140&gt;35,CT85+CS86-DB85,IF(A86&lt;'Données projet'!$A$140,$CQ$205^A86,IF(A86='Données projet'!$A$140,'Données projet'!$B$140,CT85+CS86-DB85)))</f>
        <v>240.8</v>
      </c>
      <c r="CU86" s="17">
        <f>CT86*VLOOKUP('Données projet'!$B$13,Paramètres!$A$1:$I$89,3,0)*VLOOKUP('Données projet'!$B$13,Paramètres!$A$1:$I$89,5,0)</f>
        <v>210.36288000000002</v>
      </c>
      <c r="CV86" s="13">
        <f t="shared" si="95"/>
        <v>52.014876138342963</v>
      </c>
      <c r="CW86" s="20">
        <f t="shared" si="67"/>
        <v>456.97459194094728</v>
      </c>
      <c r="CX86" s="59">
        <f t="shared" si="68"/>
        <v>760.30995892981855</v>
      </c>
      <c r="CY86" s="59">
        <f ca="1">AVERAGE(OFFSET($CX$3,0,0,'Données projet'!$E$13+1,1))-AVERAGE(OFFSET($H$3,0,0,'Données projet'!$E$13+1,1))</f>
        <v>379.66247682099424</v>
      </c>
      <c r="CZ86" s="59">
        <f t="shared" si="96"/>
        <v>342.92507939604081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32.123540337703211</v>
      </c>
      <c r="DG86" s="21">
        <f>EXP(-LN(2)/25)*DG85+(1-EXP(-LN(2)/25))/(LN(2)/25)*Calculateur!DB86*Calculateur!DD86*VLOOKUP('Données projet'!$B$13,Paramètres!$A$1:$I$89,3,0)*0.475*44/12</f>
        <v>12.644074746478982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44.767615084182196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3.8</v>
      </c>
      <c r="DO86" s="12">
        <f>IF('Données projet'!$A$166&gt;35,DO85+DN86-DW85,IF(A86&lt;'Données projet'!$A$166,$DL$205^A86,IF(A86='Données projet'!$A$166,'Données projet'!$B$166,DO85+DN86-DW85)))</f>
        <v>303.40000000000003</v>
      </c>
      <c r="DP86" s="17">
        <f>DO86*VLOOKUP('Données projet'!$B$14,Paramètres!$A$1:$I$89,3,0)*VLOOKUP('Données projet'!$B$14,Paramètres!$A$1:$I$89,5,0)</f>
        <v>288.71544</v>
      </c>
      <c r="DQ86" s="13">
        <f t="shared" si="97"/>
        <v>68.805533331599705</v>
      </c>
      <c r="DR86" s="20">
        <f t="shared" si="70"/>
        <v>622.68236188586945</v>
      </c>
      <c r="DS86" s="59">
        <f t="shared" si="71"/>
        <v>926.01772887474078</v>
      </c>
      <c r="DT86" s="59">
        <f ca="1">AVERAGE(OFFSET($DS$3,0,0,'Données projet'!$E$14+1,1))-AVERAGE(OFFSET($H$3,0,0,'Données projet'!$E$14+1,1))</f>
        <v>544.64394576312384</v>
      </c>
      <c r="DU86" s="59">
        <f t="shared" si="98"/>
        <v>310.67291035925484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33.20082657829299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33.20082657829299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</v>
      </c>
      <c r="EJ86" s="12">
        <f>IF('Données projet'!$A$192&gt;35,EJ85+EI86-ER85,IF(A86&lt;'Données projet'!$A$192,$EG$205^A86,IF(A86='Données projet'!$A$192,'Données projet'!$B$192,EJ85+EI86-ER85)))</f>
        <v>146</v>
      </c>
      <c r="EK86" s="17">
        <f>EJ86*VLOOKUP('Données projet'!$B$15,Paramètres!$A$1:$I$89,3,0)*VLOOKUP('Données projet'!$B$15,Paramètres!$A$1:$I$89,5,0)</f>
        <v>141.21119999999999</v>
      </c>
      <c r="EL86" s="13">
        <f t="shared" si="99"/>
        <v>36.574335145278738</v>
      </c>
      <c r="EM86" s="20">
        <f t="shared" si="73"/>
        <v>309.64314037802711</v>
      </c>
      <c r="EN86" s="59">
        <f t="shared" si="74"/>
        <v>612.97850736689838</v>
      </c>
      <c r="EO86" s="59">
        <f ca="1">AVERAGE(OFFSET($EN$3,0,0,'Données projet'!$E$15+1,1))-AVERAGE(OFFSET($H$3,0,0,'Données projet'!$E$15+1,1))</f>
        <v>276.72865583771579</v>
      </c>
      <c r="EP86" s="59">
        <f t="shared" si="100"/>
        <v>174.3587092851154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11.65514126119886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11.65514126119886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72.727827360601268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4.25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15.583333333333334</v>
      </c>
      <c r="H87" s="67">
        <f t="shared" si="56"/>
        <v>222.56666666666669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341.11752883785607</v>
      </c>
      <c r="T87" s="59">
        <f t="shared" si="88"/>
        <v>423.15445896616234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71.962156915450748</v>
      </c>
      <c r="AA87" s="21">
        <f>EXP(-LN(2)/25)*AA86+(1-EXP(-LN(2)/25))/(LN(2)/25)*Calculateur!V87*Calculateur!X87*VLOOKUP('Données projet'!$B$9,Paramètres!$A$1:$I$89,3,0)*0.475*44/12</f>
        <v>37.44042856765202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109.40258548310277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3.8</v>
      </c>
      <c r="AI87" s="13">
        <f>IF('Données projet'!$A$62&gt;35,AI86+AH87-AQ86,IF(A87&lt;'Données projet'!$A$62,$AF$205^A87,IF(A87='Données projet'!$A$62,'Données projet'!$B$62,AI86+AH87-AQ86)))</f>
        <v>307.20000000000005</v>
      </c>
      <c r="AJ87" s="13">
        <f>AI87*VLOOKUP('Données projet'!$B$10,Paramètres!$A$1:$I$89,3,0)*VLOOKUP('Données projet'!$B$10,Paramètres!$A$1:$I$89,5,0)</f>
        <v>277.95456000000001</v>
      </c>
      <c r="AK87" s="13">
        <f t="shared" si="89"/>
        <v>66.534564328644635</v>
      </c>
      <c r="AL87" s="20">
        <f t="shared" si="58"/>
        <v>599.98522487238938</v>
      </c>
      <c r="AM87" s="59">
        <f t="shared" si="59"/>
        <v>903.63686415159054</v>
      </c>
      <c r="AN87" s="59">
        <f ca="1">AVERAGE(OFFSET($AM$3,0,0,'Données projet'!$E$10+1,1))-AVERAGE(OFFSET($H$3,0,0,'Données projet'!$E$10+1,1))</f>
        <v>521.72266623522626</v>
      </c>
      <c r="AO87" s="59">
        <f t="shared" si="90"/>
        <v>298.49205684341825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30.948969835026954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30.948969835026954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-6.7984728957526396E-14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376.5647919688821</v>
      </c>
      <c r="BJ87" s="59">
        <f t="shared" si="92"/>
        <v>340.34037344565581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136.28875467488004</v>
      </c>
      <c r="BQ87" s="21">
        <f>EXP(-LN(2)/25)*BQ86+(1-EXP(-LN(2)/25))/(LN(2)/25)*Calculateur!BL87*Calculateur!BN87*VLOOKUP('Données projet'!$B$11,Paramètres!$A$1:$I$89,3,0)*0.475*44/12</f>
        <v>61.834605174082803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198.12335984896285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6.8</v>
      </c>
      <c r="BY87" s="12">
        <f>IF('Données projet'!$A$114&gt;35,BY86+BX87-CG86,IF(A87&lt;'Données projet'!$A$114,$BV$205^A87,IF(A87='Données projet'!$A$114,'Données projet'!$B$114,BY86+BX87-CG86)))</f>
        <v>272.2</v>
      </c>
      <c r="BZ87" s="13">
        <f>BY87*VLOOKUP('Données projet'!$B$12,Paramètres!$A$1:$I$89,3,0)*VLOOKUP('Données projet'!$B$12,Paramètres!$A$1:$I$89,5,0)</f>
        <v>276.01080000000002</v>
      </c>
      <c r="CA87" s="13">
        <f t="shared" si="93"/>
        <v>66.123273481923022</v>
      </c>
      <c r="CB87" s="20">
        <f t="shared" si="64"/>
        <v>595.88351131434922</v>
      </c>
      <c r="CC87" s="59">
        <f t="shared" si="65"/>
        <v>899.53515059355027</v>
      </c>
      <c r="CD87" s="59">
        <f ca="1">AVERAGE(OFFSET($CC$3,0,0,'Données projet'!$E$12+1,1))-AVERAGE(OFFSET($H$3,0,0,'Données projet'!$E$12+1,1))</f>
        <v>473.09076714002885</v>
      </c>
      <c r="CE87" s="59">
        <f t="shared" si="94"/>
        <v>311.6454557566534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32.383152165317377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32.383152165317377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3.6</v>
      </c>
      <c r="CT87" s="12">
        <f>IF('Données projet'!$A$140&gt;35,CT86+CS87-DB86,IF(A87&lt;'Données projet'!$A$140,$CQ$205^A87,IF(A87='Données projet'!$A$140,'Données projet'!$B$140,CT86+CS87-DB86)))</f>
        <v>244.4</v>
      </c>
      <c r="CU87" s="17">
        <f>CT87*VLOOKUP('Données projet'!$B$13,Paramètres!$A$1:$I$89,3,0)*VLOOKUP('Données projet'!$B$13,Paramètres!$A$1:$I$89,5,0)</f>
        <v>213.50784000000002</v>
      </c>
      <c r="CV87" s="13">
        <f t="shared" si="95"/>
        <v>52.701396365805124</v>
      </c>
      <c r="CW87" s="20">
        <f t="shared" si="67"/>
        <v>463.6477533371106</v>
      </c>
      <c r="CX87" s="59">
        <f t="shared" si="68"/>
        <v>767.29939261631171</v>
      </c>
      <c r="CY87" s="59">
        <f ca="1">AVERAGE(OFFSET($CX$3,0,0,'Données projet'!$E$13+1,1))-AVERAGE(OFFSET($H$3,0,0,'Données projet'!$E$13+1,1))</f>
        <v>379.66247682099424</v>
      </c>
      <c r="CZ87" s="59">
        <f t="shared" si="96"/>
        <v>342.92507939604081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31.493617305105769</v>
      </c>
      <c r="DG87" s="21">
        <f>EXP(-LN(2)/25)*DG86+(1-EXP(-LN(2)/25))/(LN(2)/25)*Calculateur!DB87*Calculateur!DD87*VLOOKUP('Données projet'!$B$13,Paramètres!$A$1:$I$89,3,0)*0.475*44/12</f>
        <v>12.298321857613521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43.791939162719288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3.8</v>
      </c>
      <c r="DO87" s="12">
        <f>IF('Données projet'!$A$166&gt;35,DO86+DN87-DW86,IF(A87&lt;'Données projet'!$A$166,$DL$205^A87,IF(A87='Données projet'!$A$166,'Données projet'!$B$166,DO86+DN87-DW86)))</f>
        <v>307.20000000000005</v>
      </c>
      <c r="DP87" s="17">
        <f>DO87*VLOOKUP('Données projet'!$B$14,Paramètres!$A$1:$I$89,3,0)*VLOOKUP('Données projet'!$B$14,Paramètres!$A$1:$I$89,5,0)</f>
        <v>292.33152000000007</v>
      </c>
      <c r="DQ87" s="13">
        <f t="shared" si="97"/>
        <v>69.566440841202208</v>
      </c>
      <c r="DR87" s="20">
        <f t="shared" si="70"/>
        <v>630.30561513176065</v>
      </c>
      <c r="DS87" s="59">
        <f t="shared" si="71"/>
        <v>933.9572544109617</v>
      </c>
      <c r="DT87" s="59">
        <f ca="1">AVERAGE(OFFSET($DS$3,0,0,'Données projet'!$E$14+1,1))-AVERAGE(OFFSET($H$3,0,0,'Données projet'!$E$14+1,1))</f>
        <v>544.64394576312384</v>
      </c>
      <c r="DU87" s="59">
        <f t="shared" si="98"/>
        <v>310.67291035925484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32.549778619597305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32.549778619597305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</v>
      </c>
      <c r="EJ87" s="12">
        <f>IF('Données projet'!$A$192&gt;35,EJ86+EI87-ER86,IF(A87&lt;'Données projet'!$A$192,$EG$205^A87,IF(A87='Données projet'!$A$192,'Données projet'!$B$192,EJ86+EI87-ER86)))</f>
        <v>149</v>
      </c>
      <c r="EK87" s="17">
        <f>EJ87*VLOOKUP('Données projet'!$B$15,Paramètres!$A$1:$I$89,3,0)*VLOOKUP('Données projet'!$B$15,Paramètres!$A$1:$I$89,5,0)</f>
        <v>144.11279999999999</v>
      </c>
      <c r="EL87" s="13">
        <f t="shared" si="99"/>
        <v>37.237596662992502</v>
      </c>
      <c r="EM87" s="20">
        <f t="shared" si="73"/>
        <v>315.85194085471193</v>
      </c>
      <c r="EN87" s="59">
        <f t="shared" si="74"/>
        <v>619.50358013391303</v>
      </c>
      <c r="EO87" s="59">
        <f ca="1">AVERAGE(OFFSET($EN$3,0,0,'Données projet'!$E$15+1,1))-AVERAGE(OFFSET($H$3,0,0,'Données projet'!$E$15+1,1))</f>
        <v>276.72865583771579</v>
      </c>
      <c r="EP87" s="59">
        <f t="shared" si="100"/>
        <v>174.3587092851154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11.426591050000971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11.426591050000971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72.814083439782124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4.25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15.583333333333334</v>
      </c>
      <c r="H88" s="67">
        <f t="shared" si="56"/>
        <v>222.56666666666669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341.11752883785607</v>
      </c>
      <c r="T88" s="59">
        <f t="shared" si="88"/>
        <v>423.15445896616234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70.551022910920452</v>
      </c>
      <c r="AA88" s="21">
        <f>EXP(-LN(2)/25)*AA87+(1-EXP(-LN(2)/25))/(LN(2)/25)*Calculateur!V88*Calculateur!X88*VLOOKUP('Données projet'!$B$9,Paramètres!$A$1:$I$89,3,0)*0.475*44/12</f>
        <v>36.416618079563008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106.96764099048346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3.8</v>
      </c>
      <c r="AI88" s="13">
        <f>IF('Données projet'!$A$62&gt;35,AI87+AH88-AQ87,IF(A88&lt;'Données projet'!$A$62,$AF$205^A88,IF(A88='Données projet'!$A$62,'Données projet'!$B$62,AI87+AH88-AQ87)))</f>
        <v>311.00000000000006</v>
      </c>
      <c r="AJ88" s="13">
        <f>AI88*VLOOKUP('Données projet'!$B$10,Paramètres!$A$1:$I$89,3,0)*VLOOKUP('Données projet'!$B$10,Paramètres!$A$1:$I$89,5,0)</f>
        <v>281.39280000000002</v>
      </c>
      <c r="AK88" s="13">
        <f t="shared" si="89"/>
        <v>67.261262504634715</v>
      </c>
      <c r="AL88" s="20">
        <f t="shared" si="58"/>
        <v>607.23915886223881</v>
      </c>
      <c r="AM88" s="59">
        <f t="shared" si="59"/>
        <v>911.20158381461147</v>
      </c>
      <c r="AN88" s="59">
        <f ca="1">AVERAGE(OFFSET($AM$3,0,0,'Données projet'!$E$10+1,1))-AVERAGE(OFFSET($H$3,0,0,'Données projet'!$E$10+1,1))</f>
        <v>521.72266623522626</v>
      </c>
      <c r="AO88" s="59">
        <f t="shared" si="90"/>
        <v>298.49205684341825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30.342079413569724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30.342079413569724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-6.7984728957526396E-14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376.5647919688821</v>
      </c>
      <c r="BJ88" s="59">
        <f t="shared" si="92"/>
        <v>340.34037344565581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133.61621532363779</v>
      </c>
      <c r="BQ88" s="21">
        <f>EXP(-LN(2)/25)*BQ87+(1-EXP(-LN(2)/25))/(LN(2)/25)*Calculateur!BL88*Calculateur!BN88*VLOOKUP('Données projet'!$B$11,Paramètres!$A$1:$I$89,3,0)*0.475*44/12</f>
        <v>60.143734643856945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193.75994996749472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279</v>
      </c>
      <c r="BW88" s="12">
        <f>VLOOKUP(A88,'Données projet'!$A$113:$I$133,9,0)</f>
        <v>6.8</v>
      </c>
      <c r="BX88" s="12">
        <f t="array" ref="BX88">INDEX(BW:BW,MIN(IF(ISNUMBER(BW88:BW284),ROW(BW88:BW284),"")))</f>
        <v>6.8</v>
      </c>
      <c r="BY88" s="12">
        <f>IF('Données projet'!$A$114&gt;35,BY87+BX88-CG87,IF(A88&lt;'Données projet'!$A$114,$BV$205^A88,IF(A88='Données projet'!$A$114,'Données projet'!$B$114,BY87+BX88-CG87)))</f>
        <v>279</v>
      </c>
      <c r="BZ88" s="13">
        <f>BY88*VLOOKUP('Données projet'!$B$12,Paramètres!$A$1:$I$89,3,0)*VLOOKUP('Données projet'!$B$12,Paramètres!$A$1:$I$89,5,0)</f>
        <v>282.90600000000001</v>
      </c>
      <c r="CA88" s="13">
        <f t="shared" si="93"/>
        <v>67.580760694123512</v>
      </c>
      <c r="CB88" s="20">
        <f t="shared" si="64"/>
        <v>610.43110820893173</v>
      </c>
      <c r="CC88" s="59">
        <f t="shared" si="65"/>
        <v>914.39353316130428</v>
      </c>
      <c r="CD88" s="59">
        <f ca="1">AVERAGE(OFFSET($CC$3,0,0,'Données projet'!$E$12+1,1))-AVERAGE(OFFSET($H$3,0,0,'Données projet'!$E$12+1,1))</f>
        <v>473.09076714002885</v>
      </c>
      <c r="CE88" s="59">
        <f t="shared" si="94"/>
        <v>311.6454557566534</v>
      </c>
      <c r="CF88" s="15">
        <f>IF(ISNA(VLOOKUP(A88,'Données projet'!$A$113:$I$133,3,0)),0,VLOOKUP(A88,'Données projet'!$A$113:$I$133,3,0))</f>
        <v>15</v>
      </c>
      <c r="CG88" s="15">
        <f>IF(ISNA(VLOOKUP(A88,'Données projet'!$A$113:$I$133,4,0)),0,VLOOKUP(A88,'Données projet'!$A$113:$I$133,4,0))</f>
        <v>24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38.689041909456975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38.689041909456975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248</v>
      </c>
      <c r="CR88" s="12">
        <f>VLOOKUP(A88,'Données projet'!$A$139:$I$159,9,0)</f>
        <v>3.6</v>
      </c>
      <c r="CS88" s="12">
        <f t="array" ref="CS88">INDEX(CR:CR,MIN(IF(ISNUMBER(CR88:CR284),ROW(CR88:CR284),"")))</f>
        <v>3.6</v>
      </c>
      <c r="CT88" s="12">
        <f>IF('Données projet'!$A$140&gt;35,CT87+CS88-DB87,IF(A88&lt;'Données projet'!$A$140,$CQ$205^A88,IF(A88='Données projet'!$A$140,'Données projet'!$B$140,CT87+CS88-DB87)))</f>
        <v>248</v>
      </c>
      <c r="CU88" s="17">
        <f>CT88*VLOOKUP('Données projet'!$B$13,Paramètres!$A$1:$I$89,3,0)*VLOOKUP('Données projet'!$B$13,Paramètres!$A$1:$I$89,5,0)</f>
        <v>216.65280000000004</v>
      </c>
      <c r="CV88" s="13">
        <f t="shared" si="95"/>
        <v>53.38674047237982</v>
      </c>
      <c r="CW88" s="20">
        <f t="shared" si="67"/>
        <v>470.3188663227283</v>
      </c>
      <c r="CX88" s="59">
        <f t="shared" si="68"/>
        <v>774.2812912751009</v>
      </c>
      <c r="CY88" s="59">
        <f ca="1">AVERAGE(OFFSET($CX$3,0,0,'Données projet'!$E$13+1,1))-AVERAGE(OFFSET($H$3,0,0,'Données projet'!$E$13+1,1))</f>
        <v>379.66247682099424</v>
      </c>
      <c r="CZ88" s="59">
        <f t="shared" si="96"/>
        <v>342.92507939604081</v>
      </c>
      <c r="DA88" s="15">
        <f>IF(ISNA(VLOOKUP(A88,'Données projet'!$A$139:$I$159,3,0)),0,VLOOKUP(A88,'Données projet'!$A$139:$I$159,3,0))</f>
        <v>16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0.129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34.364295670861118</v>
      </c>
      <c r="DG88" s="21">
        <f>EXP(-LN(2)/25)*DG87+(1-EXP(-LN(2)/25))/(LN(2)/25)*Calculateur!DB88*Calculateur!DD88*VLOOKUP('Données projet'!$B$13,Paramètres!$A$1:$I$89,3,0)*0.475*44/12</f>
        <v>13.699280812921687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48.063576483782803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3.8</v>
      </c>
      <c r="DO88" s="12">
        <f>IF('Données projet'!$A$166&gt;35,DO87+DN88-DW87,IF(A88&lt;'Données projet'!$A$166,$DL$205^A88,IF(A88='Données projet'!$A$166,'Données projet'!$B$166,DO87+DN88-DW87)))</f>
        <v>311.00000000000006</v>
      </c>
      <c r="DP88" s="17">
        <f>DO88*VLOOKUP('Données projet'!$B$14,Paramètres!$A$1:$I$89,3,0)*VLOOKUP('Données projet'!$B$14,Paramètres!$A$1:$I$89,5,0)</f>
        <v>295.94760000000008</v>
      </c>
      <c r="DQ88" s="13">
        <f t="shared" si="97"/>
        <v>70.326253521716808</v>
      </c>
      <c r="DR88" s="20">
        <f t="shared" si="70"/>
        <v>637.92696155032354</v>
      </c>
      <c r="DS88" s="59">
        <f t="shared" si="71"/>
        <v>941.8893865026962</v>
      </c>
      <c r="DT88" s="59">
        <f ca="1">AVERAGE(OFFSET($DS$3,0,0,'Données projet'!$E$14+1,1))-AVERAGE(OFFSET($H$3,0,0,'Données projet'!$E$14+1,1))</f>
        <v>544.64394576312384</v>
      </c>
      <c r="DU88" s="59">
        <f t="shared" si="98"/>
        <v>310.67291035925484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31.9114973142716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31.9114973142716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152</v>
      </c>
      <c r="EH88" s="12">
        <f>VLOOKUP(A88,'Données projet'!$A$191:$I$211,9,0)</f>
        <v>3</v>
      </c>
      <c r="EI88" s="12">
        <f t="array" ref="EI88">INDEX(EH:EH,MIN(IF(ISNUMBER(EH88:EH284),ROW(EH88:EH284),"")))</f>
        <v>3</v>
      </c>
      <c r="EJ88" s="12">
        <f>IF('Données projet'!$A$192&gt;35,EJ87+EI88-ER87,IF(A88&lt;'Données projet'!$A$192,$EG$205^A88,IF(A88='Données projet'!$A$192,'Données projet'!$B$192,EJ87+EI88-ER87)))</f>
        <v>152</v>
      </c>
      <c r="EK88" s="17">
        <f>EJ88*VLOOKUP('Données projet'!$B$15,Paramètres!$A$1:$I$89,3,0)*VLOOKUP('Données projet'!$B$15,Paramètres!$A$1:$I$89,5,0)</f>
        <v>147.01439999999999</v>
      </c>
      <c r="EL88" s="13">
        <f t="shared" si="99"/>
        <v>37.899305454176826</v>
      </c>
      <c r="EM88" s="20">
        <f t="shared" si="73"/>
        <v>322.05803699935797</v>
      </c>
      <c r="EN88" s="59">
        <f t="shared" si="74"/>
        <v>626.02046195173057</v>
      </c>
      <c r="EO88" s="59">
        <f ca="1">AVERAGE(OFFSET($EN$3,0,0,'Données projet'!$E$15+1,1))-AVERAGE(OFFSET($H$3,0,0,'Données projet'!$E$15+1,1))</f>
        <v>276.72865583771579</v>
      </c>
      <c r="EP88" s="59">
        <f t="shared" si="100"/>
        <v>174.3587092851154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9</v>
      </c>
      <c r="ES88" s="16">
        <f>IF(ISNA(VLOOKUP(A88,'Données projet'!$A$191:$I$211,5,0)),0%,VLOOKUP(A88,'Données projet'!$A$191:$I$211,5,0)*VLOOKUP('Données projet'!$B$15,Paramètres!$A$1:$I$89,7,0))</f>
        <v>0.25800000000000001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13.685230397460481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13.685230397460481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72.89884316882889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4.25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15.583333333333334</v>
      </c>
      <c r="H89" s="67">
        <f t="shared" si="56"/>
        <v>222.56666666666669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341.11752883785607</v>
      </c>
      <c r="T89" s="59">
        <f t="shared" si="88"/>
        <v>423.15445896616234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69.167560383512239</v>
      </c>
      <c r="AA89" s="21">
        <f>EXP(-LN(2)/25)*AA88+(1-EXP(-LN(2)/25))/(LN(2)/25)*Calculateur!V89*Calculateur!X89*VLOOKUP('Données projet'!$B$9,Paramètres!$A$1:$I$89,3,0)*0.475*44/12</f>
        <v>35.420803743110646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104.58836412662288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3.8</v>
      </c>
      <c r="AI89" s="13">
        <f>IF('Données projet'!$A$62&gt;35,AI88+AH89-AQ88,IF(A89&lt;'Données projet'!$A$62,$AF$205^A89,IF(A89='Données projet'!$A$62,'Données projet'!$B$62,AI88+AH89-AQ88)))</f>
        <v>314.80000000000007</v>
      </c>
      <c r="AJ89" s="13">
        <f>AI89*VLOOKUP('Données projet'!$B$10,Paramètres!$A$1:$I$89,3,0)*VLOOKUP('Données projet'!$B$10,Paramètres!$A$1:$I$89,5,0)</f>
        <v>284.83104000000009</v>
      </c>
      <c r="AK89" s="13">
        <f t="shared" si="89"/>
        <v>67.986927841015955</v>
      </c>
      <c r="AL89" s="20">
        <f t="shared" si="58"/>
        <v>614.49129398976959</v>
      </c>
      <c r="AM89" s="59">
        <f t="shared" si="59"/>
        <v>918.75911317869691</v>
      </c>
      <c r="AN89" s="59">
        <f ca="1">AVERAGE(OFFSET($AM$3,0,0,'Données projet'!$E$10+1,1))-AVERAGE(OFFSET($H$3,0,0,'Données projet'!$E$10+1,1))</f>
        <v>521.72266623522626</v>
      </c>
      <c r="AO89" s="59">
        <f t="shared" si="90"/>
        <v>298.49205684341825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29.747089743110667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29.747089743110667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-6.7984728957526396E-14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376.5647919688821</v>
      </c>
      <c r="BJ89" s="59">
        <f t="shared" si="92"/>
        <v>340.34037344565581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130.99608283898536</v>
      </c>
      <c r="BQ89" s="21">
        <f>EXP(-LN(2)/25)*BQ88+(1-EXP(-LN(2)/25))/(LN(2)/25)*Calculateur!BL89*Calculateur!BN89*VLOOKUP('Données projet'!$B$11,Paramètres!$A$1:$I$89,3,0)*0.475*44/12</f>
        <v>58.499101057199134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189.4951838961845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6.2</v>
      </c>
      <c r="BY89" s="12">
        <f>IF('Données projet'!$A$114&gt;35,BY88+BX89-CG88,IF(A89&lt;'Données projet'!$A$114,$BV$205^A89,IF(A89='Données projet'!$A$114,'Données projet'!$B$114,BY88+BX89-CG88)))</f>
        <v>261.2</v>
      </c>
      <c r="BZ89" s="13">
        <f>BY89*VLOOKUP('Données projet'!$B$12,Paramètres!$A$1:$I$89,3,0)*VLOOKUP('Données projet'!$B$12,Paramètres!$A$1:$I$89,5,0)</f>
        <v>264.85680000000002</v>
      </c>
      <c r="CA89" s="13">
        <f t="shared" si="93"/>
        <v>63.756533671523279</v>
      </c>
      <c r="CB89" s="20">
        <f t="shared" si="64"/>
        <v>572.33488947790306</v>
      </c>
      <c r="CC89" s="59">
        <f t="shared" si="65"/>
        <v>876.60270866683027</v>
      </c>
      <c r="CD89" s="59">
        <f ca="1">AVERAGE(OFFSET($CC$3,0,0,'Données projet'!$E$12+1,1))-AVERAGE(OFFSET($H$3,0,0,'Données projet'!$E$12+1,1))</f>
        <v>473.09076714002885</v>
      </c>
      <c r="CE89" s="59">
        <f t="shared" si="94"/>
        <v>311.6454557566534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37.930373395597982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37.930373395597982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2.9999999999999942</v>
      </c>
      <c r="CT89" s="12">
        <f>IF('Données projet'!$A$140&gt;35,CT88+CS89-DB88,IF(A89&lt;'Données projet'!$A$140,$CQ$205^A89,IF(A89='Données projet'!$A$140,'Données projet'!$B$140,CT88+CS89-DB88)))</f>
        <v>237</v>
      </c>
      <c r="CU89" s="17">
        <f>CT89*VLOOKUP('Données projet'!$B$13,Paramètres!$A$1:$I$89,3,0)*VLOOKUP('Données projet'!$B$13,Paramètres!$A$1:$I$89,5,0)</f>
        <v>207.04320000000001</v>
      </c>
      <c r="CV89" s="13">
        <f t="shared" si="95"/>
        <v>51.288918231806321</v>
      </c>
      <c r="CW89" s="20">
        <f t="shared" si="67"/>
        <v>449.92843925372944</v>
      </c>
      <c r="CX89" s="59">
        <f t="shared" si="68"/>
        <v>754.1962584426567</v>
      </c>
      <c r="CY89" s="59">
        <f ca="1">AVERAGE(OFFSET($CX$3,0,0,'Données projet'!$E$13+1,1))-AVERAGE(OFFSET($H$3,0,0,'Données projet'!$E$13+1,1))</f>
        <v>379.66247682099424</v>
      </c>
      <c r="CZ89" s="59">
        <f t="shared" si="96"/>
        <v>342.92507939604081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33.69043279290625</v>
      </c>
      <c r="DG89" s="21">
        <f>EXP(-LN(2)/25)*DG88+(1-EXP(-LN(2)/25))/(LN(2)/25)*Calculateur!DB89*Calculateur!DD89*VLOOKUP('Données projet'!$B$13,Paramètres!$A$1:$I$89,3,0)*0.475*44/12</f>
        <v>13.324673258678477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47.015106051584723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3.8</v>
      </c>
      <c r="DO89" s="12">
        <f>IF('Données projet'!$A$166&gt;35,DO88+DN89-DW88,IF(A89&lt;'Données projet'!$A$166,$DL$205^A89,IF(A89='Données projet'!$A$166,'Données projet'!$B$166,DO88+DN89-DW88)))</f>
        <v>314.80000000000007</v>
      </c>
      <c r="DP89" s="17">
        <f>DO89*VLOOKUP('Données projet'!$B$14,Paramètres!$A$1:$I$89,3,0)*VLOOKUP('Données projet'!$B$14,Paramètres!$A$1:$I$89,5,0)</f>
        <v>299.56368000000009</v>
      </c>
      <c r="DQ89" s="13">
        <f t="shared" si="97"/>
        <v>71.084986297729699</v>
      </c>
      <c r="DR89" s="20">
        <f t="shared" si="70"/>
        <v>645.54642713521264</v>
      </c>
      <c r="DS89" s="59">
        <f t="shared" si="71"/>
        <v>949.81424632413996</v>
      </c>
      <c r="DT89" s="59">
        <f ca="1">AVERAGE(OFFSET($DS$3,0,0,'Données projet'!$E$14+1,1))-AVERAGE(OFFSET($H$3,0,0,'Données projet'!$E$14+1,1))</f>
        <v>544.64394576312384</v>
      </c>
      <c r="DU89" s="59">
        <f t="shared" si="98"/>
        <v>310.67291035925484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31.285732316030177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31.285732316030177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3.2</v>
      </c>
      <c r="EJ89" s="12">
        <f>IF('Données projet'!$A$192&gt;35,EJ88+EI89-ER88,IF(A89&lt;'Données projet'!$A$192,$EG$205^A89,IF(A89='Données projet'!$A$192,'Données projet'!$B$192,EJ88+EI89-ER88)))</f>
        <v>146.19999999999999</v>
      </c>
      <c r="EK89" s="17">
        <f>EJ89*VLOOKUP('Données projet'!$B$15,Paramètres!$A$1:$I$89,3,0)*VLOOKUP('Données projet'!$B$15,Paramètres!$A$1:$I$89,5,0)</f>
        <v>141.40464</v>
      </c>
      <c r="EL89" s="13">
        <f t="shared" si="99"/>
        <v>36.618601593681802</v>
      </c>
      <c r="EM89" s="20">
        <f t="shared" si="73"/>
        <v>310.05714577566249</v>
      </c>
      <c r="EN89" s="59">
        <f t="shared" si="74"/>
        <v>614.32496496458975</v>
      </c>
      <c r="EO89" s="59">
        <f ca="1">AVERAGE(OFFSET($EN$3,0,0,'Données projet'!$E$15+1,1))-AVERAGE(OFFSET($H$3,0,0,'Données projet'!$E$15+1,1))</f>
        <v>276.72865583771579</v>
      </c>
      <c r="EP89" s="59">
        <f t="shared" si="100"/>
        <v>174.3587092851154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13.41687137653261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13.41687137653261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72.982132506071082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4.25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15.583333333333334</v>
      </c>
      <c r="H90" s="67">
        <f t="shared" si="56"/>
        <v>222.56666666666669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341.11752883785607</v>
      </c>
      <c r="T90" s="59">
        <f t="shared" si="88"/>
        <v>423.15445896616234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67.811226712437673</v>
      </c>
      <c r="AA90" s="21">
        <f>EXP(-LN(2)/25)*AA89+(1-EXP(-LN(2)/25))/(LN(2)/25)*Calculateur!V90*Calculateur!X90*VLOOKUP('Données projet'!$B$9,Paramètres!$A$1:$I$89,3,0)*0.475*44/12</f>
        <v>34.452220002056173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102.26344671449385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3.8</v>
      </c>
      <c r="AI90" s="13">
        <f>IF('Données projet'!$A$62&gt;35,AI89+AH90-AQ89,IF(A90&lt;'Données projet'!$A$62,$AF$205^A90,IF(A90='Données projet'!$A$62,'Données projet'!$B$62,AI89+AH90-AQ89)))</f>
        <v>318.60000000000008</v>
      </c>
      <c r="AJ90" s="13">
        <f>AI90*VLOOKUP('Données projet'!$B$10,Paramètres!$A$1:$I$89,3,0)*VLOOKUP('Données projet'!$B$10,Paramètres!$A$1:$I$89,5,0)</f>
        <v>288.26928000000009</v>
      </c>
      <c r="AK90" s="13">
        <f t="shared" si="89"/>
        <v>68.71157424748705</v>
      </c>
      <c r="AL90" s="20">
        <f t="shared" si="58"/>
        <v>621.74165448104009</v>
      </c>
      <c r="AM90" s="59">
        <f t="shared" si="59"/>
        <v>926.30956999927707</v>
      </c>
      <c r="AN90" s="59">
        <f ca="1">AVERAGE(OFFSET($AM$3,0,0,'Données projet'!$E$10+1,1))-AVERAGE(OFFSET($H$3,0,0,'Données projet'!$E$10+1,1))</f>
        <v>521.72266623522626</v>
      </c>
      <c r="AO90" s="59">
        <f t="shared" si="90"/>
        <v>298.49205684341825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29.163767457181446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29.163767457181446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-6.7984728957526396E-14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376.5647919688821</v>
      </c>
      <c r="BJ90" s="59">
        <f t="shared" si="92"/>
        <v>340.34037344565581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128.42732955423395</v>
      </c>
      <c r="BQ90" s="21">
        <f>EXP(-LN(2)/25)*BQ89+(1-EXP(-LN(2)/25))/(LN(2)/25)*Calculateur!BL90*Calculateur!BN90*VLOOKUP('Données projet'!$B$11,Paramètres!$A$1:$I$89,3,0)*0.475*44/12</f>
        <v>56.899440062456001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185.32676961668994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6.2</v>
      </c>
      <c r="BY90" s="12">
        <f>IF('Données projet'!$A$114&gt;35,BY89+BX90-CG89,IF(A90&lt;'Données projet'!$A$114,$BV$205^A90,IF(A90='Données projet'!$A$114,'Données projet'!$B$114,BY89+BX90-CG89)))</f>
        <v>267.39999999999998</v>
      </c>
      <c r="BZ90" s="13">
        <f>BY90*VLOOKUP('Données projet'!$B$12,Paramètres!$A$1:$I$89,3,0)*VLOOKUP('Données projet'!$B$12,Paramètres!$A$1:$I$89,5,0)</f>
        <v>271.14359999999999</v>
      </c>
      <c r="CA90" s="13">
        <f t="shared" si="93"/>
        <v>65.091910336447469</v>
      </c>
      <c r="CB90" s="20">
        <f t="shared" si="64"/>
        <v>585.61018050264602</v>
      </c>
      <c r="CC90" s="59">
        <f t="shared" si="65"/>
        <v>890.178096020883</v>
      </c>
      <c r="CD90" s="59">
        <f ca="1">AVERAGE(OFFSET($CC$3,0,0,'Données projet'!$E$12+1,1))-AVERAGE(OFFSET($H$3,0,0,'Données projet'!$E$12+1,1))</f>
        <v>473.09076714002885</v>
      </c>
      <c r="CE90" s="59">
        <f t="shared" si="94"/>
        <v>311.6454557566534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37.186581908553663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37.186581908553663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2.9999999999999942</v>
      </c>
      <c r="CT90" s="12">
        <f>IF('Données projet'!$A$140&gt;35,CT89+CS90-DB89,IF(A90&lt;'Données projet'!$A$140,$CQ$205^A90,IF(A90='Données projet'!$A$140,'Données projet'!$B$140,CT89+CS90-DB89)))</f>
        <v>240</v>
      </c>
      <c r="CU90" s="17">
        <f>CT90*VLOOKUP('Données projet'!$B$13,Paramètres!$A$1:$I$89,3,0)*VLOOKUP('Données projet'!$B$13,Paramètres!$A$1:$I$89,5,0)</f>
        <v>209.66400000000002</v>
      </c>
      <c r="CV90" s="13">
        <f t="shared" si="95"/>
        <v>51.862154403304537</v>
      </c>
      <c r="CW90" s="20">
        <f t="shared" si="67"/>
        <v>455.49138558575538</v>
      </c>
      <c r="CX90" s="59">
        <f t="shared" si="68"/>
        <v>760.05930110399231</v>
      </c>
      <c r="CY90" s="59">
        <f ca="1">AVERAGE(OFFSET($CX$3,0,0,'Données projet'!$E$13+1,1))-AVERAGE(OFFSET($H$3,0,0,'Données projet'!$E$13+1,1))</f>
        <v>379.66247682099424</v>
      </c>
      <c r="CZ90" s="59">
        <f t="shared" si="96"/>
        <v>342.92507939604081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33.029783954972302</v>
      </c>
      <c r="DG90" s="21">
        <f>EXP(-LN(2)/25)*DG89+(1-EXP(-LN(2)/25))/(LN(2)/25)*Calculateur!DB90*Calculateur!DD90*VLOOKUP('Données projet'!$B$13,Paramètres!$A$1:$I$89,3,0)*0.475*44/12</f>
        <v>12.960309367705801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45.990093322678106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3.8</v>
      </c>
      <c r="DO90" s="12">
        <f>IF('Données projet'!$A$166&gt;35,DO89+DN90-DW89,IF(A90&lt;'Données projet'!$A$166,$DL$205^A90,IF(A90='Données projet'!$A$166,'Données projet'!$B$166,DO89+DN90-DW89)))</f>
        <v>318.60000000000008</v>
      </c>
      <c r="DP90" s="17">
        <f>DO90*VLOOKUP('Données projet'!$B$14,Paramètres!$A$1:$I$89,3,0)*VLOOKUP('Données projet'!$B$14,Paramètres!$A$1:$I$89,5,0)</f>
        <v>303.17976000000004</v>
      </c>
      <c r="DQ90" s="13">
        <f t="shared" si="97"/>
        <v>71.842653712782692</v>
      </c>
      <c r="DR90" s="20">
        <f t="shared" si="70"/>
        <v>653.16403721642996</v>
      </c>
      <c r="DS90" s="59">
        <f t="shared" si="71"/>
        <v>957.73195273466695</v>
      </c>
      <c r="DT90" s="59">
        <f ca="1">AVERAGE(OFFSET($DS$3,0,0,'Données projet'!$E$14+1,1))-AVERAGE(OFFSET($H$3,0,0,'Données projet'!$E$14+1,1))</f>
        <v>544.64394576312384</v>
      </c>
      <c r="DU90" s="59">
        <f t="shared" si="98"/>
        <v>310.67291035925484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30.672238187725306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30.672238187725306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3.2</v>
      </c>
      <c r="EJ90" s="12">
        <f>IF('Données projet'!$A$192&gt;35,EJ89+EI90-ER89,IF(A90&lt;'Données projet'!$A$192,$EG$205^A90,IF(A90='Données projet'!$A$192,'Données projet'!$B$192,EJ89+EI90-ER89)))</f>
        <v>149.39999999999998</v>
      </c>
      <c r="EK90" s="17">
        <f>EJ90*VLOOKUP('Données projet'!$B$15,Paramètres!$A$1:$I$89,3,0)*VLOOKUP('Données projet'!$B$15,Paramètres!$A$1:$I$89,5,0)</f>
        <v>144.49967999999998</v>
      </c>
      <c r="EL90" s="13">
        <f t="shared" si="99"/>
        <v>37.325913454134138</v>
      </c>
      <c r="EM90" s="20">
        <f t="shared" si="73"/>
        <v>316.67957526595023</v>
      </c>
      <c r="EN90" s="59">
        <f t="shared" si="74"/>
        <v>621.24749078418722</v>
      </c>
      <c r="EO90" s="59">
        <f ca="1">AVERAGE(OFFSET($EN$3,0,0,'Données projet'!$E$15+1,1))-AVERAGE(OFFSET($H$3,0,0,'Données projet'!$E$15+1,1))</f>
        <v>276.72865583771579</v>
      </c>
      <c r="EP90" s="59">
        <f t="shared" si="100"/>
        <v>174.3587092851154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13.153774712322294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13.153774712322294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73.063976959519167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4.25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15.583333333333334</v>
      </c>
      <c r="H91" s="67">
        <f t="shared" si="56"/>
        <v>222.56666666666669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341.11752883785607</v>
      </c>
      <c r="T91" s="59">
        <f t="shared" si="88"/>
        <v>423.15445896616234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66.481489917371022</v>
      </c>
      <c r="AA91" s="21">
        <f>EXP(-LN(2)/25)*AA90+(1-EXP(-LN(2)/25))/(LN(2)/25)*Calculateur!V91*Calculateur!X91*VLOOKUP('Données projet'!$B$9,Paramètres!$A$1:$I$89,3,0)*0.475*44/12</f>
        <v>33.510122234336436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99.991612151707457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3.8</v>
      </c>
      <c r="AI91" s="13">
        <f>IF('Données projet'!$A$62&gt;35,AI90+AH91-AQ90,IF(A91&lt;'Données projet'!$A$62,$AF$205^A91,IF(A91='Données projet'!$A$62,'Données projet'!$B$62,AI90+AH91-AQ90)))</f>
        <v>322.40000000000009</v>
      </c>
      <c r="AJ91" s="13">
        <f>AI91*VLOOKUP('Données projet'!$B$10,Paramètres!$A$1:$I$89,3,0)*VLOOKUP('Données projet'!$B$10,Paramètres!$A$1:$I$89,5,0)</f>
        <v>291.7075200000001</v>
      </c>
      <c r="AK91" s="13">
        <f t="shared" si="89"/>
        <v>69.435215282847324</v>
      </c>
      <c r="AL91" s="20">
        <f t="shared" si="58"/>
        <v>628.99026395095916</v>
      </c>
      <c r="AM91" s="59">
        <f t="shared" si="59"/>
        <v>933.85306979810707</v>
      </c>
      <c r="AN91" s="59">
        <f ca="1">AVERAGE(OFFSET($AM$3,0,0,'Données projet'!$E$10+1,1))-AVERAGE(OFFSET($H$3,0,0,'Données projet'!$E$10+1,1))</f>
        <v>521.72266623522626</v>
      </c>
      <c r="AO91" s="59">
        <f t="shared" si="90"/>
        <v>298.49205684341825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28.591883765487832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28.591883765487832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-6.7984728957526396E-14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376.5647919688821</v>
      </c>
      <c r="BJ91" s="59">
        <f t="shared" si="92"/>
        <v>340.34037344565581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125.90894795461172</v>
      </c>
      <c r="BQ91" s="21">
        <f>EXP(-LN(2)/25)*BQ90+(1-EXP(-LN(2)/25))/(LN(2)/25)*Calculateur!BL91*Calculateur!BN91*VLOOKUP('Données projet'!$B$11,Paramètres!$A$1:$I$89,3,0)*0.475*44/12</f>
        <v>55.343521881736635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181.25246983634835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6.2</v>
      </c>
      <c r="BY91" s="12">
        <f>IF('Données projet'!$A$114&gt;35,BY90+BX91-CG90,IF(A91&lt;'Données projet'!$A$114,$BV$205^A91,IF(A91='Données projet'!$A$114,'Données projet'!$B$114,BY90+BX91-CG90)))</f>
        <v>273.59999999999997</v>
      </c>
      <c r="BZ91" s="13">
        <f>BY91*VLOOKUP('Données projet'!$B$12,Paramètres!$A$1:$I$89,3,0)*VLOOKUP('Données projet'!$B$12,Paramètres!$A$1:$I$89,5,0)</f>
        <v>277.43039999999996</v>
      </c>
      <c r="CA91" s="13">
        <f t="shared" si="93"/>
        <v>66.423687500715673</v>
      </c>
      <c r="CB91" s="20">
        <f t="shared" si="64"/>
        <v>598.87920239707967</v>
      </c>
      <c r="CC91" s="59">
        <f t="shared" si="65"/>
        <v>903.74200824422769</v>
      </c>
      <c r="CD91" s="59">
        <f ca="1">AVERAGE(OFFSET($CC$3,0,0,'Données projet'!$E$12+1,1))-AVERAGE(OFFSET($H$3,0,0,'Données projet'!$E$12+1,1))</f>
        <v>473.09076714002885</v>
      </c>
      <c r="CE91" s="59">
        <f t="shared" si="94"/>
        <v>311.6454557566534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36.45737571890227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36.45737571890227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2.9999999999999942</v>
      </c>
      <c r="CT91" s="12">
        <f>IF('Données projet'!$A$140&gt;35,CT90+CS91-DB90,IF(A91&lt;'Données projet'!$A$140,$CQ$205^A91,IF(A91='Données projet'!$A$140,'Données projet'!$B$140,CT90+CS91-DB90)))</f>
        <v>243</v>
      </c>
      <c r="CU91" s="17">
        <f>CT91*VLOOKUP('Données projet'!$B$13,Paramètres!$A$1:$I$89,3,0)*VLOOKUP('Données projet'!$B$13,Paramètres!$A$1:$I$89,5,0)</f>
        <v>212.28480000000002</v>
      </c>
      <c r="CV91" s="13">
        <f t="shared" si="95"/>
        <v>52.434557099704193</v>
      </c>
      <c r="CW91" s="20">
        <f t="shared" si="67"/>
        <v>461.05288028198476</v>
      </c>
      <c r="CX91" s="59">
        <f t="shared" si="68"/>
        <v>765.91568612913272</v>
      </c>
      <c r="CY91" s="59">
        <f ca="1">AVERAGE(OFFSET($CX$3,0,0,'Données projet'!$E$13+1,1))-AVERAGE(OFFSET($H$3,0,0,'Données projet'!$E$13+1,1))</f>
        <v>379.66247682099424</v>
      </c>
      <c r="CZ91" s="59">
        <f t="shared" si="96"/>
        <v>342.92507939604081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32.382090037794235</v>
      </c>
      <c r="DG91" s="21">
        <f>EXP(-LN(2)/25)*DG90+(1-EXP(-LN(2)/25))/(LN(2)/25)*Calculateur!DB91*Calculateur!DD91*VLOOKUP('Données projet'!$B$13,Paramètres!$A$1:$I$89,3,0)*0.475*44/12</f>
        <v>12.605909026492837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44.987999064287074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3.8</v>
      </c>
      <c r="DO91" s="12">
        <f>IF('Données projet'!$A$166&gt;35,DO90+DN91-DW90,IF(A91&lt;'Données projet'!$A$166,$DL$205^A91,IF(A91='Données projet'!$A$166,'Données projet'!$B$166,DO90+DN91-DW90)))</f>
        <v>322.40000000000009</v>
      </c>
      <c r="DP91" s="17">
        <f>DO91*VLOOKUP('Données projet'!$B$14,Paramètres!$A$1:$I$89,3,0)*VLOOKUP('Données projet'!$B$14,Paramètres!$A$1:$I$89,5,0)</f>
        <v>306.79584000000006</v>
      </c>
      <c r="DQ91" s="13">
        <f t="shared" si="97"/>
        <v>72.599269943528554</v>
      </c>
      <c r="DR91" s="20">
        <f t="shared" si="70"/>
        <v>660.77981648497905</v>
      </c>
      <c r="DS91" s="59">
        <f t="shared" si="71"/>
        <v>965.64262233212708</v>
      </c>
      <c r="DT91" s="59">
        <f ca="1">AVERAGE(OFFSET($DS$3,0,0,'Données projet'!$E$14+1,1))-AVERAGE(OFFSET($H$3,0,0,'Données projet'!$E$14+1,1))</f>
        <v>544.64394576312384</v>
      </c>
      <c r="DU91" s="59">
        <f t="shared" si="98"/>
        <v>310.67291035925484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30.070774305082026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30.070774305082026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3.2</v>
      </c>
      <c r="EJ91" s="12">
        <f>IF('Données projet'!$A$192&gt;35,EJ90+EI91-ER90,IF(A91&lt;'Données projet'!$A$192,$EG$205^A91,IF(A91='Données projet'!$A$192,'Données projet'!$B$192,EJ90+EI91-ER90)))</f>
        <v>152.59999999999997</v>
      </c>
      <c r="EK91" s="17">
        <f>EJ91*VLOOKUP('Données projet'!$B$15,Paramètres!$A$1:$I$89,3,0)*VLOOKUP('Données projet'!$B$15,Paramètres!$A$1:$I$89,5,0)</f>
        <v>147.59471999999997</v>
      </c>
      <c r="EL91" s="13">
        <f t="shared" si="99"/>
        <v>38.031463918082679</v>
      </c>
      <c r="EM91" s="20">
        <f t="shared" si="73"/>
        <v>323.29893699066059</v>
      </c>
      <c r="EN91" s="59">
        <f t="shared" si="74"/>
        <v>628.16174283780856</v>
      </c>
      <c r="EO91" s="59">
        <f ca="1">AVERAGE(OFFSET($EN$3,0,0,'Données projet'!$E$15+1,1))-AVERAGE(OFFSET($H$3,0,0,'Données projet'!$E$15+1,1))</f>
        <v>276.72865583771579</v>
      </c>
      <c r="EP91" s="59">
        <f t="shared" si="100"/>
        <v>174.3587092851154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12.895837213224022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12.895837213224022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73.144401594676722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4.25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15.583333333333334</v>
      </c>
      <c r="H92" s="67">
        <f t="shared" si="56"/>
        <v>222.56666666666669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341.11752883785607</v>
      </c>
      <c r="T92" s="59">
        <f t="shared" si="88"/>
        <v>423.15445896616234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65.17782844979628</v>
      </c>
      <c r="AA92" s="21">
        <f>EXP(-LN(2)/25)*AA91+(1-EXP(-LN(2)/25))/(LN(2)/25)*Calculateur!V92*Calculateur!X92*VLOOKUP('Données projet'!$B$9,Paramètres!$A$1:$I$89,3,0)*0.475*44/12</f>
        <v>32.593786179617766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97.771614629414046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3.8</v>
      </c>
      <c r="AI92" s="13">
        <f>IF('Données projet'!$A$62&gt;35,AI91+AH92-AQ91,IF(A92&lt;'Données projet'!$A$62,$AF$205^A92,IF(A92='Données projet'!$A$62,'Données projet'!$B$62,AI91+AH92-AQ91)))</f>
        <v>326.2000000000001</v>
      </c>
      <c r="AJ92" s="13">
        <f>AI92*VLOOKUP('Données projet'!$B$10,Paramètres!$A$1:$I$89,3,0)*VLOOKUP('Données projet'!$B$10,Paramètres!$A$1:$I$89,5,0)</f>
        <v>295.14576000000011</v>
      </c>
      <c r="AK92" s="13">
        <f t="shared" si="89"/>
        <v>70.157864167878259</v>
      </c>
      <c r="AL92" s="20">
        <f t="shared" si="58"/>
        <v>636.23714542572145</v>
      </c>
      <c r="AM92" s="59">
        <f t="shared" si="59"/>
        <v>941.38972591384982</v>
      </c>
      <c r="AN92" s="59">
        <f ca="1">AVERAGE(OFFSET($AM$3,0,0,'Données projet'!$E$10+1,1))-AVERAGE(OFFSET($H$3,0,0,'Données projet'!$E$10+1,1))</f>
        <v>521.72266623522626</v>
      </c>
      <c r="AO92" s="59">
        <f t="shared" si="90"/>
        <v>298.49205684341825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28.031214364173721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28.031214364173721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-6.7984728957526396E-14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376.5647919688821</v>
      </c>
      <c r="BJ92" s="59">
        <f t="shared" si="92"/>
        <v>340.34037344565581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123.43995028209697</v>
      </c>
      <c r="BQ92" s="21">
        <f>EXP(-LN(2)/25)*BQ91+(1-EXP(-LN(2)/25))/(LN(2)/25)*Calculateur!BL92*Calculateur!BN92*VLOOKUP('Données projet'!$B$11,Paramètres!$A$1:$I$89,3,0)*0.475*44/12</f>
        <v>53.830150365491221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177.27010064758821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6.2</v>
      </c>
      <c r="BY92" s="12">
        <f>IF('Données projet'!$A$114&gt;35,BY91+BX92-CG91,IF(A92&lt;'Données projet'!$A$114,$BV$205^A92,IF(A92='Données projet'!$A$114,'Données projet'!$B$114,BY91+BX92-CG91)))</f>
        <v>279.79999999999995</v>
      </c>
      <c r="BZ92" s="13">
        <f>BY92*VLOOKUP('Données projet'!$B$12,Paramètres!$A$1:$I$89,3,0)*VLOOKUP('Données projet'!$B$12,Paramètres!$A$1:$I$89,5,0)</f>
        <v>283.71719999999999</v>
      </c>
      <c r="CA92" s="13">
        <f t="shared" si="93"/>
        <v>67.751956122170697</v>
      </c>
      <c r="CB92" s="20">
        <f t="shared" si="64"/>
        <v>612.14211357944725</v>
      </c>
      <c r="CC92" s="59">
        <f t="shared" si="65"/>
        <v>917.29469406757562</v>
      </c>
      <c r="CD92" s="59">
        <f ca="1">AVERAGE(OFFSET($CC$3,0,0,'Données projet'!$E$12+1,1))-AVERAGE(OFFSET($H$3,0,0,'Données projet'!$E$12+1,1))</f>
        <v>473.09076714002885</v>
      </c>
      <c r="CE92" s="59">
        <f t="shared" si="94"/>
        <v>311.6454557566534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35.742468817858082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35.742468817858082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2.9999999999999942</v>
      </c>
      <c r="CT92" s="12">
        <f>IF('Données projet'!$A$140&gt;35,CT91+CS92-DB91,IF(A92&lt;'Données projet'!$A$140,$CQ$205^A92,IF(A92='Données projet'!$A$140,'Données projet'!$B$140,CT91+CS92-DB91)))</f>
        <v>246</v>
      </c>
      <c r="CU92" s="17">
        <f>CT92*VLOOKUP('Données projet'!$B$13,Paramètres!$A$1:$I$89,3,0)*VLOOKUP('Données projet'!$B$13,Paramètres!$A$1:$I$89,5,0)</f>
        <v>214.90560000000005</v>
      </c>
      <c r="CV92" s="13">
        <f t="shared" si="95"/>
        <v>53.006137800892326</v>
      </c>
      <c r="CW92" s="20">
        <f t="shared" si="67"/>
        <v>466.61294333655422</v>
      </c>
      <c r="CX92" s="59">
        <f t="shared" si="68"/>
        <v>771.76552382468253</v>
      </c>
      <c r="CY92" s="59">
        <f ca="1">AVERAGE(OFFSET($CX$3,0,0,'Données projet'!$E$13+1,1))-AVERAGE(OFFSET($H$3,0,0,'Données projet'!$E$13+1,1))</f>
        <v>379.66247682099424</v>
      </c>
      <c r="CZ92" s="59">
        <f t="shared" si="96"/>
        <v>342.92507939604081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31.747097003277752</v>
      </c>
      <c r="DG92" s="21">
        <f>EXP(-LN(2)/25)*DG91+(1-EXP(-LN(2)/25))/(LN(2)/25)*Calculateur!DB92*Calculateur!DD92*VLOOKUP('Données projet'!$B$13,Paramètres!$A$1:$I$89,3,0)*0.475*44/12</f>
        <v>12.261199781247445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44.0082967845252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3.8</v>
      </c>
      <c r="DO92" s="12">
        <f>IF('Données projet'!$A$166&gt;35,DO91+DN92-DW91,IF(A92&lt;'Données projet'!$A$166,$DL$205^A92,IF(A92='Données projet'!$A$166,'Données projet'!$B$166,DO91+DN92-DW91)))</f>
        <v>326.2000000000001</v>
      </c>
      <c r="DP92" s="17">
        <f>DO92*VLOOKUP('Données projet'!$B$14,Paramètres!$A$1:$I$89,3,0)*VLOOKUP('Données projet'!$B$14,Paramètres!$A$1:$I$89,5,0)</f>
        <v>310.41192000000012</v>
      </c>
      <c r="DQ92" s="13">
        <f t="shared" si="97"/>
        <v>73.354848813199183</v>
      </c>
      <c r="DR92" s="20">
        <f t="shared" si="70"/>
        <v>668.39378901632199</v>
      </c>
      <c r="DS92" s="59">
        <f t="shared" si="71"/>
        <v>973.54636950445035</v>
      </c>
      <c r="DT92" s="59">
        <f ca="1">AVERAGE(OFFSET($DS$3,0,0,'Données projet'!$E$14+1,1))-AVERAGE(OFFSET($H$3,0,0,'Données projet'!$E$14+1,1))</f>
        <v>544.64394576312384</v>
      </c>
      <c r="DU92" s="59">
        <f t="shared" si="98"/>
        <v>310.67291035925484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29.481104762320633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29.481104762320633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3.2</v>
      </c>
      <c r="EJ92" s="12">
        <f>IF('Données projet'!$A$192&gt;35,EJ91+EI92-ER91,IF(A92&lt;'Données projet'!$A$192,$EG$205^A92,IF(A92='Données projet'!$A$192,'Données projet'!$B$192,EJ91+EI92-ER91)))</f>
        <v>155.79999999999995</v>
      </c>
      <c r="EK92" s="17">
        <f>EJ92*VLOOKUP('Données projet'!$B$15,Paramètres!$A$1:$I$89,3,0)*VLOOKUP('Données projet'!$B$15,Paramètres!$A$1:$I$89,5,0)</f>
        <v>150.68975999999998</v>
      </c>
      <c r="EL92" s="13">
        <f t="shared" si="99"/>
        <v>38.735294176946205</v>
      </c>
      <c r="EM92" s="20">
        <f t="shared" si="73"/>
        <v>329.91530269151457</v>
      </c>
      <c r="EN92" s="59">
        <f t="shared" si="74"/>
        <v>635.06788317964288</v>
      </c>
      <c r="EO92" s="59">
        <f ca="1">AVERAGE(OFFSET($EN$3,0,0,'Données projet'!$E$15+1,1))-AVERAGE(OFFSET($H$3,0,0,'Données projet'!$E$15+1,1))</f>
        <v>276.72865583771579</v>
      </c>
      <c r="EP92" s="59">
        <f t="shared" si="100"/>
        <v>174.3587092851154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12.642957711156727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12.642957711156727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73.223431042216831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4.25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15.583333333333334</v>
      </c>
      <c r="H93" s="67">
        <f t="shared" si="56"/>
        <v>222.56666666666669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341.11752883785607</v>
      </c>
      <c r="T93" s="59">
        <f t="shared" si="88"/>
        <v>423.15445896616234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63.899730988445697</v>
      </c>
      <c r="AA93" s="21">
        <f>EXP(-LN(2)/25)*AA92+(1-EXP(-LN(2)/25))/(LN(2)/25)*Calculateur!V93*Calculateur!X93*VLOOKUP('Données projet'!$B$9,Paramètres!$A$1:$I$89,3,0)*0.475*44/12</f>
        <v>31.702507382503399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95.602238370949095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3.8</v>
      </c>
      <c r="AH93" s="12">
        <f t="array" ref="AH93">INDEX(AG:AG,MIN(IF(ISNUMBER(AG93:AG289),ROW(AG93:AG289),"")))</f>
        <v>3.8</v>
      </c>
      <c r="AI93" s="13">
        <f>IF('Données projet'!$A$62&gt;35,AI92+AH93-AQ92,IF(A93&lt;'Données projet'!$A$62,$AF$205^A93,IF(A93='Données projet'!$A$62,'Données projet'!$B$62,AI92+AH93-AQ92)))</f>
        <v>330.00000000000011</v>
      </c>
      <c r="AJ93" s="13">
        <f>AI93*VLOOKUP('Données projet'!$B$10,Paramètres!$A$1:$I$89,3,0)*VLOOKUP('Données projet'!$B$10,Paramètres!$A$1:$I$89,5,0)</f>
        <v>298.58400000000012</v>
      </c>
      <c r="AK93" s="13">
        <f t="shared" si="89"/>
        <v>70.879533797607664</v>
      </c>
      <c r="AL93" s="20">
        <f t="shared" si="58"/>
        <v>643.48232136416686</v>
      </c>
      <c r="AM93" s="59">
        <f t="shared" si="59"/>
        <v>948.9196495510937</v>
      </c>
      <c r="AN93" s="59">
        <f ca="1">AVERAGE(OFFSET($AM$3,0,0,'Données projet'!$E$10+1,1))-AVERAGE(OFFSET($H$3,0,0,'Données projet'!$E$10+1,1))</f>
        <v>521.72266623522626</v>
      </c>
      <c r="AO93" s="59">
        <f t="shared" si="90"/>
        <v>298.49205684341825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0.25800000000000001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34.707197973920621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34.707197973920621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-6.7984728957526396E-14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376.5647919688821</v>
      </c>
      <c r="BJ93" s="59">
        <f t="shared" si="92"/>
        <v>340.34037344565581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121.01936814800037</v>
      </c>
      <c r="BQ93" s="21">
        <f>EXP(-LN(2)/25)*BQ92+(1-EXP(-LN(2)/25))/(LN(2)/25)*Calculateur!BL93*Calculateur!BN93*VLOOKUP('Données projet'!$B$11,Paramètres!$A$1:$I$89,3,0)*0.475*44/12</f>
        <v>52.358162072942285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173.37753022094265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286</v>
      </c>
      <c r="BW93" s="12">
        <f>VLOOKUP(A93,'Données projet'!$A$113:$I$133,9,0)</f>
        <v>6.2</v>
      </c>
      <c r="BX93" s="12">
        <f t="array" ref="BX93">INDEX(BW:BW,MIN(IF(ISNUMBER(BW93:BW289),ROW(BW93:BW289),"")))</f>
        <v>6.2</v>
      </c>
      <c r="BY93" s="12">
        <f>IF('Données projet'!$A$114&gt;35,BY92+BX93-CG92,IF(A93&lt;'Données projet'!$A$114,$BV$205^A93,IF(A93='Données projet'!$A$114,'Données projet'!$B$114,BY92+BX93-CG92)))</f>
        <v>285.99999999999994</v>
      </c>
      <c r="BZ93" s="13">
        <f>BY93*VLOOKUP('Données projet'!$B$12,Paramètres!$A$1:$I$89,3,0)*VLOOKUP('Données projet'!$B$12,Paramètres!$A$1:$I$89,5,0)</f>
        <v>290.00399999999996</v>
      </c>
      <c r="CA93" s="13">
        <f t="shared" si="93"/>
        <v>69.076802897485877</v>
      </c>
      <c r="CB93" s="20">
        <f t="shared" si="64"/>
        <v>625.39906504645455</v>
      </c>
      <c r="CC93" s="59">
        <f t="shared" si="65"/>
        <v>930.83639323338139</v>
      </c>
      <c r="CD93" s="59">
        <f ca="1">AVERAGE(OFFSET($CC$3,0,0,'Données projet'!$E$12+1,1))-AVERAGE(OFFSET($H$3,0,0,'Données projet'!$E$12+1,1))</f>
        <v>473.09076714002885</v>
      </c>
      <c r="CE93" s="59">
        <f t="shared" si="94"/>
        <v>311.6454557566534</v>
      </c>
      <c r="CF93" s="15">
        <f>IF(ISNA(VLOOKUP(A93,'Données projet'!$A$113:$I$133,3,0)),0,VLOOKUP(A93,'Données projet'!$A$113:$I$133,3,0))</f>
        <v>16</v>
      </c>
      <c r="CG93" s="15">
        <f>IF(ISNA(VLOOKUP(A93,'Données projet'!$A$113:$I$133,4,0)),0,VLOOKUP(A93,'Données projet'!$A$113:$I$133,4,0))</f>
        <v>23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41.693280094491826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41.693280094491826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248.99999999999997</v>
      </c>
      <c r="CR93" s="12">
        <f>VLOOKUP(A93,'Données projet'!$A$139:$I$159,9,0)</f>
        <v>2.9999999999999942</v>
      </c>
      <c r="CS93" s="12">
        <f t="array" ref="CS93">INDEX(CR:CR,MIN(IF(ISNUMBER(CR93:CR289),ROW(CR93:CR289),"")))</f>
        <v>2.9999999999999942</v>
      </c>
      <c r="CT93" s="12">
        <f>IF('Données projet'!$A$140&gt;35,CT92+CS93-DB92,IF(A93&lt;'Données projet'!$A$140,$CQ$205^A93,IF(A93='Données projet'!$A$140,'Données projet'!$B$140,CT92+CS93-DB92)))</f>
        <v>249</v>
      </c>
      <c r="CU93" s="17">
        <f>CT93*VLOOKUP('Données projet'!$B$13,Paramètres!$A$1:$I$89,3,0)*VLOOKUP('Données projet'!$B$13,Paramètres!$A$1:$I$89,5,0)</f>
        <v>217.52640000000005</v>
      </c>
      <c r="CV93" s="13">
        <f t="shared" si="95"/>
        <v>53.576907690651254</v>
      </c>
      <c r="CW93" s="20">
        <f t="shared" si="67"/>
        <v>472.17159422788433</v>
      </c>
      <c r="CX93" s="59">
        <f t="shared" si="68"/>
        <v>777.60892241481122</v>
      </c>
      <c r="CY93" s="59">
        <f ca="1">AVERAGE(OFFSET($CX$3,0,0,'Données projet'!$E$13+1,1))-AVERAGE(OFFSET($H$3,0,0,'Données projet'!$E$13+1,1))</f>
        <v>379.66247682099424</v>
      </c>
      <c r="CZ93" s="59">
        <f t="shared" si="96"/>
        <v>342.92507939604081</v>
      </c>
      <c r="DA93" s="15">
        <f>IF(ISNA(VLOOKUP(A93,'Données projet'!$A$139:$I$159,3,0)),0,VLOOKUP(A93,'Données projet'!$A$139:$I$159,3,0))</f>
        <v>17</v>
      </c>
      <c r="DB93" s="15">
        <f>IF(ISNA(VLOOKUP(A93,'Données projet'!$A$139:$I$159,4,0)),0,VLOOKUP(A93,'Données projet'!$A$139:$I$159,4,0))</f>
        <v>12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0.129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34.114483502202347</v>
      </c>
      <c r="DG93" s="21">
        <f>EXP(-LN(2)/25)*DG92+(1-EXP(-LN(2)/25))/(LN(2)/25)*Calculateur!DB93*Calculateur!DD93*VLOOKUP('Données projet'!$B$13,Paramètres!$A$1:$I$89,3,0)*0.475*44/12</f>
        <v>13.414994239793829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47.529477741996175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330</v>
      </c>
      <c r="DM93" s="12">
        <f>VLOOKUP(A93,'Données projet'!$A$165:$I$185,9,0)</f>
        <v>3.8</v>
      </c>
      <c r="DN93" s="12">
        <f t="array" ref="DN93">INDEX(DM:DM,MIN(IF(ISNUMBER(DM93:DM289),ROW(DM93:DM289),"")))</f>
        <v>3.8</v>
      </c>
      <c r="DO93" s="12">
        <f>IF('Données projet'!$A$166&gt;35,DO92+DN93-DW92,IF(A93&lt;'Données projet'!$A$166,$DL$205^A93,IF(A93='Données projet'!$A$166,'Données projet'!$B$166,DO92+DN93-DW92)))</f>
        <v>330.00000000000011</v>
      </c>
      <c r="DP93" s="17">
        <f>DO93*VLOOKUP('Données projet'!$B$14,Paramètres!$A$1:$I$89,3,0)*VLOOKUP('Données projet'!$B$14,Paramètres!$A$1:$I$89,5,0)</f>
        <v>314.02800000000013</v>
      </c>
      <c r="DQ93" s="13">
        <f t="shared" si="97"/>
        <v>74.109403804428808</v>
      </c>
      <c r="DR93" s="20">
        <f t="shared" si="70"/>
        <v>676.00597829271362</v>
      </c>
      <c r="DS93" s="59">
        <f t="shared" si="71"/>
        <v>981.44330647964057</v>
      </c>
      <c r="DT93" s="59">
        <f ca="1">AVERAGE(OFFSET($DS$3,0,0,'Données projet'!$E$14+1,1))-AVERAGE(OFFSET($H$3,0,0,'Données projet'!$E$14+1,1))</f>
        <v>544.64394576312384</v>
      </c>
      <c r="DU93" s="59">
        <f t="shared" si="98"/>
        <v>310.67291035925484</v>
      </c>
      <c r="DV93" s="15">
        <f>IF(ISNA(VLOOKUP(A93,'Données projet'!$A$165:$I$185,3,0)),0,VLOOKUP(A93,'Données projet'!$A$165:$I$185,3,0))</f>
        <v>14</v>
      </c>
      <c r="DW93" s="15">
        <f>IF(ISNA(VLOOKUP(A93,'Données projet'!$A$165:$I$185,4,0)),0,VLOOKUP(A93,'Données projet'!$A$165:$I$185,4,0))</f>
        <v>28</v>
      </c>
      <c r="DX93" s="16">
        <f>IF(ISNA(VLOOKUP(A93,'Données projet'!$A$165:$I$185,5,0)),0%,VLOOKUP(A93,'Données projet'!$A$165:$I$185,5,0)*VLOOKUP('Données projet'!$B$14,Paramètres!$A$1:$I$89,7,0))</f>
        <v>0.25800000000000001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36.502397869123406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36.502397869123406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159</v>
      </c>
      <c r="EH93" s="12">
        <f>VLOOKUP(A93,'Données projet'!$A$191:$I$211,9,0)</f>
        <v>3.2</v>
      </c>
      <c r="EI93" s="12">
        <f t="array" ref="EI93">INDEX(EH:EH,MIN(IF(ISNUMBER(EH93:EH289),ROW(EH93:EH289),"")))</f>
        <v>3.2</v>
      </c>
      <c r="EJ93" s="12">
        <f>IF('Données projet'!$A$192&gt;35,EJ92+EI93-ER92,IF(A93&lt;'Données projet'!$A$192,$EG$205^A93,IF(A93='Données projet'!$A$192,'Données projet'!$B$192,EJ92+EI93-ER92)))</f>
        <v>158.99999999999994</v>
      </c>
      <c r="EK93" s="17">
        <f>EJ93*VLOOKUP('Données projet'!$B$15,Paramètres!$A$1:$I$89,3,0)*VLOOKUP('Données projet'!$B$15,Paramètres!$A$1:$I$89,5,0)</f>
        <v>153.78479999999996</v>
      </c>
      <c r="EL93" s="13">
        <f t="shared" si="99"/>
        <v>39.437443633352295</v>
      </c>
      <c r="EM93" s="20">
        <f t="shared" si="73"/>
        <v>336.5287409947552</v>
      </c>
      <c r="EN93" s="59">
        <f t="shared" si="74"/>
        <v>641.96606918168209</v>
      </c>
      <c r="EO93" s="59">
        <f ca="1">AVERAGE(OFFSET($EN$3,0,0,'Données projet'!$E$15+1,1))-AVERAGE(OFFSET($H$3,0,0,'Données projet'!$E$15+1,1))</f>
        <v>276.72865583771579</v>
      </c>
      <c r="EP93" s="59">
        <f t="shared" si="100"/>
        <v>174.3587092851154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9</v>
      </c>
      <c r="ES93" s="16">
        <f>IF(ISNA(VLOOKUP(A93,'Données projet'!$A$191:$I$211,5,0)),0%,VLOOKUP(A93,'Données projet'!$A$191:$I$211,5,0)*VLOOKUP('Données projet'!$B$15,Paramètres!$A$1:$I$89,7,0))</f>
        <v>0.25800000000000001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14.877744850301379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14.877744850301379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73.301089505525511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4.25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15.583333333333334</v>
      </c>
      <c r="H94" s="67">
        <f t="shared" si="56"/>
        <v>222.56666666666669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341.11752883785607</v>
      </c>
      <c r="T94" s="59">
        <f t="shared" si="88"/>
        <v>423.15445896616234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62.646696238749719</v>
      </c>
      <c r="AA94" s="21">
        <f>EXP(-LN(2)/25)*AA93+(1-EXP(-LN(2)/25))/(LN(2)/25)*Calculateur!V94*Calculateur!X94*VLOOKUP('Données projet'!$B$9,Paramètres!$A$1:$I$89,3,0)*0.475*44/12</f>
        <v>30.835600650966438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93.482296889716153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3.1</v>
      </c>
      <c r="AI94" s="13">
        <f>IF('Données projet'!$A$62&gt;35,AI93+AH94-AQ93,IF(A94&lt;'Données projet'!$A$62,$AF$205^A94,IF(A94='Données projet'!$A$62,'Données projet'!$B$62,AI93+AH94-AQ93)))</f>
        <v>305.10000000000014</v>
      </c>
      <c r="AJ94" s="13">
        <f>AI94*VLOOKUP('Données projet'!$B$10,Paramètres!$A$1:$I$89,3,0)*VLOOKUP('Données projet'!$B$10,Paramètres!$A$1:$I$89,5,0)</f>
        <v>276.05448000000007</v>
      </c>
      <c r="AK94" s="13">
        <f t="shared" si="89"/>
        <v>66.132519667520256</v>
      </c>
      <c r="AL94" s="20">
        <f t="shared" si="58"/>
        <v>595.97569108759797</v>
      </c>
      <c r="AM94" s="59">
        <f t="shared" si="59"/>
        <v>901.69282723734955</v>
      </c>
      <c r="AN94" s="59">
        <f ca="1">AVERAGE(OFFSET($AM$3,0,0,'Données projet'!$E$10+1,1))-AVERAGE(OFFSET($H$3,0,0,'Données projet'!$E$10+1,1))</f>
        <v>521.72266623522626</v>
      </c>
      <c r="AO94" s="59">
        <f t="shared" si="90"/>
        <v>298.49205684341825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34.026610990952506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34.026610990952506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-6.7984728957526396E-14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376.5647919688821</v>
      </c>
      <c r="BJ94" s="59">
        <f t="shared" si="92"/>
        <v>340.34037344565581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118.64625215314408</v>
      </c>
      <c r="BQ94" s="21">
        <f>EXP(-LN(2)/25)*BQ93+(1-EXP(-LN(2)/25))/(LN(2)/25)*Calculateur!BL94*Calculateur!BN94*VLOOKUP('Données projet'!$B$11,Paramètres!$A$1:$I$89,3,0)*0.475*44/12</f>
        <v>50.926425377661602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169.57267753080566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3.6</v>
      </c>
      <c r="BY94" s="12">
        <f>IF('Données projet'!$A$114&gt;35,BY93+BX94-CG93,IF(A94&lt;'Données projet'!$A$114,$BV$205^A94,IF(A94='Données projet'!$A$114,'Données projet'!$B$114,BY93+BX94-CG93)))</f>
        <v>266.59999999999997</v>
      </c>
      <c r="BZ94" s="13">
        <f>BY94*VLOOKUP('Données projet'!$B$12,Paramètres!$A$1:$I$89,3,0)*VLOOKUP('Données projet'!$B$12,Paramètres!$A$1:$I$89,5,0)</f>
        <v>270.33240000000001</v>
      </c>
      <c r="CA94" s="13">
        <f t="shared" si="93"/>
        <v>64.919807904864967</v>
      </c>
      <c r="CB94" s="20">
        <f t="shared" si="64"/>
        <v>583.89759543430648</v>
      </c>
      <c r="CC94" s="59">
        <f t="shared" si="65"/>
        <v>889.61473158405806</v>
      </c>
      <c r="CD94" s="59">
        <f ca="1">AVERAGE(OFFSET($CC$3,0,0,'Données projet'!$E$12+1,1))-AVERAGE(OFFSET($H$3,0,0,'Données projet'!$E$12+1,1))</f>
        <v>473.09076714002885</v>
      </c>
      <c r="CE94" s="59">
        <f t="shared" si="94"/>
        <v>311.6454557566534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40.875700302228658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40.875700302228658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3.0000000000000058</v>
      </c>
      <c r="CT94" s="12">
        <f>IF('Données projet'!$A$140&gt;35,CT93+CS94-DB93,IF(A94&lt;'Données projet'!$A$140,$CQ$205^A94,IF(A94='Données projet'!$A$140,'Données projet'!$B$140,CT93+CS94-DB93)))</f>
        <v>240</v>
      </c>
      <c r="CU94" s="17">
        <f>CT94*VLOOKUP('Données projet'!$B$13,Paramètres!$A$1:$I$89,3,0)*VLOOKUP('Données projet'!$B$13,Paramètres!$A$1:$I$89,5,0)</f>
        <v>209.66400000000002</v>
      </c>
      <c r="CV94" s="13">
        <f t="shared" si="95"/>
        <v>51.862154403304537</v>
      </c>
      <c r="CW94" s="20">
        <f t="shared" si="67"/>
        <v>455.49138558575538</v>
      </c>
      <c r="CX94" s="59">
        <f t="shared" si="68"/>
        <v>761.20852173550702</v>
      </c>
      <c r="CY94" s="59">
        <f ca="1">AVERAGE(OFFSET($CX$3,0,0,'Données projet'!$E$13+1,1))-AVERAGE(OFFSET($H$3,0,0,'Données projet'!$E$13+1,1))</f>
        <v>379.66247682099424</v>
      </c>
      <c r="CZ94" s="59">
        <f t="shared" si="96"/>
        <v>342.92507939604081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33.445519288504499</v>
      </c>
      <c r="DG94" s="21">
        <f>EXP(-LN(2)/25)*DG93+(1-EXP(-LN(2)/25))/(LN(2)/25)*Calculateur!DB94*Calculateur!DD94*VLOOKUP('Données projet'!$B$13,Paramètres!$A$1:$I$89,3,0)*0.475*44/12</f>
        <v>13.048160516842781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46.493679805347284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3.1</v>
      </c>
      <c r="DO94" s="12">
        <f>IF('Données projet'!$A$166&gt;35,DO93+DN94-DW93,IF(A94&lt;'Données projet'!$A$166,$DL$205^A94,IF(A94='Données projet'!$A$166,'Données projet'!$B$166,DO93+DN94-DW93)))</f>
        <v>305.10000000000014</v>
      </c>
      <c r="DP94" s="17">
        <f>DO94*VLOOKUP('Données projet'!$B$14,Paramètres!$A$1:$I$89,3,0)*VLOOKUP('Données projet'!$B$14,Paramètres!$A$1:$I$89,5,0)</f>
        <v>290.33316000000013</v>
      </c>
      <c r="DQ94" s="13">
        <f t="shared" si="97"/>
        <v>69.146075630790961</v>
      </c>
      <c r="DR94" s="20">
        <f t="shared" si="70"/>
        <v>626.09300205696115</v>
      </c>
      <c r="DS94" s="59">
        <f t="shared" si="71"/>
        <v>931.81013820671274</v>
      </c>
      <c r="DT94" s="59">
        <f ca="1">AVERAGE(OFFSET($DS$3,0,0,'Données projet'!$E$14+1,1))-AVERAGE(OFFSET($H$3,0,0,'Données projet'!$E$14+1,1))</f>
        <v>544.64394576312384</v>
      </c>
      <c r="DU94" s="59">
        <f t="shared" si="98"/>
        <v>310.67291035925484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35.786608111174182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35.786608111174182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2</v>
      </c>
      <c r="EJ94" s="12">
        <f>IF('Données projet'!$A$192&gt;35,EJ93+EI94-ER93,IF(A94&lt;'Données projet'!$A$192,$EG$205^A94,IF(A94='Données projet'!$A$192,'Données projet'!$B$192,EJ93+EI94-ER93)))</f>
        <v>151.99999999999994</v>
      </c>
      <c r="EK94" s="17">
        <f>EJ94*VLOOKUP('Données projet'!$B$15,Paramètres!$A$1:$I$89,3,0)*VLOOKUP('Données projet'!$B$15,Paramètres!$A$1:$I$89,5,0)</f>
        <v>147.01439999999997</v>
      </c>
      <c r="EL94" s="13">
        <f t="shared" si="99"/>
        <v>37.899305454176798</v>
      </c>
      <c r="EM94" s="20">
        <f t="shared" si="73"/>
        <v>322.05803699935785</v>
      </c>
      <c r="EN94" s="59">
        <f t="shared" si="74"/>
        <v>627.77517314910949</v>
      </c>
      <c r="EO94" s="59">
        <f ca="1">AVERAGE(OFFSET($EN$3,0,0,'Données projet'!$E$15+1,1))-AVERAGE(OFFSET($H$3,0,0,'Données projet'!$E$15+1,1))</f>
        <v>276.72865583771579</v>
      </c>
      <c r="EP94" s="59">
        <f t="shared" si="100"/>
        <v>174.3587092851154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14.586001348315293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14.586001348315293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73.377400768114086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4.25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15.583333333333334</v>
      </c>
      <c r="H95" s="67">
        <f t="shared" si="56"/>
        <v>222.56666666666669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341.11752883785607</v>
      </c>
      <c r="T95" s="59">
        <f t="shared" si="88"/>
        <v>423.15445896616234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61.418232736219551</v>
      </c>
      <c r="AA95" s="21">
        <f>EXP(-LN(2)/25)*AA94+(1-EXP(-LN(2)/25))/(LN(2)/25)*Calculateur!V95*Calculateur!X95*VLOOKUP('Données projet'!$B$9,Paramètres!$A$1:$I$89,3,0)*0.475*44/12</f>
        <v>29.992399529591999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91.410632265811557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3.1</v>
      </c>
      <c r="AI95" s="13">
        <f>IF('Données projet'!$A$62&gt;35,AI94+AH95-AQ94,IF(A95&lt;'Données projet'!$A$62,$AF$205^A95,IF(A95='Données projet'!$A$62,'Données projet'!$B$62,AI94+AH95-AQ94)))</f>
        <v>308.20000000000016</v>
      </c>
      <c r="AJ95" s="13">
        <f>AI95*VLOOKUP('Données projet'!$B$10,Paramètres!$A$1:$I$89,3,0)*VLOOKUP('Données projet'!$B$10,Paramètres!$A$1:$I$89,5,0)</f>
        <v>278.85936000000015</v>
      </c>
      <c r="AK95" s="13">
        <f t="shared" si="89"/>
        <v>66.725901622172444</v>
      </c>
      <c r="AL95" s="20">
        <f t="shared" si="58"/>
        <v>601.89433065861726</v>
      </c>
      <c r="AM95" s="59">
        <f t="shared" si="59"/>
        <v>907.88642072859557</v>
      </c>
      <c r="AN95" s="59">
        <f ca="1">AVERAGE(OFFSET($AM$3,0,0,'Données projet'!$E$10+1,1))-AVERAGE(OFFSET($H$3,0,0,'Données projet'!$E$10+1,1))</f>
        <v>521.72266623522626</v>
      </c>
      <c r="AO95" s="59">
        <f t="shared" si="90"/>
        <v>298.49205684341825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33.359369903603323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33.359369903603323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-6.7984728957526396E-14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376.5647919688821</v>
      </c>
      <c r="BJ95" s="59">
        <f t="shared" si="92"/>
        <v>340.34037344565581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116.31967151548908</v>
      </c>
      <c r="BQ95" s="21">
        <f>EXP(-LN(2)/25)*BQ94+(1-EXP(-LN(2)/25))/(LN(2)/25)*Calculateur!BL95*Calculateur!BN95*VLOOKUP('Données projet'!$B$11,Paramètres!$A$1:$I$89,3,0)*0.475*44/12</f>
        <v>49.53383959760513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165.85351111309421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3.6</v>
      </c>
      <c r="BY95" s="12">
        <f>IF('Données projet'!$A$114&gt;35,BY94+BX95-CG94,IF(A95&lt;'Données projet'!$A$114,$BV$205^A95,IF(A95='Données projet'!$A$114,'Données projet'!$B$114,BY94+BX95-CG94)))</f>
        <v>270.2</v>
      </c>
      <c r="BZ95" s="13">
        <f>BY95*VLOOKUP('Données projet'!$B$12,Paramètres!$A$1:$I$89,3,0)*VLOOKUP('Données projet'!$B$12,Paramètres!$A$1:$I$89,5,0)</f>
        <v>273.9828</v>
      </c>
      <c r="CA95" s="13">
        <f t="shared" si="93"/>
        <v>65.693798259477774</v>
      </c>
      <c r="CB95" s="20">
        <f t="shared" si="64"/>
        <v>591.6034086352571</v>
      </c>
      <c r="CC95" s="59">
        <f t="shared" si="65"/>
        <v>897.5954987052354</v>
      </c>
      <c r="CD95" s="59">
        <f ca="1">AVERAGE(OFFSET($CC$3,0,0,'Données projet'!$E$12+1,1))-AVERAGE(OFFSET($H$3,0,0,'Données projet'!$E$12+1,1))</f>
        <v>473.09076714002885</v>
      </c>
      <c r="CE95" s="59">
        <f t="shared" si="94"/>
        <v>311.6454557566534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40.074152751017337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40.074152751017337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3.0000000000000058</v>
      </c>
      <c r="CT95" s="12">
        <f>IF('Données projet'!$A$140&gt;35,CT94+CS95-DB94,IF(A95&lt;'Données projet'!$A$140,$CQ$205^A95,IF(A95='Données projet'!$A$140,'Données projet'!$B$140,CT94+CS95-DB94)))</f>
        <v>243</v>
      </c>
      <c r="CU95" s="17">
        <f>CT95*VLOOKUP('Données projet'!$B$13,Paramètres!$A$1:$I$89,3,0)*VLOOKUP('Données projet'!$B$13,Paramètres!$A$1:$I$89,5,0)</f>
        <v>212.28480000000002</v>
      </c>
      <c r="CV95" s="13">
        <f t="shared" si="95"/>
        <v>52.434557099704193</v>
      </c>
      <c r="CW95" s="20">
        <f t="shared" si="67"/>
        <v>461.05288028198476</v>
      </c>
      <c r="CX95" s="59">
        <f t="shared" si="68"/>
        <v>767.044970351963</v>
      </c>
      <c r="CY95" s="59">
        <f ca="1">AVERAGE(OFFSET($CX$3,0,0,'Données projet'!$E$13+1,1))-AVERAGE(OFFSET($H$3,0,0,'Données projet'!$E$13+1,1))</f>
        <v>379.66247682099424</v>
      </c>
      <c r="CZ95" s="59">
        <f t="shared" si="96"/>
        <v>342.92507939604081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32.789673055009381</v>
      </c>
      <c r="DG95" s="21">
        <f>EXP(-LN(2)/25)*DG94+(1-EXP(-LN(2)/25))/(LN(2)/25)*Calculateur!DB95*Calculateur!DD95*VLOOKUP('Données projet'!$B$13,Paramètres!$A$1:$I$89,3,0)*0.475*44/12</f>
        <v>12.691357881336776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45.481030936346158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3.1</v>
      </c>
      <c r="DO95" s="12">
        <f>IF('Données projet'!$A$166&gt;35,DO94+DN95-DW94,IF(A95&lt;'Données projet'!$A$166,$DL$205^A95,IF(A95='Données projet'!$A$166,'Données projet'!$B$166,DO94+DN95-DW94)))</f>
        <v>308.20000000000016</v>
      </c>
      <c r="DP95" s="17">
        <f>DO95*VLOOKUP('Données projet'!$B$14,Paramètres!$A$1:$I$89,3,0)*VLOOKUP('Données projet'!$B$14,Paramètres!$A$1:$I$89,5,0)</f>
        <v>293.28312000000017</v>
      </c>
      <c r="DQ95" s="13">
        <f t="shared" si="97"/>
        <v>69.766497077313858</v>
      </c>
      <c r="DR95" s="20">
        <f t="shared" si="70"/>
        <v>632.31141640965518</v>
      </c>
      <c r="DS95" s="59">
        <f t="shared" si="71"/>
        <v>938.30350647963348</v>
      </c>
      <c r="DT95" s="59">
        <f ca="1">AVERAGE(OFFSET($DS$3,0,0,'Données projet'!$E$14+1,1))-AVERAGE(OFFSET($H$3,0,0,'Données projet'!$E$14+1,1))</f>
        <v>544.64394576312384</v>
      </c>
      <c r="DU95" s="59">
        <f t="shared" si="98"/>
        <v>310.67291035925484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35.084854553789697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35.084854553789697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2</v>
      </c>
      <c r="EJ95" s="12">
        <f>IF('Données projet'!$A$192&gt;35,EJ94+EI95-ER94,IF(A95&lt;'Données projet'!$A$192,$EG$205^A95,IF(A95='Données projet'!$A$192,'Données projet'!$B$192,EJ94+EI95-ER94)))</f>
        <v>153.99999999999994</v>
      </c>
      <c r="EK95" s="17">
        <f>EJ95*VLOOKUP('Données projet'!$B$15,Paramètres!$A$1:$I$89,3,0)*VLOOKUP('Données projet'!$B$15,Paramètres!$A$1:$I$89,5,0)</f>
        <v>148.94879999999995</v>
      </c>
      <c r="EL95" s="13">
        <f t="shared" si="99"/>
        <v>38.339598959124594</v>
      </c>
      <c r="EM95" s="20">
        <f t="shared" si="73"/>
        <v>326.19396152047523</v>
      </c>
      <c r="EN95" s="59">
        <f t="shared" si="74"/>
        <v>632.18605159045353</v>
      </c>
      <c r="EO95" s="59">
        <f ca="1">AVERAGE(OFFSET($EN$3,0,0,'Données projet'!$E$15+1,1))-AVERAGE(OFFSET($H$3,0,0,'Données projet'!$E$15+1,1))</f>
        <v>276.72865583771579</v>
      </c>
      <c r="EP95" s="59">
        <f t="shared" si="100"/>
        <v>174.3587092851154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14.299978758457188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14.299978758457188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73.452388200903172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4.25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15.583333333333334</v>
      </c>
      <c r="H96" s="67">
        <f t="shared" si="56"/>
        <v>222.56666666666669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341.11752883785607</v>
      </c>
      <c r="T96" s="59">
        <f t="shared" si="88"/>
        <v>423.15445896616234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60.213858653685243</v>
      </c>
      <c r="AA96" s="21">
        <f>EXP(-LN(2)/25)*AA95+(1-EXP(-LN(2)/25))/(LN(2)/25)*Calculateur!V96*Calculateur!X96*VLOOKUP('Données projet'!$B$9,Paramètres!$A$1:$I$89,3,0)*0.475*44/12</f>
        <v>29.172255787223563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89.386114440908813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3.1</v>
      </c>
      <c r="AI96" s="13">
        <f>IF('Données projet'!$A$62&gt;35,AI95+AH96-AQ95,IF(A96&lt;'Données projet'!$A$62,$AF$205^A96,IF(A96='Données projet'!$A$62,'Données projet'!$B$62,AI95+AH96-AQ95)))</f>
        <v>311.30000000000018</v>
      </c>
      <c r="AJ96" s="13">
        <f>AI96*VLOOKUP('Données projet'!$B$10,Paramètres!$A$1:$I$89,3,0)*VLOOKUP('Données projet'!$B$10,Paramètres!$A$1:$I$89,5,0)</f>
        <v>281.66424000000012</v>
      </c>
      <c r="AK96" s="13">
        <f t="shared" si="89"/>
        <v>67.31858924046395</v>
      </c>
      <c r="AL96" s="20">
        <f t="shared" si="58"/>
        <v>607.81176092714156</v>
      </c>
      <c r="AM96" s="59">
        <f t="shared" si="59"/>
        <v>914.0740350815355</v>
      </c>
      <c r="AN96" s="59">
        <f ca="1">AVERAGE(OFFSET($AM$3,0,0,'Données projet'!$E$10+1,1))-AVERAGE(OFFSET($H$3,0,0,'Données projet'!$E$10+1,1))</f>
        <v>521.72266623522626</v>
      </c>
      <c r="AO96" s="59">
        <f t="shared" si="90"/>
        <v>298.49205684341825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32.705213007000182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32.705213007000182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-6.7984728957526396E-14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376.5647919688821</v>
      </c>
      <c r="BJ96" s="59">
        <f t="shared" si="92"/>
        <v>340.34037344565581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114.03871370506442</v>
      </c>
      <c r="BQ96" s="21">
        <f>EXP(-LN(2)/25)*BQ95+(1-EXP(-LN(2)/25))/(LN(2)/25)*Calculateur!BL96*Calculateur!BN96*VLOOKUP('Données projet'!$B$11,Paramètres!$A$1:$I$89,3,0)*0.475*44/12</f>
        <v>48.179334148937201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162.21804785400161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3.6</v>
      </c>
      <c r="BY96" s="12">
        <f>IF('Données projet'!$A$114&gt;35,BY95+BX96-CG95,IF(A96&lt;'Données projet'!$A$114,$BV$205^A96,IF(A96='Données projet'!$A$114,'Données projet'!$B$114,BY95+BX96-CG95)))</f>
        <v>273.8</v>
      </c>
      <c r="BZ96" s="13">
        <f>BY96*VLOOKUP('Données projet'!$B$12,Paramètres!$A$1:$I$89,3,0)*VLOOKUP('Données projet'!$B$12,Paramètres!$A$1:$I$89,5,0)</f>
        <v>277.63320000000004</v>
      </c>
      <c r="CA96" s="13">
        <f t="shared" si="93"/>
        <v>66.466589162975708</v>
      </c>
      <c r="CB96" s="20">
        <f t="shared" si="64"/>
        <v>599.30713279218264</v>
      </c>
      <c r="CC96" s="59">
        <f t="shared" si="65"/>
        <v>905.56940694657658</v>
      </c>
      <c r="CD96" s="59">
        <f ca="1">AVERAGE(OFFSET($CC$3,0,0,'Données projet'!$E$12+1,1))-AVERAGE(OFFSET($H$3,0,0,'Données projet'!$E$12+1,1))</f>
        <v>473.09076714002885</v>
      </c>
      <c r="CE96" s="59">
        <f t="shared" si="94"/>
        <v>311.6454557566534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39.288323058389537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39.288323058389537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3.0000000000000058</v>
      </c>
      <c r="CT96" s="12">
        <f>IF('Données projet'!$A$140&gt;35,CT95+CS96-DB95,IF(A96&lt;'Données projet'!$A$140,$CQ$205^A96,IF(A96='Données projet'!$A$140,'Données projet'!$B$140,CT95+CS96-DB95)))</f>
        <v>246</v>
      </c>
      <c r="CU96" s="17">
        <f>CT96*VLOOKUP('Données projet'!$B$13,Paramètres!$A$1:$I$89,3,0)*VLOOKUP('Données projet'!$B$13,Paramètres!$A$1:$I$89,5,0)</f>
        <v>214.90560000000005</v>
      </c>
      <c r="CV96" s="13">
        <f t="shared" si="95"/>
        <v>53.006137800892326</v>
      </c>
      <c r="CW96" s="20">
        <f t="shared" si="67"/>
        <v>466.61294333655422</v>
      </c>
      <c r="CX96" s="59">
        <f t="shared" si="68"/>
        <v>772.87521749094822</v>
      </c>
      <c r="CY96" s="59">
        <f ca="1">AVERAGE(OFFSET($CX$3,0,0,'Données projet'!$E$13+1,1))-AVERAGE(OFFSET($H$3,0,0,'Données projet'!$E$13+1,1))</f>
        <v>379.66247682099424</v>
      </c>
      <c r="CZ96" s="59">
        <f t="shared" si="96"/>
        <v>342.92507939604081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32.146687566126403</v>
      </c>
      <c r="DG96" s="21">
        <f>EXP(-LN(2)/25)*DG95+(1-EXP(-LN(2)/25))/(LN(2)/25)*Calculateur!DB96*Calculateur!DD96*VLOOKUP('Données projet'!$B$13,Paramètres!$A$1:$I$89,3,0)*0.475*44/12</f>
        <v>12.344312032662117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44.49099959878852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3.1</v>
      </c>
      <c r="DO96" s="12">
        <f>IF('Données projet'!$A$166&gt;35,DO95+DN96-DW95,IF(A96&lt;'Données projet'!$A$166,$DL$205^A96,IF(A96='Données projet'!$A$166,'Données projet'!$B$166,DO95+DN96-DW95)))</f>
        <v>311.30000000000018</v>
      </c>
      <c r="DP96" s="17">
        <f>DO96*VLOOKUP('Données projet'!$B$14,Paramètres!$A$1:$I$89,3,0)*VLOOKUP('Données projet'!$B$14,Paramètres!$A$1:$I$89,5,0)</f>
        <v>296.2330800000002</v>
      </c>
      <c r="DQ96" s="13">
        <f t="shared" si="97"/>
        <v>70.386192547649088</v>
      </c>
      <c r="DR96" s="20">
        <f t="shared" si="70"/>
        <v>638.52856635382261</v>
      </c>
      <c r="DS96" s="59">
        <f t="shared" si="71"/>
        <v>944.79084050821655</v>
      </c>
      <c r="DT96" s="59">
        <f ca="1">AVERAGE(OFFSET($DS$3,0,0,'Données projet'!$E$14+1,1))-AVERAGE(OFFSET($H$3,0,0,'Données projet'!$E$14+1,1))</f>
        <v>544.64394576312384</v>
      </c>
      <c r="DU96" s="59">
        <f t="shared" si="98"/>
        <v>310.67291035925484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34.396861955638116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34.396861955638116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2</v>
      </c>
      <c r="EJ96" s="12">
        <f>IF('Données projet'!$A$192&gt;35,EJ95+EI96-ER95,IF(A96&lt;'Données projet'!$A$192,$EG$205^A96,IF(A96='Données projet'!$A$192,'Données projet'!$B$192,EJ95+EI96-ER95)))</f>
        <v>155.99999999999994</v>
      </c>
      <c r="EK96" s="17">
        <f>EJ96*VLOOKUP('Données projet'!$B$15,Paramètres!$A$1:$I$89,3,0)*VLOOKUP('Données projet'!$B$15,Paramètres!$A$1:$I$89,5,0)</f>
        <v>150.88319999999996</v>
      </c>
      <c r="EL96" s="13">
        <f t="shared" si="99"/>
        <v>38.779227360583164</v>
      </c>
      <c r="EM96" s="20">
        <f t="shared" si="73"/>
        <v>330.32872765301562</v>
      </c>
      <c r="EN96" s="59">
        <f t="shared" si="74"/>
        <v>636.59100180740961</v>
      </c>
      <c r="EO96" s="59">
        <f ca="1">AVERAGE(OFFSET($EN$3,0,0,'Données projet'!$E$15+1,1))-AVERAGE(OFFSET($H$3,0,0,'Données projet'!$E$15+1,1))</f>
        <v>276.72865583771579</v>
      </c>
      <c r="EP96" s="59">
        <f t="shared" si="100"/>
        <v>174.3587092851154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14.019564897129646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14.019564897129646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73.526074769380159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4.25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15.583333333333334</v>
      </c>
      <c r="H97" s="67">
        <f t="shared" si="56"/>
        <v>222.56666666666669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341.11752883785607</v>
      </c>
      <c r="T97" s="59">
        <f t="shared" si="88"/>
        <v>423.15445896616234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59.033101612313779</v>
      </c>
      <c r="AA97" s="21">
        <f>EXP(-LN(2)/25)*AA96+(1-EXP(-LN(2)/25))/(LN(2)/25)*Calculateur!V97*Calculateur!X97*VLOOKUP('Données projet'!$B$9,Paramètres!$A$1:$I$89,3,0)*0.475*44/12</f>
        <v>28.374538918619677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87.407640530933463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3.1</v>
      </c>
      <c r="AI97" s="13">
        <f>IF('Données projet'!$A$62&gt;35,AI96+AH97-AQ96,IF(A97&lt;'Données projet'!$A$62,$AF$205^A97,IF(A97='Données projet'!$A$62,'Données projet'!$B$62,AI96+AH97-AQ96)))</f>
        <v>314.4000000000002</v>
      </c>
      <c r="AJ97" s="13">
        <f>AI97*VLOOKUP('Données projet'!$B$10,Paramètres!$A$1:$I$89,3,0)*VLOOKUP('Données projet'!$B$10,Paramètres!$A$1:$I$89,5,0)</f>
        <v>284.4691200000002</v>
      </c>
      <c r="AK97" s="13">
        <f t="shared" si="89"/>
        <v>67.910590237379097</v>
      </c>
      <c r="AL97" s="20">
        <f t="shared" si="58"/>
        <v>613.72799533010232</v>
      </c>
      <c r="AM97" s="59">
        <f t="shared" si="59"/>
        <v>920.25576647908838</v>
      </c>
      <c r="AN97" s="59">
        <f ca="1">AVERAGE(OFFSET($AM$3,0,0,'Données projet'!$E$10+1,1))-AVERAGE(OFFSET($H$3,0,0,'Données projet'!$E$10+1,1))</f>
        <v>521.72266623522626</v>
      </c>
      <c r="AO97" s="59">
        <f t="shared" si="90"/>
        <v>298.49205684341825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32.063883728143118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32.063883728143118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-6.7984728957526396E-14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376.5647919688821</v>
      </c>
      <c r="BJ97" s="59">
        <f t="shared" si="92"/>
        <v>340.34037344565581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111.80248408605532</v>
      </c>
      <c r="BQ97" s="21">
        <f>EXP(-LN(2)/25)*BQ96+(1-EXP(-LN(2)/25))/(LN(2)/25)*Calculateur!BL97*Calculateur!BN97*VLOOKUP('Données projet'!$B$11,Paramètres!$A$1:$I$89,3,0)*0.475*44/12</f>
        <v>46.861867722993445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158.66435180904875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3.6</v>
      </c>
      <c r="BY97" s="12">
        <f>IF('Données projet'!$A$114&gt;35,BY96+BX97-CG96,IF(A97&lt;'Données projet'!$A$114,$BV$205^A97,IF(A97='Données projet'!$A$114,'Données projet'!$B$114,BY96+BX97-CG96)))</f>
        <v>277.40000000000003</v>
      </c>
      <c r="BZ97" s="13">
        <f>BY97*VLOOKUP('Données projet'!$B$12,Paramètres!$A$1:$I$89,3,0)*VLOOKUP('Données projet'!$B$12,Paramètres!$A$1:$I$89,5,0)</f>
        <v>281.28360000000004</v>
      </c>
      <c r="CA97" s="13">
        <f t="shared" si="93"/>
        <v>67.238198209347928</v>
      </c>
      <c r="CB97" s="20">
        <f t="shared" si="64"/>
        <v>607.00879854794766</v>
      </c>
      <c r="CC97" s="59">
        <f t="shared" si="65"/>
        <v>913.53656969693373</v>
      </c>
      <c r="CD97" s="59">
        <f ca="1">AVERAGE(OFFSET($CC$3,0,0,'Données projet'!$E$12+1,1))-AVERAGE(OFFSET($H$3,0,0,'Données projet'!$E$12+1,1))</f>
        <v>473.09076714002885</v>
      </c>
      <c r="CE97" s="59">
        <f t="shared" si="94"/>
        <v>311.6454557566534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38.517903006725383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38.517903006725383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3.0000000000000058</v>
      </c>
      <c r="CT97" s="12">
        <f>IF('Données projet'!$A$140&gt;35,CT96+CS97-DB96,IF(A97&lt;'Données projet'!$A$140,$CQ$205^A97,IF(A97='Données projet'!$A$140,'Données projet'!$B$140,CT96+CS97-DB96)))</f>
        <v>249</v>
      </c>
      <c r="CU97" s="17">
        <f>CT97*VLOOKUP('Données projet'!$B$13,Paramètres!$A$1:$I$89,3,0)*VLOOKUP('Données projet'!$B$13,Paramètres!$A$1:$I$89,5,0)</f>
        <v>217.52640000000005</v>
      </c>
      <c r="CV97" s="13">
        <f t="shared" si="95"/>
        <v>53.576907690651254</v>
      </c>
      <c r="CW97" s="20">
        <f t="shared" si="67"/>
        <v>472.17159422788433</v>
      </c>
      <c r="CX97" s="59">
        <f t="shared" si="68"/>
        <v>778.69936537687045</v>
      </c>
      <c r="CY97" s="59">
        <f ca="1">AVERAGE(OFFSET($CX$3,0,0,'Données projet'!$E$13+1,1))-AVERAGE(OFFSET($H$3,0,0,'Données projet'!$E$13+1,1))</f>
        <v>379.66247682099424</v>
      </c>
      <c r="CZ97" s="59">
        <f t="shared" si="96"/>
        <v>342.92507939604081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31.516310630497994</v>
      </c>
      <c r="DG97" s="21">
        <f>EXP(-LN(2)/25)*DG96+(1-EXP(-LN(2)/25))/(LN(2)/25)*Calculateur!DB97*Calculateur!DD97*VLOOKUP('Données projet'!$B$13,Paramètres!$A$1:$I$89,3,0)*0.475*44/12</f>
        <v>12.006756170969815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43.523066801467806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3.1</v>
      </c>
      <c r="DO97" s="12">
        <f>IF('Données projet'!$A$166&gt;35,DO96+DN97-DW96,IF(A97&lt;'Données projet'!$A$166,$DL$205^A97,IF(A97='Données projet'!$A$166,'Données projet'!$B$166,DO96+DN97-DW96)))</f>
        <v>314.4000000000002</v>
      </c>
      <c r="DP97" s="17">
        <f>DO97*VLOOKUP('Données projet'!$B$14,Paramètres!$A$1:$I$89,3,0)*VLOOKUP('Données projet'!$B$14,Paramètres!$A$1:$I$89,5,0)</f>
        <v>299.18304000000023</v>
      </c>
      <c r="DQ97" s="13">
        <f t="shared" si="97"/>
        <v>71.00517010834082</v>
      </c>
      <c r="DR97" s="20">
        <f t="shared" si="70"/>
        <v>644.74446593869402</v>
      </c>
      <c r="DS97" s="59">
        <f t="shared" si="71"/>
        <v>951.27223708768008</v>
      </c>
      <c r="DT97" s="59">
        <f ca="1">AVERAGE(OFFSET($DS$3,0,0,'Données projet'!$E$14+1,1))-AVERAGE(OFFSET($H$3,0,0,'Données projet'!$E$14+1,1))</f>
        <v>544.64394576312384</v>
      </c>
      <c r="DU97" s="59">
        <f t="shared" si="98"/>
        <v>310.67291035925484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33.722360472702242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33.722360472702242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2</v>
      </c>
      <c r="EJ97" s="12">
        <f>IF('Données projet'!$A$192&gt;35,EJ96+EI97-ER96,IF(A97&lt;'Données projet'!$A$192,$EG$205^A97,IF(A97='Données projet'!$A$192,'Données projet'!$B$192,EJ96+EI97-ER96)))</f>
        <v>157.99999999999994</v>
      </c>
      <c r="EK97" s="17">
        <f>EJ97*VLOOKUP('Données projet'!$B$15,Paramètres!$A$1:$I$89,3,0)*VLOOKUP('Données projet'!$B$15,Paramètres!$A$1:$I$89,5,0)</f>
        <v>152.81759999999994</v>
      </c>
      <c r="EL97" s="13">
        <f t="shared" si="99"/>
        <v>39.218200171484192</v>
      </c>
      <c r="EM97" s="20">
        <f t="shared" si="73"/>
        <v>334.46235196533485</v>
      </c>
      <c r="EN97" s="59">
        <f t="shared" si="74"/>
        <v>640.99012311432091</v>
      </c>
      <c r="EO97" s="59">
        <f ca="1">AVERAGE(OFFSET($EN$3,0,0,'Données projet'!$E$15+1,1))-AVERAGE(OFFSET($H$3,0,0,'Données projet'!$E$15+1,1))</f>
        <v>276.72865583771579</v>
      </c>
      <c r="EP97" s="59">
        <f t="shared" si="100"/>
        <v>174.3587092851154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13.744649780587171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13.744649780587171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73.598483040632559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4.25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15.583333333333334</v>
      </c>
      <c r="H98" s="67">
        <f t="shared" si="56"/>
        <v>222.56666666666669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341.11752883785607</v>
      </c>
      <c r="T98" s="59">
        <f t="shared" si="88"/>
        <v>423.15445896616234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57.875498496332931</v>
      </c>
      <c r="AA98" s="21">
        <f>EXP(-LN(2)/25)*AA97+(1-EXP(-LN(2)/25))/(LN(2)/25)*Calculateur!V98*Calculateur!X98*VLOOKUP('Données projet'!$B$9,Paramètres!$A$1:$I$89,3,0)*0.475*44/12</f>
        <v>27.598635659737873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85.474134156070804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3.1</v>
      </c>
      <c r="AI98" s="13">
        <f>IF('Données projet'!$A$62&gt;35,AI97+AH98-AQ97,IF(A98&lt;'Données projet'!$A$62,$AF$205^A98,IF(A98='Données projet'!$A$62,'Données projet'!$B$62,AI97+AH98-AQ97)))</f>
        <v>317.50000000000023</v>
      </c>
      <c r="AJ98" s="13">
        <f>AI98*VLOOKUP('Données projet'!$B$10,Paramètres!$A$1:$I$89,3,0)*VLOOKUP('Données projet'!$B$10,Paramètres!$A$1:$I$89,5,0)</f>
        <v>287.27400000000017</v>
      </c>
      <c r="AK98" s="13">
        <f t="shared" si="89"/>
        <v>68.501912166992085</v>
      </c>
      <c r="AL98" s="20">
        <f t="shared" si="58"/>
        <v>619.64304702417814</v>
      </c>
      <c r="AM98" s="59">
        <f t="shared" si="59"/>
        <v>926.43170938846242</v>
      </c>
      <c r="AN98" s="59">
        <f ca="1">AVERAGE(OFFSET($AM$3,0,0,'Données projet'!$E$10+1,1))-AVERAGE(OFFSET($H$3,0,0,'Données projet'!$E$10+1,1))</f>
        <v>521.72266623522626</v>
      </c>
      <c r="AO98" s="59">
        <f t="shared" si="90"/>
        <v>298.49205684341825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31.435130525272207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31.435130525272207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-6.7984728957526396E-14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376.5647919688821</v>
      </c>
      <c r="BJ98" s="59">
        <f t="shared" si="92"/>
        <v>340.34037344565581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109.61010556590959</v>
      </c>
      <c r="BQ98" s="21">
        <f>EXP(-LN(2)/25)*BQ97+(1-EXP(-LN(2)/25))/(LN(2)/25)*Calculateur!BL98*Calculateur!BN98*VLOOKUP('Données projet'!$B$11,Paramètres!$A$1:$I$89,3,0)*0.475*44/12</f>
        <v>45.580427485749667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155.19053305165926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3.6</v>
      </c>
      <c r="BY98" s="12">
        <f>IF('Données projet'!$A$114&gt;35,BY97+BX98-CG97,IF(A98&lt;'Données projet'!$A$114,$BV$205^A98,IF(A98='Données projet'!$A$114,'Données projet'!$B$114,BY97+BX98-CG97)))</f>
        <v>281.00000000000006</v>
      </c>
      <c r="BZ98" s="13">
        <f>BY98*VLOOKUP('Données projet'!$B$12,Paramètres!$A$1:$I$89,3,0)*VLOOKUP('Données projet'!$B$12,Paramètres!$A$1:$I$89,5,0)</f>
        <v>284.93400000000008</v>
      </c>
      <c r="CA98" s="13">
        <f t="shared" si="93"/>
        <v>68.008642509673351</v>
      </c>
      <c r="CB98" s="20">
        <f t="shared" si="64"/>
        <v>614.70843570434783</v>
      </c>
      <c r="CC98" s="59">
        <f t="shared" si="65"/>
        <v>921.49709806863211</v>
      </c>
      <c r="CD98" s="59">
        <f ca="1">AVERAGE(OFFSET($CC$3,0,0,'Données projet'!$E$12+1,1))-AVERAGE(OFFSET($H$3,0,0,'Données projet'!$E$12+1,1))</f>
        <v>473.09076714002885</v>
      </c>
      <c r="CE98" s="59">
        <f t="shared" si="94"/>
        <v>311.6454557566534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37.762590422364532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37.762590422364532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252</v>
      </c>
      <c r="CR98" s="12">
        <f>VLOOKUP(A98,'Données projet'!$A$139:$I$159,9,0)</f>
        <v>3.0000000000000058</v>
      </c>
      <c r="CS98" s="12">
        <f t="array" ref="CS98">INDEX(CR:CR,MIN(IF(ISNUMBER(CR98:CR294),ROW(CR98:CR294),"")))</f>
        <v>3.0000000000000058</v>
      </c>
      <c r="CT98" s="12">
        <f>IF('Données projet'!$A$140&gt;35,CT97+CS98-DB97,IF(A98&lt;'Données projet'!$A$140,$CQ$205^A98,IF(A98='Données projet'!$A$140,'Données projet'!$B$140,CT97+CS98-DB97)))</f>
        <v>252</v>
      </c>
      <c r="CU98" s="17">
        <f>CT98*VLOOKUP('Données projet'!$B$13,Paramètres!$A$1:$I$89,3,0)*VLOOKUP('Données projet'!$B$13,Paramètres!$A$1:$I$89,5,0)</f>
        <v>220.14720000000003</v>
      </c>
      <c r="CV98" s="13">
        <f t="shared" si="95"/>
        <v>54.146877667769687</v>
      </c>
      <c r="CW98" s="20">
        <f t="shared" si="67"/>
        <v>477.72885193803222</v>
      </c>
      <c r="CX98" s="59">
        <f t="shared" si="68"/>
        <v>784.51751430231661</v>
      </c>
      <c r="CY98" s="59">
        <f ca="1">AVERAGE(OFFSET($CX$3,0,0,'Données projet'!$E$13+1,1))-AVERAGE(OFFSET($H$3,0,0,'Données projet'!$E$13+1,1))</f>
        <v>379.66247682099424</v>
      </c>
      <c r="CZ98" s="59">
        <f t="shared" si="96"/>
        <v>342.92507939604081</v>
      </c>
      <c r="DA98" s="15">
        <f>IF(ISNA(VLOOKUP(A98,'Données projet'!$A$139:$I$159,3,0)),0,VLOOKUP(A98,'Données projet'!$A$139:$I$159,3,0))</f>
        <v>18</v>
      </c>
      <c r="DB98" s="15">
        <f>IF(ISNA(VLOOKUP(A98,'Données projet'!$A$139:$I$159,4,0)),0,VLOOKUP(A98,'Données projet'!$A$139:$I$159,4,0))</f>
        <v>12</v>
      </c>
      <c r="DC98" s="16">
        <f>IF(ISNA(VLOOKUP(A98,'Données projet'!$A$139:$I$159,5,0)),0%,VLOOKUP(A98,'Données projet'!$A$139:$I$159,5,0)*VLOOKUP('Données projet'!$B$13,Paramètres!$A$1:$I$89,7,0))</f>
        <v>0.25800000000000001</v>
      </c>
      <c r="DD98" s="16">
        <f>IF(ISNA(VLOOKUP(A98,'Données projet'!$A$139:$I$159,6,0)),0%,VLOOKUP(A98,'Données projet'!$A$139:$I$159,6,0)*VLOOKUP('Données projet'!$B$13,Paramètres!$A$1:$I$89,7,0))</f>
        <v>0.129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33.888222709427012</v>
      </c>
      <c r="DG98" s="21">
        <f>EXP(-LN(2)/25)*DG97+(1-EXP(-LN(2)/25))/(LN(2)/25)*Calculateur!DB98*Calculateur!DD98*VLOOKUP('Données projet'!$B$13,Paramètres!$A$1:$I$89,3,0)*0.475*44/12</f>
        <v>13.16750840341985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47.055731112846864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3.1</v>
      </c>
      <c r="DO98" s="12">
        <f>IF('Données projet'!$A$166&gt;35,DO97+DN98-DW97,IF(A98&lt;'Données projet'!$A$166,$DL$205^A98,IF(A98='Données projet'!$A$166,'Données projet'!$B$166,DO97+DN98-DW97)))</f>
        <v>317.50000000000023</v>
      </c>
      <c r="DP98" s="17">
        <f>DO98*VLOOKUP('Données projet'!$B$14,Paramètres!$A$1:$I$89,3,0)*VLOOKUP('Données projet'!$B$14,Paramètres!$A$1:$I$89,5,0)</f>
        <v>302.13300000000021</v>
      </c>
      <c r="DQ98" s="13">
        <f t="shared" si="97"/>
        <v>71.623437657690616</v>
      </c>
      <c r="DR98" s="20">
        <f t="shared" si="70"/>
        <v>650.95912892047807</v>
      </c>
      <c r="DS98" s="59">
        <f t="shared" si="71"/>
        <v>957.74779128476234</v>
      </c>
      <c r="DT98" s="59">
        <f ca="1">AVERAGE(OFFSET($DS$3,0,0,'Données projet'!$E$14+1,1))-AVERAGE(OFFSET($H$3,0,0,'Données projet'!$E$14+1,1))</f>
        <v>544.64394576312384</v>
      </c>
      <c r="DU98" s="59">
        <f t="shared" si="98"/>
        <v>310.67291035925484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33.061085552441455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33.061085552441455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2</v>
      </c>
      <c r="EJ98" s="12">
        <f>IF('Données projet'!$A$192&gt;35,EJ97+EI98-ER97,IF(A98&lt;'Données projet'!$A$192,$EG$205^A98,IF(A98='Données projet'!$A$192,'Données projet'!$B$192,EJ97+EI98-ER97)))</f>
        <v>159.99999999999994</v>
      </c>
      <c r="EK98" s="17">
        <f>EJ98*VLOOKUP('Données projet'!$B$15,Paramètres!$A$1:$I$89,3,0)*VLOOKUP('Données projet'!$B$15,Paramètres!$A$1:$I$89,5,0)</f>
        <v>154.75199999999995</v>
      </c>
      <c r="EL98" s="13">
        <f t="shared" si="99"/>
        <v>39.656526650076415</v>
      </c>
      <c r="EM98" s="20">
        <f t="shared" si="73"/>
        <v>338.59485058221634</v>
      </c>
      <c r="EN98" s="59">
        <f t="shared" si="74"/>
        <v>645.38351294650067</v>
      </c>
      <c r="EO98" s="59">
        <f ca="1">AVERAGE(OFFSET($EN$3,0,0,'Données projet'!$E$15+1,1))-AVERAGE(OFFSET($H$3,0,0,'Données projet'!$E$15+1,1))</f>
        <v>276.72865583771579</v>
      </c>
      <c r="EP98" s="59">
        <f t="shared" si="100"/>
        <v>174.3587092851154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13.47512558179843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13.47512558179843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73.66963519025937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4.25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15.583333333333334</v>
      </c>
      <c r="H99" s="67">
        <f t="shared" si="56"/>
        <v>222.56666666666669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341.11752883785607</v>
      </c>
      <c r="T99" s="59">
        <f t="shared" si="88"/>
        <v>423.15445896616234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56.74059527138828</v>
      </c>
      <c r="AA99" s="21">
        <f>EXP(-LN(2)/25)*AA98+(1-EXP(-LN(2)/25))/(LN(2)/25)*Calculateur!V99*Calculateur!X99*VLOOKUP('Données projet'!$B$9,Paramètres!$A$1:$I$89,3,0)*0.475*44/12</f>
        <v>26.84394951627317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83.584544787661457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3.1</v>
      </c>
      <c r="AI99" s="13">
        <f>IF('Données projet'!$A$62&gt;35,AI98+AH99-AQ98,IF(A99&lt;'Données projet'!$A$62,$AF$205^A99,IF(A99='Données projet'!$A$62,'Données projet'!$B$62,AI98+AH99-AQ98)))</f>
        <v>320.60000000000025</v>
      </c>
      <c r="AJ99" s="13">
        <f>AI99*VLOOKUP('Données projet'!$B$10,Paramètres!$A$1:$I$89,3,0)*VLOOKUP('Données projet'!$B$10,Paramètres!$A$1:$I$89,5,0)</f>
        <v>290.0788800000002</v>
      </c>
      <c r="AK99" s="13">
        <f t="shared" si="89"/>
        <v>69.092562427360534</v>
      </c>
      <c r="AL99" s="20">
        <f t="shared" si="58"/>
        <v>625.55692889431987</v>
      </c>
      <c r="AM99" s="59">
        <f t="shared" si="59"/>
        <v>932.60195659458248</v>
      </c>
      <c r="AN99" s="59">
        <f ca="1">AVERAGE(OFFSET($AM$3,0,0,'Données projet'!$E$10+1,1))-AVERAGE(OFFSET($H$3,0,0,'Données projet'!$E$10+1,1))</f>
        <v>521.72266623522626</v>
      </c>
      <c r="AO99" s="59">
        <f t="shared" si="90"/>
        <v>298.49205684341825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30.818706789208012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30.818706789208012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-6.7984728957526396E-14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376.5647919688821</v>
      </c>
      <c r="BJ99" s="59">
        <f t="shared" si="92"/>
        <v>340.34037344565581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107.46071825132506</v>
      </c>
      <c r="BQ99" s="21">
        <f>EXP(-LN(2)/25)*BQ98+(1-EXP(-LN(2)/25))/(LN(2)/25)*Calculateur!BL99*Calculateur!BN99*VLOOKUP('Données projet'!$B$11,Paramètres!$A$1:$I$89,3,0)*0.475*44/12</f>
        <v>44.334028299181334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151.7947465505064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3.6</v>
      </c>
      <c r="BY99" s="12">
        <f>IF('Données projet'!$A$114&gt;35,BY98+BX99-CG98,IF(A99&lt;'Données projet'!$A$114,$BV$205^A99,IF(A99='Données projet'!$A$114,'Données projet'!$B$114,BY98+BX99-CG98)))</f>
        <v>284.60000000000008</v>
      </c>
      <c r="BZ99" s="13">
        <f>BY99*VLOOKUP('Données projet'!$B$12,Paramètres!$A$1:$I$89,3,0)*VLOOKUP('Données projet'!$B$12,Paramètres!$A$1:$I$89,5,0)</f>
        <v>288.58440000000013</v>
      </c>
      <c r="CA99" s="13">
        <f t="shared" si="93"/>
        <v>68.777938711388614</v>
      </c>
      <c r="CB99" s="20">
        <f t="shared" si="64"/>
        <v>622.40607325566873</v>
      </c>
      <c r="CC99" s="59">
        <f t="shared" si="65"/>
        <v>929.45110095593134</v>
      </c>
      <c r="CD99" s="59">
        <f ca="1">AVERAGE(OFFSET($CC$3,0,0,'Données projet'!$E$12+1,1))-AVERAGE(OFFSET($H$3,0,0,'Données projet'!$E$12+1,1))</f>
        <v>473.09076714002885</v>
      </c>
      <c r="CE99" s="59">
        <f t="shared" si="94"/>
        <v>311.6454557566534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37.022089057087811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37.022089057087811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0.6</v>
      </c>
      <c r="CT99" s="12">
        <f>IF('Données projet'!$A$140&gt;35,CT98+CS99-DB98,IF(A99&lt;'Données projet'!$A$140,$CQ$205^A99,IF(A99='Données projet'!$A$140,'Données projet'!$B$140,CT98+CS99-DB98)))</f>
        <v>240.6</v>
      </c>
      <c r="CU99" s="17">
        <f>CT99*VLOOKUP('Données projet'!$B$13,Paramètres!$A$1:$I$89,3,0)*VLOOKUP('Données projet'!$B$13,Paramètres!$A$1:$I$89,5,0)</f>
        <v>210.18816000000004</v>
      </c>
      <c r="CV99" s="13">
        <f t="shared" si="95"/>
        <v>51.976701248879564</v>
      </c>
      <c r="CW99" s="20">
        <f t="shared" si="67"/>
        <v>456.60380000846527</v>
      </c>
      <c r="CX99" s="59">
        <f t="shared" si="68"/>
        <v>763.64882770872782</v>
      </c>
      <c r="CY99" s="59">
        <f ca="1">AVERAGE(OFFSET($CX$3,0,0,'Données projet'!$E$13+1,1))-AVERAGE(OFFSET($H$3,0,0,'Données projet'!$E$13+1,1))</f>
        <v>379.66247682099424</v>
      </c>
      <c r="CZ99" s="59">
        <f t="shared" si="96"/>
        <v>342.92507939604081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33.223695331870033</v>
      </c>
      <c r="DG99" s="21">
        <f>EXP(-LN(2)/25)*DG98+(1-EXP(-LN(2)/25))/(LN(2)/25)*Calculateur!DB99*Calculateur!DD99*VLOOKUP('Données projet'!$B$13,Paramètres!$A$1:$I$89,3,0)*0.475*44/12</f>
        <v>12.807442193679162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46.031137525549198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3.1</v>
      </c>
      <c r="DO99" s="12">
        <f>IF('Données projet'!$A$166&gt;35,DO98+DN99-DW98,IF(A99&lt;'Données projet'!$A$166,$DL$205^A99,IF(A99='Données projet'!$A$166,'Données projet'!$B$166,DO98+DN99-DW98)))</f>
        <v>320.60000000000025</v>
      </c>
      <c r="DP99" s="17">
        <f>DO99*VLOOKUP('Données projet'!$B$14,Paramètres!$A$1:$I$89,3,0)*VLOOKUP('Données projet'!$B$14,Paramètres!$A$1:$I$89,5,0)</f>
        <v>305.08296000000024</v>
      </c>
      <c r="DQ99" s="13">
        <f t="shared" si="97"/>
        <v>72.241002930874004</v>
      </c>
      <c r="DR99" s="20">
        <f t="shared" si="70"/>
        <v>657.17256877127249</v>
      </c>
      <c r="DS99" s="59">
        <f t="shared" si="71"/>
        <v>964.2175964715351</v>
      </c>
      <c r="DT99" s="59">
        <f ca="1">AVERAGE(OFFSET($DS$3,0,0,'Données projet'!$E$14+1,1))-AVERAGE(OFFSET($H$3,0,0,'Données projet'!$E$14+1,1))</f>
        <v>544.64394576312384</v>
      </c>
      <c r="DU99" s="59">
        <f t="shared" si="98"/>
        <v>310.67291035925484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32.412777830029107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32.412777830029107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2</v>
      </c>
      <c r="EJ99" s="12">
        <f>IF('Données projet'!$A$192&gt;35,EJ98+EI99-ER98,IF(A99&lt;'Données projet'!$A$192,$EG$205^A99,IF(A99='Données projet'!$A$192,'Données projet'!$B$192,EJ98+EI99-ER98)))</f>
        <v>161.99999999999994</v>
      </c>
      <c r="EK99" s="17">
        <f>EJ99*VLOOKUP('Données projet'!$B$15,Paramètres!$A$1:$I$89,3,0)*VLOOKUP('Données projet'!$B$15,Paramètres!$A$1:$I$89,5,0)</f>
        <v>156.68639999999996</v>
      </c>
      <c r="EL99" s="13">
        <f t="shared" si="99"/>
        <v>40.094215809840712</v>
      </c>
      <c r="EM99" s="20">
        <f t="shared" si="73"/>
        <v>342.72623920213914</v>
      </c>
      <c r="EN99" s="59">
        <f t="shared" si="74"/>
        <v>649.77126690240175</v>
      </c>
      <c r="EO99" s="59">
        <f ca="1">AVERAGE(OFFSET($EN$3,0,0,'Données projet'!$E$15+1,1))-AVERAGE(OFFSET($H$3,0,0,'Données projet'!$E$15+1,1))</f>
        <v>276.72865583771579</v>
      </c>
      <c r="EP99" s="59">
        <f t="shared" si="100"/>
        <v>174.3587092851154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13.210886588154407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13.210886588154407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73.739553009162535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4.25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15.583333333333334</v>
      </c>
      <c r="H100" s="67">
        <f t="shared" si="56"/>
        <v>222.56666666666669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341.11752883785607</v>
      </c>
      <c r="T100" s="59">
        <f t="shared" si="88"/>
        <v>423.15445896616234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55.627946806462184</v>
      </c>
      <c r="AA100" s="21">
        <f>EXP(-LN(2)/25)*AA99+(1-EXP(-LN(2)/25))/(LN(2)/25)*Calculateur!V100*Calculateur!X100*VLOOKUP('Données projet'!$B$9,Paramètres!$A$1:$I$89,3,0)*0.475*44/12</f>
        <v>26.109900305088729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81.737847111550906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3.1</v>
      </c>
      <c r="AI100" s="13">
        <f>IF('Données projet'!$A$62&gt;35,AI99+AH100-AQ99,IF(A100&lt;'Données projet'!$A$62,$AF$205^A100,IF(A100='Données projet'!$A$62,'Données projet'!$B$62,AI99+AH100-AQ99)))</f>
        <v>323.70000000000027</v>
      </c>
      <c r="AJ100" s="13">
        <f>AI100*VLOOKUP('Données projet'!$B$10,Paramètres!$A$1:$I$89,3,0)*VLOOKUP('Données projet'!$B$10,Paramètres!$A$1:$I$89,5,0)</f>
        <v>292.88376000000022</v>
      </c>
      <c r="AK100" s="13">
        <f t="shared" si="89"/>
        <v>69.682548265224312</v>
      </c>
      <c r="AL100" s="20">
        <f t="shared" si="58"/>
        <v>631.46965356193266</v>
      </c>
      <c r="AM100" s="59">
        <f t="shared" si="59"/>
        <v>938.76659923274133</v>
      </c>
      <c r="AN100" s="59">
        <f ca="1">AVERAGE(OFFSET($AM$3,0,0,'Données projet'!$E$10+1,1))-AVERAGE(OFFSET($H$3,0,0,'Données projet'!$E$10+1,1))</f>
        <v>521.72266623522626</v>
      </c>
      <c r="AO100" s="59">
        <f t="shared" si="90"/>
        <v>298.49205684341825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30.214370746626681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30.214370746626681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-6.7984728957526396E-14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376.5647919688821</v>
      </c>
      <c r="BJ100" s="59">
        <f t="shared" si="92"/>
        <v>340.34037344565581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105.35347911098272</v>
      </c>
      <c r="BQ100" s="21">
        <f>EXP(-LN(2)/25)*BQ99+(1-EXP(-LN(2)/25))/(LN(2)/25)*Calculateur!BL100*Calculateur!BN100*VLOOKUP('Données projet'!$B$11,Paramètres!$A$1:$I$89,3,0)*0.475*44/12</f>
        <v>43.121711963914997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148.47519107489771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3.6</v>
      </c>
      <c r="BY100" s="12">
        <f>IF('Données projet'!$A$114&gt;35,BY99+BX100-CG99,IF(A100&lt;'Données projet'!$A$114,$BV$205^A100,IF(A100='Données projet'!$A$114,'Données projet'!$B$114,BY99+BX100-CG99)))</f>
        <v>288.2000000000001</v>
      </c>
      <c r="BZ100" s="13">
        <f>BY100*VLOOKUP('Données projet'!$B$12,Paramètres!$A$1:$I$89,3,0)*VLOOKUP('Données projet'!$B$12,Paramètres!$A$1:$I$89,5,0)</f>
        <v>292.23480000000012</v>
      </c>
      <c r="CA100" s="13">
        <f t="shared" si="93"/>
        <v>69.546103016553758</v>
      </c>
      <c r="CB100" s="20">
        <f t="shared" si="64"/>
        <v>630.10173942049812</v>
      </c>
      <c r="CC100" s="59">
        <f t="shared" si="65"/>
        <v>937.39868509130679</v>
      </c>
      <c r="CD100" s="59">
        <f ca="1">AVERAGE(OFFSET($CC$3,0,0,'Données projet'!$E$12+1,1))-AVERAGE(OFFSET($H$3,0,0,'Données projet'!$E$12+1,1))</f>
        <v>473.09076714002885</v>
      </c>
      <c r="CE100" s="59">
        <f t="shared" si="94"/>
        <v>311.6454557566534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36.296108471922935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36.296108471922935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0.6</v>
      </c>
      <c r="CT100" s="12">
        <f>IF('Données projet'!$A$140&gt;35,CT99+CS100-DB99,IF(A100&lt;'Données projet'!$A$140,$CQ$205^A100,IF(A100='Données projet'!$A$140,'Données projet'!$B$140,CT99+CS100-DB99)))</f>
        <v>241.2</v>
      </c>
      <c r="CU100" s="17">
        <f>CT100*VLOOKUP('Données projet'!$B$13,Paramètres!$A$1:$I$89,3,0)*VLOOKUP('Données projet'!$B$13,Paramètres!$A$1:$I$89,5,0)</f>
        <v>210.71232000000001</v>
      </c>
      <c r="CV100" s="13">
        <f t="shared" si="95"/>
        <v>52.091214849236422</v>
      </c>
      <c r="CW100" s="20">
        <f t="shared" si="67"/>
        <v>457.71615652908673</v>
      </c>
      <c r="CX100" s="59">
        <f t="shared" si="68"/>
        <v>765.01310219989546</v>
      </c>
      <c r="CY100" s="59">
        <f ca="1">AVERAGE(OFFSET($CX$3,0,0,'Données projet'!$E$13+1,1))-AVERAGE(OFFSET($H$3,0,0,'Données projet'!$E$13+1,1))</f>
        <v>379.66247682099424</v>
      </c>
      <c r="CZ100" s="59">
        <f t="shared" si="96"/>
        <v>342.92507939604081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32.572198930865262</v>
      </c>
      <c r="DG100" s="21">
        <f>EXP(-LN(2)/25)*DG99+(1-EXP(-LN(2)/25))/(LN(2)/25)*Calculateur!DB100*Calculateur!DD100*VLOOKUP('Données projet'!$B$13,Paramètres!$A$1:$I$89,3,0)*0.475*44/12</f>
        <v>12.457222013378892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45.029420944244151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3.1</v>
      </c>
      <c r="DO100" s="12">
        <f>IF('Données projet'!$A$166&gt;35,DO99+DN100-DW99,IF(A100&lt;'Données projet'!$A$166,$DL$205^A100,IF(A100='Données projet'!$A$166,'Données projet'!$B$166,DO99+DN100-DW99)))</f>
        <v>323.70000000000027</v>
      </c>
      <c r="DP100" s="17">
        <f>DO100*VLOOKUP('Données projet'!$B$14,Paramètres!$A$1:$I$89,3,0)*VLOOKUP('Données projet'!$B$14,Paramètres!$A$1:$I$89,5,0)</f>
        <v>308.03292000000027</v>
      </c>
      <c r="DQ100" s="13">
        <f t="shared" si="97"/>
        <v>72.857873504853728</v>
      </c>
      <c r="DR100" s="20">
        <f t="shared" si="70"/>
        <v>663.38479868762067</v>
      </c>
      <c r="DS100" s="59">
        <f t="shared" si="71"/>
        <v>970.68174435842934</v>
      </c>
      <c r="DT100" s="59">
        <f ca="1">AVERAGE(OFFSET($DS$3,0,0,'Données projet'!$E$14+1,1))-AVERAGE(OFFSET($H$3,0,0,'Données projet'!$E$14+1,1))</f>
        <v>544.64394576312384</v>
      </c>
      <c r="DU100" s="59">
        <f t="shared" si="98"/>
        <v>310.67291035925484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31.777183026624602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31.777183026624602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2</v>
      </c>
      <c r="EJ100" s="12">
        <f>IF('Données projet'!$A$192&gt;35,EJ99+EI100-ER99,IF(A100&lt;'Données projet'!$A$192,$EG$205^A100,IF(A100='Données projet'!$A$192,'Données projet'!$B$192,EJ99+EI100-ER99)))</f>
        <v>163.99999999999994</v>
      </c>
      <c r="EK100" s="17">
        <f>EJ100*VLOOKUP('Données projet'!$B$15,Paramètres!$A$1:$I$89,3,0)*VLOOKUP('Données projet'!$B$15,Paramètres!$A$1:$I$89,5,0)</f>
        <v>158.62079999999995</v>
      </c>
      <c r="EL100" s="13">
        <f t="shared" si="99"/>
        <v>40.531276428901542</v>
      </c>
      <c r="EM100" s="20">
        <f t="shared" si="73"/>
        <v>346.85653311367014</v>
      </c>
      <c r="EN100" s="59">
        <f t="shared" si="74"/>
        <v>654.15347878447892</v>
      </c>
      <c r="EO100" s="59">
        <f ca="1">AVERAGE(OFFSET($EN$3,0,0,'Données projet'!$E$15+1,1))-AVERAGE(OFFSET($H$3,0,0,'Données projet'!$E$15+1,1))</f>
        <v>276.72865583771579</v>
      </c>
      <c r="EP100" s="59">
        <f t="shared" si="100"/>
        <v>174.3587092851154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12.951829160005872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12.951829160005872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73.808257910220561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4.25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15.583333333333334</v>
      </c>
      <c r="H101" s="67">
        <f t="shared" si="56"/>
        <v>222.56666666666669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341.11752883785607</v>
      </c>
      <c r="T101" s="59">
        <f t="shared" si="88"/>
        <v>423.15445896616234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54.537116699284731</v>
      </c>
      <c r="AA101" s="21">
        <f>EXP(-LN(2)/25)*AA100+(1-EXP(-LN(2)/25))/(LN(2)/25)*Calculateur!V101*Calculateur!X101*VLOOKUP('Données projet'!$B$9,Paramètres!$A$1:$I$89,3,0)*0.475*44/12</f>
        <v>25.395923708186096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79.933040407470827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3.1</v>
      </c>
      <c r="AI101" s="13">
        <f>IF('Données projet'!$A$62&gt;35,AI100+AH101-AQ100,IF(A101&lt;'Données projet'!$A$62,$AF$205^A101,IF(A101='Données projet'!$A$62,'Données projet'!$B$62,AI100+AH101-AQ100)))</f>
        <v>326.8000000000003</v>
      </c>
      <c r="AJ101" s="13">
        <f>AI101*VLOOKUP('Données projet'!$B$10,Paramètres!$A$1:$I$89,3,0)*VLOOKUP('Données projet'!$B$10,Paramètres!$A$1:$I$89,5,0)</f>
        <v>295.68864000000025</v>
      </c>
      <c r="AK101" s="13">
        <f t="shared" si="89"/>
        <v>70.271876780519804</v>
      </c>
      <c r="AL101" s="20">
        <f t="shared" si="58"/>
        <v>637.38123339273909</v>
      </c>
      <c r="AM101" s="59">
        <f t="shared" si="59"/>
        <v>944.925726820509</v>
      </c>
      <c r="AN101" s="59">
        <f ca="1">AVERAGE(OFFSET($AM$3,0,0,'Données projet'!$E$10+1,1))-AVERAGE(OFFSET($H$3,0,0,'Données projet'!$E$10+1,1))</f>
        <v>521.72266623522626</v>
      </c>
      <c r="AO101" s="59">
        <f t="shared" si="90"/>
        <v>298.49205684341825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29.62188536523178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29.62188536523178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-6.7984728957526396E-14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376.5647919688821</v>
      </c>
      <c r="BJ101" s="59">
        <f t="shared" si="92"/>
        <v>340.34037344565581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103.28756164489353</v>
      </c>
      <c r="BQ101" s="21">
        <f>EXP(-LN(2)/25)*BQ100+(1-EXP(-LN(2)/25))/(LN(2)/25)*Calculateur!BL101*Calculateur!BN101*VLOOKUP('Données projet'!$B$11,Paramètres!$A$1:$I$89,3,0)*0.475*44/12</f>
        <v>41.942546482589464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145.23010812748299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3.6</v>
      </c>
      <c r="BY101" s="12">
        <f>IF('Données projet'!$A$114&gt;35,BY100+BX101-CG100,IF(A101&lt;'Données projet'!$A$114,$BV$205^A101,IF(A101='Données projet'!$A$114,'Données projet'!$B$114,BY100+BX101-CG100)))</f>
        <v>291.80000000000013</v>
      </c>
      <c r="BZ101" s="13">
        <f>BY101*VLOOKUP('Données projet'!$B$12,Paramètres!$A$1:$I$89,3,0)*VLOOKUP('Données projet'!$B$12,Paramètres!$A$1:$I$89,5,0)</f>
        <v>295.88520000000017</v>
      </c>
      <c r="CA101" s="13">
        <f t="shared" si="93"/>
        <v>70.313151199178805</v>
      </c>
      <c r="CB101" s="20">
        <f t="shared" si="64"/>
        <v>637.79546167190335</v>
      </c>
      <c r="CC101" s="59">
        <f t="shared" si="65"/>
        <v>945.33995509967326</v>
      </c>
      <c r="CD101" s="59">
        <f ca="1">AVERAGE(OFFSET($CC$3,0,0,'Données projet'!$E$12+1,1))-AVERAGE(OFFSET($H$3,0,0,'Données projet'!$E$12+1,1))</f>
        <v>473.09076714002885</v>
      </c>
      <c r="CE101" s="59">
        <f t="shared" si="94"/>
        <v>311.6454557566534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35.584363923228707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35.584363923228707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0.6</v>
      </c>
      <c r="CT101" s="12">
        <f>IF('Données projet'!$A$140&gt;35,CT100+CS101-DB100,IF(A101&lt;'Données projet'!$A$140,$CQ$205^A101,IF(A101='Données projet'!$A$140,'Données projet'!$B$140,CT100+CS101-DB100)))</f>
        <v>241.79999999999998</v>
      </c>
      <c r="CU101" s="17">
        <f>CT101*VLOOKUP('Données projet'!$B$13,Paramètres!$A$1:$I$89,3,0)*VLOOKUP('Données projet'!$B$13,Paramètres!$A$1:$I$89,5,0)</f>
        <v>211.23648000000003</v>
      </c>
      <c r="CV101" s="13">
        <f t="shared" si="95"/>
        <v>52.205695296687736</v>
      </c>
      <c r="CW101" s="20">
        <f t="shared" si="67"/>
        <v>458.82845530839785</v>
      </c>
      <c r="CX101" s="59">
        <f t="shared" si="68"/>
        <v>766.37294873616781</v>
      </c>
      <c r="CY101" s="59">
        <f ca="1">AVERAGE(OFFSET($CX$3,0,0,'Données projet'!$E$13+1,1))-AVERAGE(OFFSET($H$3,0,0,'Données projet'!$E$13+1,1))</f>
        <v>379.66247682099424</v>
      </c>
      <c r="CZ101" s="59">
        <f t="shared" si="96"/>
        <v>342.92507939604081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31.933477976910631</v>
      </c>
      <c r="DG101" s="21">
        <f>EXP(-LN(2)/25)*DG100+(1-EXP(-LN(2)/25))/(LN(2)/25)*Calculateur!DB101*Calculateur!DD101*VLOOKUP('Données projet'!$B$13,Paramètres!$A$1:$I$89,3,0)*0.475*44/12</f>
        <v>12.116578622326212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44.050056599236839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3.1</v>
      </c>
      <c r="DO101" s="12">
        <f>IF('Données projet'!$A$166&gt;35,DO100+DN101-DW100,IF(A101&lt;'Données projet'!$A$166,$DL$205^A101,IF(A101='Données projet'!$A$166,'Données projet'!$B$166,DO100+DN101-DW100)))</f>
        <v>326.8000000000003</v>
      </c>
      <c r="DP101" s="17">
        <f>DO101*VLOOKUP('Données projet'!$B$14,Paramètres!$A$1:$I$89,3,0)*VLOOKUP('Données projet'!$B$14,Paramètres!$A$1:$I$89,5,0)</f>
        <v>310.98288000000031</v>
      </c>
      <c r="DQ101" s="13">
        <f t="shared" si="97"/>
        <v>73.474056803099018</v>
      </c>
      <c r="DR101" s="20">
        <f t="shared" si="70"/>
        <v>669.59583159873125</v>
      </c>
      <c r="DS101" s="59">
        <f t="shared" si="71"/>
        <v>977.14032502650116</v>
      </c>
      <c r="DT101" s="59">
        <f ca="1">AVERAGE(OFFSET($DS$3,0,0,'Données projet'!$E$14+1,1))-AVERAGE(OFFSET($H$3,0,0,'Données projet'!$E$14+1,1))</f>
        <v>544.64394576312384</v>
      </c>
      <c r="DU101" s="59">
        <f t="shared" si="98"/>
        <v>310.67291035925484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31.154051849640311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31.154051849640311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2</v>
      </c>
      <c r="EJ101" s="12">
        <f>IF('Données projet'!$A$192&gt;35,EJ100+EI101-ER100,IF(A101&lt;'Données projet'!$A$192,$EG$205^A101,IF(A101='Données projet'!$A$192,'Données projet'!$B$192,EJ100+EI101-ER100)))</f>
        <v>165.99999999999994</v>
      </c>
      <c r="EK101" s="17">
        <f>EJ101*VLOOKUP('Données projet'!$B$15,Paramètres!$A$1:$I$89,3,0)*VLOOKUP('Données projet'!$B$15,Paramètres!$A$1:$I$89,5,0)</f>
        <v>160.55519999999993</v>
      </c>
      <c r="EL101" s="13">
        <f t="shared" si="99"/>
        <v>40.967717058966144</v>
      </c>
      <c r="EM101" s="20">
        <f t="shared" si="73"/>
        <v>350.98574721103256</v>
      </c>
      <c r="EN101" s="59">
        <f t="shared" si="74"/>
        <v>658.53024063880252</v>
      </c>
      <c r="EO101" s="59">
        <f ca="1">AVERAGE(OFFSET($EN$3,0,0,'Données projet'!$E$15+1,1))-AVERAGE(OFFSET($H$3,0,0,'Données projet'!$E$15+1,1))</f>
        <v>276.72865583771579</v>
      </c>
      <c r="EP101" s="59">
        <f t="shared" si="100"/>
        <v>174.3587092851154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12.6978516900139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12.6978516900139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73.875770934846358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4.25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15.583333333333334</v>
      </c>
      <c r="H102" s="67">
        <f t="shared" si="56"/>
        <v>222.56666666666669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341.11752883785607</v>
      </c>
      <c r="T102" s="59">
        <f t="shared" si="88"/>
        <v>423.15445896616234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53.467677105168363</v>
      </c>
      <c r="AA102" s="21">
        <f>EXP(-LN(2)/25)*AA101+(1-EXP(-LN(2)/25))/(LN(2)/25)*Calculateur!V102*Calculateur!X102*VLOOKUP('Données projet'!$B$9,Paramètres!$A$1:$I$89,3,0)*0.475*44/12</f>
        <v>24.701470838872162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78.169147944040532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3.1</v>
      </c>
      <c r="AI102" s="13">
        <f>IF('Données projet'!$A$62&gt;35,AI101+AH102-AQ101,IF(A102&lt;'Données projet'!$A$62,$AF$205^A102,IF(A102='Données projet'!$A$62,'Données projet'!$B$62,AI101+AH102-AQ101)))</f>
        <v>329.90000000000032</v>
      </c>
      <c r="AJ102" s="13">
        <f>AI102*VLOOKUP('Données projet'!$B$10,Paramètres!$A$1:$I$89,3,0)*VLOOKUP('Données projet'!$B$10,Paramètres!$A$1:$I$89,5,0)</f>
        <v>298.49352000000027</v>
      </c>
      <c r="AK102" s="13">
        <f t="shared" si="89"/>
        <v>70.860554930717214</v>
      </c>
      <c r="AL102" s="20">
        <f t="shared" si="58"/>
        <v>643.29168050433293</v>
      </c>
      <c r="AM102" s="59">
        <f t="shared" si="59"/>
        <v>951.07942728891476</v>
      </c>
      <c r="AN102" s="59">
        <f ca="1">AVERAGE(OFFSET($AM$3,0,0,'Données projet'!$E$10+1,1))-AVERAGE(OFFSET($H$3,0,0,'Données projet'!$E$10+1,1))</f>
        <v>521.72266623522626</v>
      </c>
      <c r="AO102" s="59">
        <f t="shared" si="90"/>
        <v>298.49205684341825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29.041018260785634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29.041018260785634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-6.7984728957526396E-14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376.5647919688821</v>
      </c>
      <c r="BJ102" s="59">
        <f t="shared" si="92"/>
        <v>340.34037344565581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101.26215556022912</v>
      </c>
      <c r="BQ102" s="21">
        <f>EXP(-LN(2)/25)*BQ101+(1-EXP(-LN(2)/25))/(LN(2)/25)*Calculateur!BL102*Calculateur!BN102*VLOOKUP('Données projet'!$B$11,Paramètres!$A$1:$I$89,3,0)*0.475*44/12</f>
        <v>40.795625343360399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142.0577809035895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3.6</v>
      </c>
      <c r="BY102" s="12">
        <f>IF('Données projet'!$A$114&gt;35,BY101+BX102-CG101,IF(A102&lt;'Données projet'!$A$114,$BV$205^A102,IF(A102='Données projet'!$A$114,'Données projet'!$B$114,BY101+BX102-CG101)))</f>
        <v>295.40000000000015</v>
      </c>
      <c r="BZ102" s="13">
        <f>BY102*VLOOKUP('Données projet'!$B$12,Paramètres!$A$1:$I$89,3,0)*VLOOKUP('Données projet'!$B$12,Paramètres!$A$1:$I$89,5,0)</f>
        <v>299.53560000000016</v>
      </c>
      <c r="CA102" s="13">
        <f t="shared" si="93"/>
        <v>71.079098621671179</v>
      </c>
      <c r="CB102" s="20">
        <f t="shared" si="64"/>
        <v>645.48726676607748</v>
      </c>
      <c r="CC102" s="59">
        <f t="shared" si="65"/>
        <v>953.27501355065942</v>
      </c>
      <c r="CD102" s="59">
        <f ca="1">AVERAGE(OFFSET($CC$3,0,0,'Données projet'!$E$12+1,1))-AVERAGE(OFFSET($H$3,0,0,'Données projet'!$E$12+1,1))</f>
        <v>473.09076714002885</v>
      </c>
      <c r="CE102" s="59">
        <f t="shared" si="94"/>
        <v>311.6454557566534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34.886576251013061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34.886576251013061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0.6</v>
      </c>
      <c r="CT102" s="12">
        <f>IF('Données projet'!$A$140&gt;35,CT101+CS102-DB101,IF(A102&lt;'Données projet'!$A$140,$CQ$205^A102,IF(A102='Données projet'!$A$140,'Données projet'!$B$140,CT101+CS102-DB101)))</f>
        <v>242.39999999999998</v>
      </c>
      <c r="CU102" s="17">
        <f>CT102*VLOOKUP('Données projet'!$B$13,Paramètres!$A$1:$I$89,3,0)*VLOOKUP('Données projet'!$B$13,Paramètres!$A$1:$I$89,5,0)</f>
        <v>211.76064</v>
      </c>
      <c r="CV102" s="13">
        <f t="shared" si="95"/>
        <v>52.320142683061327</v>
      </c>
      <c r="CW102" s="20">
        <f t="shared" si="67"/>
        <v>459.94069650633179</v>
      </c>
      <c r="CX102" s="59">
        <f t="shared" si="68"/>
        <v>767.72844329091367</v>
      </c>
      <c r="CY102" s="59">
        <f ca="1">AVERAGE(OFFSET($CX$3,0,0,'Données projet'!$E$13+1,1))-AVERAGE(OFFSET($H$3,0,0,'Données projet'!$E$13+1,1))</f>
        <v>379.66247682099424</v>
      </c>
      <c r="CZ102" s="59">
        <f t="shared" si="96"/>
        <v>342.92507939604081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31.307281951281734</v>
      </c>
      <c r="DG102" s="21">
        <f>EXP(-LN(2)/25)*DG101+(1-EXP(-LN(2)/25))/(LN(2)/25)*Calculateur!DB102*Calculateur!DD102*VLOOKUP('Données projet'!$B$13,Paramètres!$A$1:$I$89,3,0)*0.475*44/12</f>
        <v>11.785250142715526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43.092532093997264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3.1</v>
      </c>
      <c r="DO102" s="12">
        <f>IF('Données projet'!$A$166&gt;35,DO101+DN102-DW101,IF(A102&lt;'Données projet'!$A$166,$DL$205^A102,IF(A102='Données projet'!$A$166,'Données projet'!$B$166,DO101+DN102-DW101)))</f>
        <v>329.90000000000032</v>
      </c>
      <c r="DP102" s="17">
        <f>DO102*VLOOKUP('Données projet'!$B$14,Paramètres!$A$1:$I$89,3,0)*VLOOKUP('Données projet'!$B$14,Paramètres!$A$1:$I$89,5,0)</f>
        <v>313.93284000000034</v>
      </c>
      <c r="DQ102" s="13">
        <f t="shared" si="97"/>
        <v>74.089560100121219</v>
      </c>
      <c r="DR102" s="20">
        <f t="shared" si="70"/>
        <v>675.80568017437838</v>
      </c>
      <c r="DS102" s="59">
        <f t="shared" si="71"/>
        <v>983.59342695896021</v>
      </c>
      <c r="DT102" s="59">
        <f ca="1">AVERAGE(OFFSET($DS$3,0,0,'Données projet'!$E$14+1,1))-AVERAGE(OFFSET($H$3,0,0,'Données projet'!$E$14+1,1))</f>
        <v>544.64394576312384</v>
      </c>
      <c r="DU102" s="59">
        <f t="shared" si="98"/>
        <v>310.67291035925484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30.543139894964192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30.543139894964192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2</v>
      </c>
      <c r="EJ102" s="12">
        <f>IF('Données projet'!$A$192&gt;35,EJ101+EI102-ER101,IF(A102&lt;'Données projet'!$A$192,$EG$205^A102,IF(A102='Données projet'!$A$192,'Données projet'!$B$192,EJ101+EI102-ER101)))</f>
        <v>167.99999999999994</v>
      </c>
      <c r="EK102" s="17">
        <f>EJ102*VLOOKUP('Données projet'!$B$15,Paramètres!$A$1:$I$89,3,0)*VLOOKUP('Données projet'!$B$15,Paramètres!$A$1:$I$89,5,0)</f>
        <v>162.48959999999997</v>
      </c>
      <c r="EL102" s="13">
        <f t="shared" si="99"/>
        <v>41.403546033820696</v>
      </c>
      <c r="EM102" s="20">
        <f t="shared" si="73"/>
        <v>355.11389600890431</v>
      </c>
      <c r="EN102" s="59">
        <f t="shared" si="74"/>
        <v>662.90164279348619</v>
      </c>
      <c r="EO102" s="59">
        <f ca="1">AVERAGE(OFFSET($EN$3,0,0,'Données projet'!$E$15+1,1))-AVERAGE(OFFSET($H$3,0,0,'Données projet'!$E$15+1,1))</f>
        <v>276.72865583771579</v>
      </c>
      <c r="EP102" s="59">
        <f t="shared" si="100"/>
        <v>174.3587092851154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12.448854563297511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12.448854563297511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73.942112759431424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4.25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15.583333333333334</v>
      </c>
      <c r="H103" s="67">
        <f t="shared" si="56"/>
        <v>222.56666666666669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341.11752883785607</v>
      </c>
      <c r="T103" s="59">
        <f t="shared" si="88"/>
        <v>423.15445896616234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52.419208569198872</v>
      </c>
      <c r="AA103" s="21">
        <f>EXP(-LN(2)/25)*AA102+(1-EXP(-LN(2)/25))/(LN(2)/25)*Calculateur!V103*Calculateur!X103*VLOOKUP('Données projet'!$B$9,Paramètres!$A$1:$I$89,3,0)*0.475*44/12</f>
        <v>24.026007819789307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76.445216388988172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3.1</v>
      </c>
      <c r="AH103" s="12">
        <f t="array" ref="AH103">INDEX(AG:AG,MIN(IF(ISNUMBER(AG103:AG299),ROW(AG103:AG299),"")))</f>
        <v>3.1</v>
      </c>
      <c r="AI103" s="13">
        <f>IF('Données projet'!$A$62&gt;35,AI102+AH103-AQ102,IF(A103&lt;'Données projet'!$A$62,$AF$205^A103,IF(A103='Données projet'!$A$62,'Données projet'!$B$62,AI102+AH103-AQ102)))</f>
        <v>333.00000000000034</v>
      </c>
      <c r="AJ103" s="13">
        <f>AI103*VLOOKUP('Données projet'!$B$10,Paramètres!$A$1:$I$89,3,0)*VLOOKUP('Données projet'!$B$10,Paramètres!$A$1:$I$89,5,0)</f>
        <v>301.2984000000003</v>
      </c>
      <c r="AK103" s="13">
        <f t="shared" si="89"/>
        <v>71.448589534990589</v>
      </c>
      <c r="AL103" s="20">
        <f t="shared" si="58"/>
        <v>649.2010067734426</v>
      </c>
      <c r="AM103" s="59">
        <f t="shared" si="59"/>
        <v>957.22778701292873</v>
      </c>
      <c r="AN103" s="59">
        <f ca="1">AVERAGE(OFFSET($AM$3,0,0,'Données projet'!$E$10+1,1))-AVERAGE(OFFSET($H$3,0,0,'Données projet'!$E$10+1,1))</f>
        <v>521.72266623522626</v>
      </c>
      <c r="AO103" s="59">
        <f t="shared" si="90"/>
        <v>298.49205684341825</v>
      </c>
      <c r="AP103" s="15">
        <f>IF(ISNA(VLOOKUP(A103,'Données projet'!$A$61:$I$81,3,0)),0,VLOOKUP(A103,'Données projet'!$A$61:$I$81,3,0))</f>
        <v>15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0.25800000000000001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35.43914099539397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35.43914099539397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-6.7984728957526396E-14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376.5647919688821</v>
      </c>
      <c r="BJ103" s="59">
        <f t="shared" si="92"/>
        <v>340.34037344565581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99.276466453509244</v>
      </c>
      <c r="BQ103" s="21">
        <f>EXP(-LN(2)/25)*BQ102+(1-EXP(-LN(2)/25))/(LN(2)/25)*Calculateur!BL103*Calculateur!BN103*VLOOKUP('Données projet'!$B$11,Paramètres!$A$1:$I$89,3,0)*0.475*44/12</f>
        <v>39.68006682299751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138.95653327650675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299</v>
      </c>
      <c r="BW103" s="12">
        <f>VLOOKUP(A103,'Données projet'!$A$113:$I$133,9,0)</f>
        <v>3.6</v>
      </c>
      <c r="BX103" s="12">
        <f t="array" ref="BX103">INDEX(BW:BW,MIN(IF(ISNUMBER(BW103:BW299),ROW(BW103:BW299),"")))</f>
        <v>3.6</v>
      </c>
      <c r="BY103" s="12">
        <f>IF('Données projet'!$A$114&gt;35,BY102+BX103-CG102,IF(A103&lt;'Données projet'!$A$114,$BV$205^A103,IF(A103='Données projet'!$A$114,'Données projet'!$B$114,BY102+BX103-CG102)))</f>
        <v>299.00000000000017</v>
      </c>
      <c r="BZ103" s="13">
        <f>BY103*VLOOKUP('Données projet'!$B$12,Paramètres!$A$1:$I$89,3,0)*VLOOKUP('Données projet'!$B$12,Paramètres!$A$1:$I$89,5,0)</f>
        <v>303.18600000000021</v>
      </c>
      <c r="CA103" s="13">
        <f t="shared" si="93"/>
        <v>71.843960250458494</v>
      </c>
      <c r="CB103" s="20">
        <f t="shared" si="64"/>
        <v>653.17718076954884</v>
      </c>
      <c r="CC103" s="59">
        <f t="shared" si="65"/>
        <v>961.20396100903508</v>
      </c>
      <c r="CD103" s="59">
        <f ca="1">AVERAGE(OFFSET($CC$3,0,0,'Données projet'!$E$12+1,1))-AVERAGE(OFFSET($H$3,0,0,'Données projet'!$E$12+1,1))</f>
        <v>473.09076714002885</v>
      </c>
      <c r="CE103" s="59">
        <f t="shared" si="94"/>
        <v>311.6454557566534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0.25800000000000001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40.275762424978964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40.275762424978964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243</v>
      </c>
      <c r="CR103" s="12">
        <f>VLOOKUP(A103,'Données projet'!$A$139:$I$159,9,0)</f>
        <v>0.6</v>
      </c>
      <c r="CS103" s="12">
        <f t="array" ref="CS103">INDEX(CR:CR,MIN(IF(ISNUMBER(CR103:CR299),ROW(CR103:CR299),"")))</f>
        <v>0.6</v>
      </c>
      <c r="CT103" s="12">
        <f>IF('Données projet'!$A$140&gt;35,CT102+CS103-DB102,IF(A103&lt;'Données projet'!$A$140,$CQ$205^A103,IF(A103='Données projet'!$A$140,'Données projet'!$B$140,CT102+CS103-DB102)))</f>
        <v>242.99999999999997</v>
      </c>
      <c r="CU103" s="17">
        <f>CT103*VLOOKUP('Données projet'!$B$13,Paramètres!$A$1:$I$89,3,0)*VLOOKUP('Données projet'!$B$13,Paramètres!$A$1:$I$89,5,0)</f>
        <v>212.28479999999999</v>
      </c>
      <c r="CV103" s="13">
        <f t="shared" si="95"/>
        <v>52.434557099704193</v>
      </c>
      <c r="CW103" s="20">
        <f t="shared" si="67"/>
        <v>461.05288028198476</v>
      </c>
      <c r="CX103" s="59">
        <f t="shared" si="68"/>
        <v>769.07966052147094</v>
      </c>
      <c r="CY103" s="59">
        <f ca="1">AVERAGE(OFFSET($CX$3,0,0,'Données projet'!$E$13+1,1))-AVERAGE(OFFSET($H$3,0,0,'Données projet'!$E$13+1,1))</f>
        <v>379.66247682099424</v>
      </c>
      <c r="CZ103" s="59">
        <f t="shared" si="96"/>
        <v>342.92507939604081</v>
      </c>
      <c r="DA103" s="15">
        <f>IF(ISNA(VLOOKUP(A103,'Données projet'!$A$139:$I$159,3,0)),0,VLOOKUP(A103,'Données projet'!$A$139:$I$159,3,0))</f>
        <v>19</v>
      </c>
      <c r="DB103" s="15">
        <f>IF(ISNA(VLOOKUP(A103,'Données projet'!$A$139:$I$159,4,0)),0,VLOOKUP(A103,'Données projet'!$A$139:$I$159,4,0))</f>
        <v>243</v>
      </c>
      <c r="DC103" s="16">
        <f>IF(ISNA(VLOOKUP(A103,'Données projet'!$A$139:$I$159,5,0)),0%,VLOOKUP(A103,'Données projet'!$A$139:$I$159,5,0)*VLOOKUP('Données projet'!$B$13,Paramètres!$A$1:$I$89,7,0))</f>
        <v>0.25800000000000001</v>
      </c>
      <c r="DD103" s="16">
        <f>IF(ISNA(VLOOKUP(A103,'Données projet'!$A$139:$I$159,6,0)),0%,VLOOKUP(A103,'Données projet'!$A$139:$I$159,6,0)*VLOOKUP('Données projet'!$B$13,Paramètres!$A$1:$I$89,7,0))</f>
        <v>0.129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91.239401321443296</v>
      </c>
      <c r="DG103" s="21">
        <f>EXP(-LN(2)/25)*DG102+(1-EXP(-LN(2)/25))/(LN(2)/25)*Calculateur!DB103*Calculateur!DD103*VLOOKUP('Données projet'!$B$13,Paramètres!$A$1:$I$89,3,0)*0.475*44/12</f>
        <v>41.616803487703251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132.85620480914656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333</v>
      </c>
      <c r="DM103" s="12">
        <f>VLOOKUP(A103,'Données projet'!$A$165:$I$185,9,0)</f>
        <v>3.1</v>
      </c>
      <c r="DN103" s="12">
        <f t="array" ref="DN103">INDEX(DM:DM,MIN(IF(ISNUMBER(DM103:DM299),ROW(DM103:DM299),"")))</f>
        <v>3.1</v>
      </c>
      <c r="DO103" s="12">
        <f>IF('Données projet'!$A$166&gt;35,DO102+DN103-DW102,IF(A103&lt;'Données projet'!$A$166,$DL$205^A103,IF(A103='Données projet'!$A$166,'Données projet'!$B$166,DO102+DN103-DW102)))</f>
        <v>333.00000000000034</v>
      </c>
      <c r="DP103" s="17">
        <f>DO103*VLOOKUP('Données projet'!$B$14,Paramètres!$A$1:$I$89,3,0)*VLOOKUP('Données projet'!$B$14,Paramètres!$A$1:$I$89,5,0)</f>
        <v>316.88280000000032</v>
      </c>
      <c r="DQ103" s="13">
        <f t="shared" si="97"/>
        <v>74.704390525833517</v>
      </c>
      <c r="DR103" s="20">
        <f t="shared" si="70"/>
        <v>682.01435683249395</v>
      </c>
      <c r="DS103" s="59">
        <f t="shared" si="71"/>
        <v>990.04113707198007</v>
      </c>
      <c r="DT103" s="59">
        <f ca="1">AVERAGE(OFFSET($DS$3,0,0,'Données projet'!$E$14+1,1))-AVERAGE(OFFSET($H$3,0,0,'Données projet'!$E$14+1,1))</f>
        <v>544.64394576312384</v>
      </c>
      <c r="DU103" s="59">
        <f t="shared" si="98"/>
        <v>310.67291035925484</v>
      </c>
      <c r="DV103" s="15">
        <f>IF(ISNA(VLOOKUP(A103,'Données projet'!$A$165:$I$185,3,0)),0,VLOOKUP(A103,'Données projet'!$A$165:$I$185,3,0))</f>
        <v>15</v>
      </c>
      <c r="DW103" s="15">
        <f>IF(ISNA(VLOOKUP(A103,'Données projet'!$A$165:$I$185,4,0)),0,VLOOKUP(A103,'Données projet'!$A$165:$I$185,4,0))</f>
        <v>27</v>
      </c>
      <c r="DX103" s="16">
        <f>IF(ISNA(VLOOKUP(A103,'Données projet'!$A$165:$I$185,5,0)),0%,VLOOKUP(A103,'Données projet'!$A$165:$I$185,5,0)*VLOOKUP('Données projet'!$B$14,Paramètres!$A$1:$I$89,7,0))</f>
        <v>0.25800000000000001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37.2722000123971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37.2722000123971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170</v>
      </c>
      <c r="EH103" s="12">
        <f>VLOOKUP(A103,'Données projet'!$A$191:$I$211,9,0)</f>
        <v>2</v>
      </c>
      <c r="EI103" s="12">
        <f t="array" ref="EI103">INDEX(EH:EH,MIN(IF(ISNUMBER(EH103:EH299),ROW(EH103:EH299),"")))</f>
        <v>2</v>
      </c>
      <c r="EJ103" s="12">
        <f>IF('Données projet'!$A$192&gt;35,EJ102+EI103-ER102,IF(A103&lt;'Données projet'!$A$192,$EG$205^A103,IF(A103='Données projet'!$A$192,'Données projet'!$B$192,EJ102+EI103-ER102)))</f>
        <v>169.99999999999994</v>
      </c>
      <c r="EK103" s="17">
        <f>EJ103*VLOOKUP('Données projet'!$B$15,Paramètres!$A$1:$I$89,3,0)*VLOOKUP('Données projet'!$B$15,Paramètres!$A$1:$I$89,5,0)</f>
        <v>164.42399999999995</v>
      </c>
      <c r="EL103" s="13">
        <f t="shared" si="99"/>
        <v>41.838771477410191</v>
      </c>
      <c r="EM103" s="20">
        <f t="shared" si="73"/>
        <v>359.24099365648931</v>
      </c>
      <c r="EN103" s="59">
        <f t="shared" si="74"/>
        <v>667.26777389597555</v>
      </c>
      <c r="EO103" s="59">
        <f ca="1">AVERAGE(OFFSET($EN$3,0,0,'Données projet'!$E$15+1,1))-AVERAGE(OFFSET($H$3,0,0,'Données projet'!$E$15+1,1))</f>
        <v>276.72865583771579</v>
      </c>
      <c r="EP103" s="59">
        <f t="shared" si="100"/>
        <v>174.3587092851154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9</v>
      </c>
      <c r="ES103" s="16">
        <f>IF(ISNA(VLOOKUP(A103,'Données projet'!$A$191:$I$211,5,0)),0%,VLOOKUP(A103,'Données projet'!$A$191:$I$211,5,0)*VLOOKUP('Données projet'!$B$15,Paramètres!$A$1:$I$89,7,0))</f>
        <v>0.25800000000000001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14.687447946780452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14.687447946780452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74.00730370167804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4.25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15.583333333333334</v>
      </c>
      <c r="H104" s="67">
        <f t="shared" si="56"/>
        <v>222.56666666666669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341.11752883785607</v>
      </c>
      <c r="T104" s="59">
        <f t="shared" si="88"/>
        <v>423.15445896616234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51.39129986171708</v>
      </c>
      <c r="AA104" s="21">
        <f>EXP(-LN(2)/25)*AA103+(1-EXP(-LN(2)/25))/(LN(2)/25)*Calculateur!V104*Calculateur!X104*VLOOKUP('Données projet'!$B$9,Paramètres!$A$1:$I$89,3,0)*0.475*44/12</f>
        <v>23.369015372484331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74.760315234201414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2.6</v>
      </c>
      <c r="AI104" s="13">
        <f>IF('Données projet'!$A$62&gt;35,AI103+AH104-AQ103,IF(A104&lt;'Données projet'!$A$62,$AF$205^A104,IF(A104='Données projet'!$A$62,'Données projet'!$B$62,AI103+AH104-AQ103)))</f>
        <v>308.60000000000036</v>
      </c>
      <c r="AJ104" s="13">
        <f>AI104*VLOOKUP('Données projet'!$B$10,Paramètres!$A$1:$I$89,3,0)*VLOOKUP('Données projet'!$B$10,Paramètres!$A$1:$I$89,5,0)</f>
        <v>279.22128000000032</v>
      </c>
      <c r="AK104" s="13">
        <f t="shared" si="89"/>
        <v>66.802416294894925</v>
      </c>
      <c r="AL104" s="20">
        <f t="shared" si="58"/>
        <v>602.65793771360916</v>
      </c>
      <c r="AM104" s="59">
        <f t="shared" si="59"/>
        <v>910.9196047119558</v>
      </c>
      <c r="AN104" s="59">
        <f ca="1">AVERAGE(OFFSET($AM$3,0,0,'Données projet'!$E$10+1,1))-AVERAGE(OFFSET($H$3,0,0,'Données projet'!$E$10+1,1))</f>
        <v>521.72266623522626</v>
      </c>
      <c r="AO104" s="59">
        <f t="shared" si="90"/>
        <v>298.49205684341825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34.744201056215921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34.744201056215921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-6.7984728957526396E-14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376.5647919688821</v>
      </c>
      <c r="BJ104" s="59">
        <f t="shared" si="92"/>
        <v>340.34037344565581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97.32971549902139</v>
      </c>
      <c r="BQ104" s="21">
        <f>EXP(-LN(2)/25)*BQ103+(1-EXP(-LN(2)/25))/(LN(2)/25)*Calculateur!BL104*Calculateur!BN104*VLOOKUP('Données projet'!$B$11,Paramètres!$A$1:$I$89,3,0)*0.475*44/12</f>
        <v>38.59501330903862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135.92472880806002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3.3</v>
      </c>
      <c r="BY104" s="12">
        <f>IF('Données projet'!$A$114&gt;35,BY103+BX104-CG103,IF(A104&lt;'Données projet'!$A$114,$BV$205^A104,IF(A104='Données projet'!$A$114,'Données projet'!$B$114,BY103+BX104-CG103)))</f>
        <v>281.30000000000018</v>
      </c>
      <c r="BZ104" s="13">
        <f>BY104*VLOOKUP('Données projet'!$B$12,Paramètres!$A$1:$I$89,3,0)*VLOOKUP('Données projet'!$B$12,Paramètres!$A$1:$I$89,5,0)</f>
        <v>285.23820000000018</v>
      </c>
      <c r="CA104" s="13">
        <f t="shared" si="93"/>
        <v>68.072794151111154</v>
      </c>
      <c r="CB104" s="20">
        <f t="shared" si="64"/>
        <v>615.34998147985232</v>
      </c>
      <c r="CC104" s="59">
        <f t="shared" si="65"/>
        <v>923.61164847819896</v>
      </c>
      <c r="CD104" s="59">
        <f ca="1">AVERAGE(OFFSET($CC$3,0,0,'Données projet'!$E$12+1,1))-AVERAGE(OFFSET($H$3,0,0,'Données projet'!$E$12+1,1))</f>
        <v>473.09076714002885</v>
      </c>
      <c r="CE104" s="59">
        <f t="shared" si="94"/>
        <v>311.6454557566534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39.485979289614534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39.485979289614534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-2.8421709430404007E-14</v>
      </c>
      <c r="CU104" s="17">
        <f>CT104*VLOOKUP('Données projet'!$B$13,Paramètres!$A$1:$I$89,3,0)*VLOOKUP('Données projet'!$B$13,Paramètres!$A$1:$I$89,5,0)</f>
        <v>-2.4829205358400945E-14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379.66247682099424</v>
      </c>
      <c r="CZ104" s="59">
        <f t="shared" si="96"/>
        <v>342.92507939604081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89.450252312069566</v>
      </c>
      <c r="DG104" s="21">
        <f>EXP(-LN(2)/25)*DG103+(1-EXP(-LN(2)/25))/(LN(2)/25)*Calculateur!DB104*Calculateur!DD104*VLOOKUP('Données projet'!$B$13,Paramètres!$A$1:$I$89,3,0)*0.475*44/12</f>
        <v>40.47878980779943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129.929042119869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2.6</v>
      </c>
      <c r="DO104" s="12">
        <f>IF('Données projet'!$A$166&gt;35,DO103+DN104-DW103,IF(A104&lt;'Données projet'!$A$166,$DL$205^A104,IF(A104='Données projet'!$A$166,'Données projet'!$B$166,DO103+DN104-DW103)))</f>
        <v>308.60000000000036</v>
      </c>
      <c r="DP104" s="17">
        <f>DO104*VLOOKUP('Données projet'!$B$14,Paramètres!$A$1:$I$89,3,0)*VLOOKUP('Données projet'!$B$14,Paramètres!$A$1:$I$89,5,0)</f>
        <v>293.66376000000031</v>
      </c>
      <c r="DQ104" s="13">
        <f t="shared" si="97"/>
        <v>69.846498404550886</v>
      </c>
      <c r="DR104" s="20">
        <f t="shared" si="70"/>
        <v>633.11370005459332</v>
      </c>
      <c r="DS104" s="59">
        <f t="shared" si="71"/>
        <v>941.37536705293996</v>
      </c>
      <c r="DT104" s="59">
        <f ca="1">AVERAGE(OFFSET($DS$3,0,0,'Données projet'!$E$14+1,1))-AVERAGE(OFFSET($H$3,0,0,'Données projet'!$E$14+1,1))</f>
        <v>544.64394576312384</v>
      </c>
      <c r="DU104" s="59">
        <f t="shared" si="98"/>
        <v>310.67291035925484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36.541314903951225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36.541314903951225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2</v>
      </c>
      <c r="EJ104" s="12">
        <f>IF('Données projet'!$A$192&gt;35,EJ103+EI104-ER103,IF(A104&lt;'Données projet'!$A$192,$EG$205^A104,IF(A104='Données projet'!$A$192,'Données projet'!$B$192,EJ103+EI104-ER103)))</f>
        <v>162.99999999999994</v>
      </c>
      <c r="EK104" s="17">
        <f>EJ104*VLOOKUP('Données projet'!$B$15,Paramètres!$A$1:$I$89,3,0)*VLOOKUP('Données projet'!$B$15,Paramètres!$A$1:$I$89,5,0)</f>
        <v>157.65359999999995</v>
      </c>
      <c r="EL104" s="13">
        <f t="shared" si="99"/>
        <v>40.312824147272337</v>
      </c>
      <c r="EM104" s="20">
        <f t="shared" si="73"/>
        <v>344.79152205649916</v>
      </c>
      <c r="EN104" s="59">
        <f t="shared" si="74"/>
        <v>653.05318905484569</v>
      </c>
      <c r="EO104" s="59">
        <f ca="1">AVERAGE(OFFSET($EN$3,0,0,'Données projet'!$E$15+1,1))-AVERAGE(OFFSET($H$3,0,0,'Données projet'!$E$15+1,1))</f>
        <v>276.72865583771579</v>
      </c>
      <c r="EP104" s="59">
        <f t="shared" si="100"/>
        <v>174.3587092851154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14.399436051002761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14.399436051002761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74.071363726821787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4.25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15.583333333333334</v>
      </c>
      <c r="H105" s="67">
        <f t="shared" si="56"/>
        <v>222.56666666666669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341.11752883785607</v>
      </c>
      <c r="T105" s="59">
        <f t="shared" si="88"/>
        <v>423.15445896616234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50.383547817026603</v>
      </c>
      <c r="AA105" s="21">
        <f>EXP(-LN(2)/25)*AA104+(1-EXP(-LN(2)/25))/(LN(2)/25)*Calculateur!V105*Calculateur!X105*VLOOKUP('Données projet'!$B$9,Paramètres!$A$1:$I$89,3,0)*0.475*44/12</f>
        <v>22.729988418200637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73.113536235227244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2.6</v>
      </c>
      <c r="AI105" s="13">
        <f>IF('Données projet'!$A$62&gt;35,AI104+AH105-AQ104,IF(A105&lt;'Données projet'!$A$62,$AF$205^A105,IF(A105='Données projet'!$A$62,'Données projet'!$B$62,AI104+AH105-AQ104)))</f>
        <v>311.20000000000039</v>
      </c>
      <c r="AJ105" s="13">
        <f>AI105*VLOOKUP('Données projet'!$B$10,Paramètres!$A$1:$I$89,3,0)*VLOOKUP('Données projet'!$B$10,Paramètres!$A$1:$I$89,5,0)</f>
        <v>281.57376000000033</v>
      </c>
      <c r="AK105" s="13">
        <f t="shared" si="89"/>
        <v>67.29948104333512</v>
      </c>
      <c r="AL105" s="20">
        <f t="shared" si="58"/>
        <v>607.62089481714247</v>
      </c>
      <c r="AM105" s="59">
        <f t="shared" si="59"/>
        <v>916.1133738142114</v>
      </c>
      <c r="AN105" s="59">
        <f ca="1">AVERAGE(OFFSET($AM$3,0,0,'Données projet'!$E$10+1,1))-AVERAGE(OFFSET($H$3,0,0,'Données projet'!$E$10+1,1))</f>
        <v>521.72266623522626</v>
      </c>
      <c r="AO105" s="59">
        <f t="shared" si="90"/>
        <v>298.49205684341825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34.062888465373646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34.062888465373646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-6.7984728957526396E-14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376.5647919688821</v>
      </c>
      <c r="BJ105" s="59">
        <f t="shared" si="92"/>
        <v>340.34037344565581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95.421139143350203</v>
      </c>
      <c r="BQ105" s="21">
        <f>EXP(-LN(2)/25)*BQ104+(1-EXP(-LN(2)/25))/(LN(2)/25)*Calculateur!BL105*Calculateur!BN105*VLOOKUP('Données projet'!$B$11,Paramètres!$A$1:$I$89,3,0)*0.475*44/12</f>
        <v>37.539630640479416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132.96076978382962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3.3</v>
      </c>
      <c r="BY105" s="12">
        <f>IF('Données projet'!$A$114&gt;35,BY104+BX105-CG104,IF(A105&lt;'Données projet'!$A$114,$BV$205^A105,IF(A105='Données projet'!$A$114,'Données projet'!$B$114,BY104+BX105-CG104)))</f>
        <v>284.60000000000019</v>
      </c>
      <c r="BZ105" s="13">
        <f>BY105*VLOOKUP('Données projet'!$B$12,Paramètres!$A$1:$I$89,3,0)*VLOOKUP('Données projet'!$B$12,Paramètres!$A$1:$I$89,5,0)</f>
        <v>288.58440000000019</v>
      </c>
      <c r="CA105" s="13">
        <f t="shared" si="93"/>
        <v>68.777938711388614</v>
      </c>
      <c r="CB105" s="20">
        <f t="shared" si="64"/>
        <v>622.40607325566884</v>
      </c>
      <c r="CC105" s="59">
        <f t="shared" si="65"/>
        <v>930.89855225273777</v>
      </c>
      <c r="CD105" s="59">
        <f ca="1">AVERAGE(OFFSET($CC$3,0,0,'Données projet'!$E$12+1,1))-AVERAGE(OFFSET($H$3,0,0,'Données projet'!$E$12+1,1))</f>
        <v>473.09076714002885</v>
      </c>
      <c r="CE105" s="59">
        <f t="shared" si="94"/>
        <v>311.6454557566534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38.711683319814455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38.711683319814455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-2.8421709430404007E-14</v>
      </c>
      <c r="CU105" s="17">
        <f>CT105*VLOOKUP('Données projet'!$B$13,Paramètres!$A$1:$I$89,3,0)*VLOOKUP('Données projet'!$B$13,Paramètres!$A$1:$I$89,5,0)</f>
        <v>-2.4829205358400945E-14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379.66247682099424</v>
      </c>
      <c r="CZ105" s="59">
        <f t="shared" si="96"/>
        <v>342.92507939604081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87.696187423496511</v>
      </c>
      <c r="DG105" s="21">
        <f>EXP(-LN(2)/25)*DG104+(1-EXP(-LN(2)/25))/(LN(2)/25)*Calculateur!DB105*Calculateur!DD105*VLOOKUP('Données projet'!$B$13,Paramètres!$A$1:$I$89,3,0)*0.475*44/12</f>
        <v>39.371895171818117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127.06808259531462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2.6</v>
      </c>
      <c r="DO105" s="12">
        <f>IF('Données projet'!$A$166&gt;35,DO104+DN105-DW104,IF(A105&lt;'Données projet'!$A$166,$DL$205^A105,IF(A105='Données projet'!$A$166,'Données projet'!$B$166,DO104+DN105-DW104)))</f>
        <v>311.20000000000039</v>
      </c>
      <c r="DP105" s="17">
        <f>DO105*VLOOKUP('Données projet'!$B$14,Paramètres!$A$1:$I$89,3,0)*VLOOKUP('Données projet'!$B$14,Paramètres!$A$1:$I$89,5,0)</f>
        <v>296.13792000000035</v>
      </c>
      <c r="DQ105" s="13">
        <f t="shared" si="97"/>
        <v>70.366213619725571</v>
      </c>
      <c r="DR105" s="20">
        <f t="shared" si="70"/>
        <v>638.32803272102262</v>
      </c>
      <c r="DS105" s="59">
        <f t="shared" si="71"/>
        <v>946.82051171809144</v>
      </c>
      <c r="DT105" s="59">
        <f ca="1">AVERAGE(OFFSET($DS$3,0,0,'Données projet'!$E$14+1,1))-AVERAGE(OFFSET($H$3,0,0,'Données projet'!$E$14+1,1))</f>
        <v>544.64394576312384</v>
      </c>
      <c r="DU105" s="59">
        <f t="shared" si="98"/>
        <v>310.67291035925484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35.824762006686072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35.824762006686072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2</v>
      </c>
      <c r="EJ105" s="12">
        <f>IF('Données projet'!$A$192&gt;35,EJ104+EI105-ER104,IF(A105&lt;'Données projet'!$A$192,$EG$205^A105,IF(A105='Données projet'!$A$192,'Données projet'!$B$192,EJ104+EI105-ER104)))</f>
        <v>164.99999999999994</v>
      </c>
      <c r="EK105" s="17">
        <f>EJ105*VLOOKUP('Données projet'!$B$15,Paramètres!$A$1:$I$89,3,0)*VLOOKUP('Données projet'!$B$15,Paramètres!$A$1:$I$89,5,0)</f>
        <v>159.58799999999997</v>
      </c>
      <c r="EL105" s="13">
        <f t="shared" si="99"/>
        <v>40.74957371668588</v>
      </c>
      <c r="EM105" s="20">
        <f t="shared" si="73"/>
        <v>348.92127422322784</v>
      </c>
      <c r="EN105" s="59">
        <f t="shared" si="74"/>
        <v>657.41375322029671</v>
      </c>
      <c r="EO105" s="59">
        <f ca="1">AVERAGE(OFFSET($EN$3,0,0,'Données projet'!$E$15+1,1))-AVERAGE(OFFSET($H$3,0,0,'Données projet'!$E$15+1,1))</f>
        <v>276.72865583771579</v>
      </c>
      <c r="EP105" s="59">
        <f t="shared" si="100"/>
        <v>174.3587092851154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14.11707189283136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14.11707189283136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74.134312453746048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4.25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15.583333333333334</v>
      </c>
      <c r="H106" s="67">
        <f t="shared" si="56"/>
        <v>222.56666666666669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341.11752883785607</v>
      </c>
      <c r="T106" s="59">
        <f t="shared" si="88"/>
        <v>423.15445896616234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49.39555717526445</v>
      </c>
      <c r="AA106" s="21">
        <f>EXP(-LN(2)/25)*AA105+(1-EXP(-LN(2)/25))/(LN(2)/25)*Calculateur!V106*Calculateur!X106*VLOOKUP('Données projet'!$B$9,Paramètres!$A$1:$I$89,3,0)*0.475*44/12</f>
        <v>22.108435689586798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71.503992864851256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2.6</v>
      </c>
      <c r="AI106" s="13">
        <f>IF('Données projet'!$A$62&gt;35,AI105+AH106-AQ105,IF(A106&lt;'Données projet'!$A$62,$AF$205^A106,IF(A106='Données projet'!$A$62,'Données projet'!$B$62,AI105+AH106-AQ105)))</f>
        <v>313.80000000000041</v>
      </c>
      <c r="AJ106" s="13">
        <f>AI106*VLOOKUP('Données projet'!$B$10,Paramètres!$A$1:$I$89,3,0)*VLOOKUP('Données projet'!$B$10,Paramètres!$A$1:$I$89,5,0)</f>
        <v>283.92624000000035</v>
      </c>
      <c r="AK106" s="13">
        <f t="shared" si="89"/>
        <v>67.796062628528418</v>
      </c>
      <c r="AL106" s="20">
        <f t="shared" si="58"/>
        <v>612.58301041135417</v>
      </c>
      <c r="AM106" s="59">
        <f t="shared" si="59"/>
        <v>921.30229733498584</v>
      </c>
      <c r="AN106" s="59">
        <f ca="1">AVERAGE(OFFSET($AM$3,0,0,'Données projet'!$E$10+1,1))-AVERAGE(OFFSET($H$3,0,0,'Données projet'!$E$10+1,1))</f>
        <v>521.72266623522626</v>
      </c>
      <c r="AO106" s="59">
        <f t="shared" si="90"/>
        <v>298.49205684341825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33.39493599887814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33.39493599887814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-6.7984728957526396E-14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376.5647919688821</v>
      </c>
      <c r="BJ106" s="59">
        <f t="shared" si="92"/>
        <v>340.34037344565581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93.549988805897101</v>
      </c>
      <c r="BQ106" s="21">
        <f>EXP(-LN(2)/25)*BQ105+(1-EXP(-LN(2)/25))/(LN(2)/25)*Calculateur!BL106*Calculateur!BN106*VLOOKUP('Données projet'!$B$11,Paramètres!$A$1:$I$89,3,0)*0.475*44/12</f>
        <v>36.51310746649213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130.06309627238923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3.3</v>
      </c>
      <c r="BY106" s="12">
        <f>IF('Données projet'!$A$114&gt;35,BY105+BX106-CG105,IF(A106&lt;'Données projet'!$A$114,$BV$205^A106,IF(A106='Données projet'!$A$114,'Données projet'!$B$114,BY105+BX106-CG105)))</f>
        <v>287.9000000000002</v>
      </c>
      <c r="BZ106" s="13">
        <f>BY106*VLOOKUP('Données projet'!$B$12,Paramètres!$A$1:$I$89,3,0)*VLOOKUP('Données projet'!$B$12,Paramètres!$A$1:$I$89,5,0)</f>
        <v>291.9306000000002</v>
      </c>
      <c r="CA106" s="13">
        <f t="shared" si="93"/>
        <v>69.482132168934697</v>
      </c>
      <c r="CB106" s="20">
        <f t="shared" si="64"/>
        <v>629.46050852756161</v>
      </c>
      <c r="CC106" s="59">
        <f t="shared" si="65"/>
        <v>938.17979545119329</v>
      </c>
      <c r="CD106" s="59">
        <f ca="1">AVERAGE(OFFSET($CC$3,0,0,'Données projet'!$E$12+1,1))-AVERAGE(OFFSET($H$3,0,0,'Données projet'!$E$12+1,1))</f>
        <v>473.09076714002885</v>
      </c>
      <c r="CE106" s="59">
        <f t="shared" si="94"/>
        <v>311.6454557566534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37.95257082170825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37.95257082170825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-2.8421709430404007E-14</v>
      </c>
      <c r="CU106" s="17">
        <f>CT106*VLOOKUP('Données projet'!$B$13,Paramètres!$A$1:$I$89,3,0)*VLOOKUP('Données projet'!$B$13,Paramètres!$A$1:$I$89,5,0)</f>
        <v>-2.4829205358400945E-14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379.66247682099424</v>
      </c>
      <c r="CZ106" s="59">
        <f t="shared" si="96"/>
        <v>342.92507939604081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85.976518677514434</v>
      </c>
      <c r="DG106" s="21">
        <f>EXP(-LN(2)/25)*DG105+(1-EXP(-LN(2)/25))/(LN(2)/25)*Calculateur!DB106*Calculateur!DD106*VLOOKUP('Données projet'!$B$13,Paramètres!$A$1:$I$89,3,0)*0.475*44/12</f>
        <v>38.295268627866768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124.2717873053812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2.6</v>
      </c>
      <c r="DO106" s="12">
        <f>IF('Données projet'!$A$166&gt;35,DO105+DN106-DW105,IF(A106&lt;'Données projet'!$A$166,$DL$205^A106,IF(A106='Données projet'!$A$166,'Données projet'!$B$166,DO105+DN106-DW105)))</f>
        <v>313.80000000000041</v>
      </c>
      <c r="DP106" s="17">
        <f>DO106*VLOOKUP('Données projet'!$B$14,Paramètres!$A$1:$I$89,3,0)*VLOOKUP('Données projet'!$B$14,Paramètres!$A$1:$I$89,5,0)</f>
        <v>298.61208000000039</v>
      </c>
      <c r="DQ106" s="13">
        <f t="shared" si="97"/>
        <v>70.885423654656421</v>
      </c>
      <c r="DR106" s="20">
        <f t="shared" si="70"/>
        <v>643.54148553186076</v>
      </c>
      <c r="DS106" s="59">
        <f t="shared" si="71"/>
        <v>952.26077245549243</v>
      </c>
      <c r="DT106" s="59">
        <f ca="1">AVERAGE(OFFSET($DS$3,0,0,'Données projet'!$E$14+1,1))-AVERAGE(OFFSET($H$3,0,0,'Données projet'!$E$14+1,1))</f>
        <v>544.64394576312384</v>
      </c>
      <c r="DU106" s="59">
        <f t="shared" si="98"/>
        <v>310.67291035925484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35.122260274682183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35.122260274682183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2</v>
      </c>
      <c r="EJ106" s="12">
        <f>IF('Données projet'!$A$192&gt;35,EJ105+EI106-ER105,IF(A106&lt;'Données projet'!$A$192,$EG$205^A106,IF(A106='Données projet'!$A$192,'Données projet'!$B$192,EJ105+EI106-ER105)))</f>
        <v>166.99999999999994</v>
      </c>
      <c r="EK106" s="17">
        <f>EJ106*VLOOKUP('Données projet'!$B$15,Paramètres!$A$1:$I$89,3,0)*VLOOKUP('Données projet'!$B$15,Paramètres!$A$1:$I$89,5,0)</f>
        <v>161.52239999999995</v>
      </c>
      <c r="EL106" s="13">
        <f t="shared" si="99"/>
        <v>41.185707490721896</v>
      </c>
      <c r="EM106" s="20">
        <f t="shared" si="73"/>
        <v>353.04995387967386</v>
      </c>
      <c r="EN106" s="59">
        <f t="shared" si="74"/>
        <v>661.76924080330559</v>
      </c>
      <c r="EO106" s="59">
        <f ca="1">AVERAGE(OFFSET($EN$3,0,0,'Données projet'!$E$15+1,1))-AVERAGE(OFFSET($H$3,0,0,'Données projet'!$E$15+1,1))</f>
        <v>276.72865583771579</v>
      </c>
      <c r="EP106" s="59">
        <f t="shared" si="100"/>
        <v>174.3587092851154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13.84024472357657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13.84024472357657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74.196169160990451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4.25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15.583333333333334</v>
      </c>
      <c r="H107" s="67">
        <f t="shared" si="56"/>
        <v>222.56666666666669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341.11752883785607</v>
      </c>
      <c r="T107" s="59">
        <f t="shared" si="88"/>
        <v>423.15445896616234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48.426940427372465</v>
      </c>
      <c r="AA107" s="21">
        <f>EXP(-LN(2)/25)*AA106+(1-EXP(-LN(2)/25))/(LN(2)/25)*Calculateur!V107*Calculateur!X107*VLOOKUP('Données projet'!$B$9,Paramètres!$A$1:$I$89,3,0)*0.475*44/12</f>
        <v>21.503879353022946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69.93081978039541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2.6</v>
      </c>
      <c r="AI107" s="13">
        <f>IF('Données projet'!$A$62&gt;35,AI106+AH107-AQ106,IF(A107&lt;'Données projet'!$A$62,$AF$205^A107,IF(A107='Données projet'!$A$62,'Données projet'!$B$62,AI106+AH107-AQ106)))</f>
        <v>316.40000000000043</v>
      </c>
      <c r="AJ107" s="13">
        <f>AI107*VLOOKUP('Données projet'!$B$10,Paramètres!$A$1:$I$89,3,0)*VLOOKUP('Données projet'!$B$10,Paramètres!$A$1:$I$89,5,0)</f>
        <v>286.27872000000036</v>
      </c>
      <c r="AK107" s="13">
        <f t="shared" si="89"/>
        <v>68.292165517667613</v>
      </c>
      <c r="AL107" s="20">
        <f t="shared" si="58"/>
        <v>617.54429227660512</v>
      </c>
      <c r="AM107" s="59">
        <f t="shared" si="59"/>
        <v>926.48645251634025</v>
      </c>
      <c r="AN107" s="59">
        <f ca="1">AVERAGE(OFFSET($AM$3,0,0,'Données projet'!$E$10+1,1))-AVERAGE(OFFSET($H$3,0,0,'Données projet'!$E$10+1,1))</f>
        <v>521.72266623522626</v>
      </c>
      <c r="AO107" s="59">
        <f t="shared" si="90"/>
        <v>298.49205684341825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32.740081672839835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32.740081672839835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-6.7984728957526396E-14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376.5647919688821</v>
      </c>
      <c r="BJ107" s="59">
        <f t="shared" si="92"/>
        <v>340.34037344565581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91.715530585272433</v>
      </c>
      <c r="BQ107" s="21">
        <f>EXP(-LN(2)/25)*BQ106+(1-EXP(-LN(2)/25))/(LN(2)/25)*Calculateur!BL107*Calculateur!BN107*VLOOKUP('Données projet'!$B$11,Paramètres!$A$1:$I$89,3,0)*0.475*44/12</f>
        <v>35.514654622680034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127.23018520795247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3.3</v>
      </c>
      <c r="BY107" s="12">
        <f>IF('Données projet'!$A$114&gt;35,BY106+BX107-CG106,IF(A107&lt;'Données projet'!$A$114,$BV$205^A107,IF(A107='Données projet'!$A$114,'Données projet'!$B$114,BY106+BX107-CG106)))</f>
        <v>291.20000000000022</v>
      </c>
      <c r="BZ107" s="13">
        <f>BY107*VLOOKUP('Données projet'!$B$12,Paramètres!$A$1:$I$89,3,0)*VLOOKUP('Données projet'!$B$12,Paramètres!$A$1:$I$89,5,0)</f>
        <v>295.27680000000021</v>
      </c>
      <c r="CA107" s="13">
        <f t="shared" si="93"/>
        <v>70.185386686980564</v>
      </c>
      <c r="CB107" s="20">
        <f t="shared" si="64"/>
        <v>636.51330847982479</v>
      </c>
      <c r="CC107" s="59">
        <f t="shared" si="65"/>
        <v>945.4554687195598</v>
      </c>
      <c r="CD107" s="59">
        <f ca="1">AVERAGE(OFFSET($CC$3,0,0,'Données projet'!$E$12+1,1))-AVERAGE(OFFSET($H$3,0,0,'Données projet'!$E$12+1,1))</f>
        <v>473.09076714002885</v>
      </c>
      <c r="CE107" s="59">
        <f t="shared" si="94"/>
        <v>311.6454557566534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37.208344056676999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37.208344056676999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-2.8421709430404007E-14</v>
      </c>
      <c r="CU107" s="17">
        <f>CT107*VLOOKUP('Données projet'!$B$13,Paramètres!$A$1:$I$89,3,0)*VLOOKUP('Données projet'!$B$13,Paramètres!$A$1:$I$89,5,0)</f>
        <v>-2.4829205358400945E-14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379.66247682099424</v>
      </c>
      <c r="CZ107" s="59">
        <f t="shared" si="96"/>
        <v>342.92507939604081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84.290571586746694</v>
      </c>
      <c r="DG107" s="21">
        <f>EXP(-LN(2)/25)*DG106+(1-EXP(-LN(2)/25))/(LN(2)/25)*Calculateur!DB107*Calculateur!DD107*VLOOKUP('Données projet'!$B$13,Paramètres!$A$1:$I$89,3,0)*0.475*44/12</f>
        <v>37.248082493377098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121.53865408012379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2.6</v>
      </c>
      <c r="DO107" s="12">
        <f>IF('Données projet'!$A$166&gt;35,DO106+DN107-DW106,IF(A107&lt;'Données projet'!$A$166,$DL$205^A107,IF(A107='Données projet'!$A$166,'Données projet'!$B$166,DO106+DN107-DW106)))</f>
        <v>316.40000000000043</v>
      </c>
      <c r="DP107" s="17">
        <f>DO107*VLOOKUP('Données projet'!$B$14,Paramètres!$A$1:$I$89,3,0)*VLOOKUP('Données projet'!$B$14,Paramètres!$A$1:$I$89,5,0)</f>
        <v>301.08624000000037</v>
      </c>
      <c r="DQ107" s="13">
        <f t="shared" si="97"/>
        <v>71.404133180099166</v>
      </c>
      <c r="DR107" s="20">
        <f t="shared" si="70"/>
        <v>648.75406662200669</v>
      </c>
      <c r="DS107" s="59">
        <f t="shared" si="71"/>
        <v>957.69622686174171</v>
      </c>
      <c r="DT107" s="59">
        <f ca="1">AVERAGE(OFFSET($DS$3,0,0,'Données projet'!$E$14+1,1))-AVERAGE(OFFSET($H$3,0,0,'Données projet'!$E$14+1,1))</f>
        <v>544.64394576312384</v>
      </c>
      <c r="DU107" s="59">
        <f t="shared" si="98"/>
        <v>310.67291035925484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34.433534173159138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34.433534173159138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2</v>
      </c>
      <c r="EJ107" s="12">
        <f>IF('Données projet'!$A$192&gt;35,EJ106+EI107-ER106,IF(A107&lt;'Données projet'!$A$192,$EG$205^A107,IF(A107='Données projet'!$A$192,'Données projet'!$B$192,EJ106+EI107-ER106)))</f>
        <v>168.99999999999994</v>
      </c>
      <c r="EK107" s="17">
        <f>EJ107*VLOOKUP('Données projet'!$B$15,Paramètres!$A$1:$I$89,3,0)*VLOOKUP('Données projet'!$B$15,Paramètres!$A$1:$I$89,5,0)</f>
        <v>163.45679999999993</v>
      </c>
      <c r="EL107" s="13">
        <f t="shared" si="99"/>
        <v>41.621233697261061</v>
      </c>
      <c r="EM107" s="20">
        <f t="shared" si="73"/>
        <v>357.17757535606285</v>
      </c>
      <c r="EN107" s="59">
        <f t="shared" si="74"/>
        <v>666.11973559579792</v>
      </c>
      <c r="EO107" s="59">
        <f ca="1">AVERAGE(OFFSET($EN$3,0,0,'Données projet'!$E$15+1,1))-AVERAGE(OFFSET($H$3,0,0,'Données projet'!$E$15+1,1))</f>
        <v>276.72865583771579</v>
      </c>
      <c r="EP107" s="59">
        <f t="shared" si="100"/>
        <v>174.3587092851154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13.568845966262964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13.568845966262964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74.256952792655028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4.25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15.583333333333334</v>
      </c>
      <c r="H108" s="67">
        <f t="shared" si="56"/>
        <v>222.56666666666669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341.11752883785607</v>
      </c>
      <c r="T108" s="59">
        <f t="shared" si="88"/>
        <v>423.15445896616234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47.477317663108764</v>
      </c>
      <c r="AA108" s="21">
        <f>EXP(-LN(2)/25)*AA107+(1-EXP(-LN(2)/25))/(LN(2)/25)*Calculateur!V108*Calculateur!X108*VLOOKUP('Données projet'!$B$9,Paramètres!$A$1:$I$89,3,0)*0.475*44/12</f>
        <v>20.915854641274667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68.393172304383427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2.6</v>
      </c>
      <c r="AI108" s="13">
        <f>IF('Données projet'!$A$62&gt;35,AI107+AH108-AQ107,IF(A108&lt;'Données projet'!$A$62,$AF$205^A108,IF(A108='Données projet'!$A$62,'Données projet'!$B$62,AI107+AH108-AQ107)))</f>
        <v>319.00000000000045</v>
      </c>
      <c r="AJ108" s="13">
        <f>AI108*VLOOKUP('Données projet'!$B$10,Paramètres!$A$1:$I$89,3,0)*VLOOKUP('Données projet'!$B$10,Paramètres!$A$1:$I$89,5,0)</f>
        <v>288.63120000000038</v>
      </c>
      <c r="AK108" s="13">
        <f t="shared" si="89"/>
        <v>68.787794100289332</v>
      </c>
      <c r="AL108" s="20">
        <f t="shared" si="58"/>
        <v>622.50474805800457</v>
      </c>
      <c r="AM108" s="59">
        <f t="shared" si="59"/>
        <v>931.66591526007892</v>
      </c>
      <c r="AN108" s="59">
        <f ca="1">AVERAGE(OFFSET($AM$3,0,0,'Données projet'!$E$10+1,1))-AVERAGE(OFFSET($H$3,0,0,'Données projet'!$E$10+1,1))</f>
        <v>521.72266623522626</v>
      </c>
      <c r="AO108" s="59">
        <f t="shared" si="90"/>
        <v>298.49205684341825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32.098068640713443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32.098068640713443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-6.7984728957526396E-14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376.5647919688821</v>
      </c>
      <c r="BJ108" s="59">
        <f t="shared" si="92"/>
        <v>340.34037344565581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89.917044971445193</v>
      </c>
      <c r="BQ108" s="21">
        <f>EXP(-LN(2)/25)*BQ107+(1-EXP(-LN(2)/25))/(LN(2)/25)*Calculateur!BL108*Calculateur!BN108*VLOOKUP('Données projet'!$B$11,Paramètres!$A$1:$I$89,3,0)*0.475*44/12</f>
        <v>34.543504524388332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124.46054949583353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3.3</v>
      </c>
      <c r="BY108" s="12">
        <f>IF('Données projet'!$A$114&gt;35,BY107+BX108-CG107,IF(A108&lt;'Données projet'!$A$114,$BV$205^A108,IF(A108='Données projet'!$A$114,'Données projet'!$B$114,BY107+BX108-CG107)))</f>
        <v>294.50000000000023</v>
      </c>
      <c r="BZ108" s="13">
        <f>BY108*VLOOKUP('Données projet'!$B$12,Paramètres!$A$1:$I$89,3,0)*VLOOKUP('Données projet'!$B$12,Paramètres!$A$1:$I$89,5,0)</f>
        <v>298.62300000000027</v>
      </c>
      <c r="CA108" s="13">
        <f t="shared" si="93"/>
        <v>70.887714137209016</v>
      </c>
      <c r="CB108" s="20">
        <f t="shared" si="64"/>
        <v>643.56449378897287</v>
      </c>
      <c r="CC108" s="59">
        <f t="shared" si="65"/>
        <v>952.72566099104711</v>
      </c>
      <c r="CD108" s="59">
        <f ca="1">AVERAGE(OFFSET($CC$3,0,0,'Données projet'!$E$12+1,1))-AVERAGE(OFFSET($H$3,0,0,'Données projet'!$E$12+1,1))</f>
        <v>473.09076714002885</v>
      </c>
      <c r="CE108" s="59">
        <f t="shared" si="94"/>
        <v>311.6454557566534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36.478711124574509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36.478711124574509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-2.8421709430404007E-14</v>
      </c>
      <c r="CU108" s="17">
        <f>CT108*VLOOKUP('Données projet'!$B$13,Paramètres!$A$1:$I$89,3,0)*VLOOKUP('Données projet'!$B$13,Paramètres!$A$1:$I$89,5,0)</f>
        <v>-2.4829205358400945E-14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379.66247682099424</v>
      </c>
      <c r="CZ108" s="59">
        <f t="shared" si="96"/>
        <v>342.92507939604081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82.637684890102733</v>
      </c>
      <c r="DG108" s="21">
        <f>EXP(-LN(2)/25)*DG107+(1-EXP(-LN(2)/25))/(LN(2)/25)*Calculateur!DB108*Calculateur!DD108*VLOOKUP('Données projet'!$B$13,Paramètres!$A$1:$I$89,3,0)*0.475*44/12</f>
        <v>36.229531718804175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118.86721660890692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2.6</v>
      </c>
      <c r="DO108" s="12">
        <f>IF('Données projet'!$A$166&gt;35,DO107+DN108-DW107,IF(A108&lt;'Données projet'!$A$166,$DL$205^A108,IF(A108='Données projet'!$A$166,'Données projet'!$B$166,DO107+DN108-DW107)))</f>
        <v>319.00000000000045</v>
      </c>
      <c r="DP108" s="17">
        <f>DO108*VLOOKUP('Données projet'!$B$14,Paramètres!$A$1:$I$89,3,0)*VLOOKUP('Données projet'!$B$14,Paramètres!$A$1:$I$89,5,0)</f>
        <v>303.56040000000041</v>
      </c>
      <c r="DQ108" s="13">
        <f t="shared" si="97"/>
        <v>71.922346785614806</v>
      </c>
      <c r="DR108" s="20">
        <f t="shared" si="70"/>
        <v>653.96578398494648</v>
      </c>
      <c r="DS108" s="59">
        <f t="shared" si="71"/>
        <v>963.12695118702072</v>
      </c>
      <c r="DT108" s="59">
        <f ca="1">AVERAGE(OFFSET($DS$3,0,0,'Données projet'!$E$14+1,1))-AVERAGE(OFFSET($H$3,0,0,'Données projet'!$E$14+1,1))</f>
        <v>544.64394576312384</v>
      </c>
      <c r="DU108" s="59">
        <f t="shared" si="98"/>
        <v>310.67291035925484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33.758313570405519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33.758313570405519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2</v>
      </c>
      <c r="EJ108" s="12">
        <f>IF('Données projet'!$A$192&gt;35,EJ107+EI108-ER107,IF(A108&lt;'Données projet'!$A$192,$EG$205^A108,IF(A108='Données projet'!$A$192,'Données projet'!$B$192,EJ107+EI108-ER107)))</f>
        <v>170.99999999999994</v>
      </c>
      <c r="EK108" s="17">
        <f>EJ108*VLOOKUP('Données projet'!$B$15,Paramètres!$A$1:$I$89,3,0)*VLOOKUP('Données projet'!$B$15,Paramètres!$A$1:$I$89,5,0)</f>
        <v>165.39119999999994</v>
      </c>
      <c r="EL108" s="13">
        <f t="shared" si="99"/>
        <v>42.056160358234834</v>
      </c>
      <c r="EM108" s="20">
        <f t="shared" si="73"/>
        <v>361.30415262392557</v>
      </c>
      <c r="EN108" s="59">
        <f t="shared" si="74"/>
        <v>670.46531982599981</v>
      </c>
      <c r="EO108" s="59">
        <f ca="1">AVERAGE(OFFSET($EN$3,0,0,'Données projet'!$E$15+1,1))-AVERAGE(OFFSET($H$3,0,0,'Données projet'!$E$15+1,1))</f>
        <v>276.72865583771579</v>
      </c>
      <c r="EP108" s="59">
        <f t="shared" si="100"/>
        <v>174.3587092851154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13.302769173043382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13.302769173043382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74.31668196420209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4.25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15.583333333333334</v>
      </c>
      <c r="H109" s="67">
        <f t="shared" si="56"/>
        <v>222.56666666666669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341.11752883785607</v>
      </c>
      <c r="T109" s="59">
        <f t="shared" si="88"/>
        <v>423.15445896616234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46.546316422039581</v>
      </c>
      <c r="AA109" s="21">
        <f>EXP(-LN(2)/25)*AA108+(1-EXP(-LN(2)/25))/(LN(2)/25)*Calculateur!V109*Calculateur!X109*VLOOKUP('Données projet'!$B$9,Paramètres!$A$1:$I$89,3,0)*0.475*44/12</f>
        <v>20.343909496192019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66.890225918231607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2.6</v>
      </c>
      <c r="AI109" s="13">
        <f>IF('Données projet'!$A$62&gt;35,AI108+AH109-AQ108,IF(A109&lt;'Données projet'!$A$62,$AF$205^A109,IF(A109='Données projet'!$A$62,'Données projet'!$B$62,AI108+AH109-AQ108)))</f>
        <v>321.60000000000048</v>
      </c>
      <c r="AJ109" s="13">
        <f>AI109*VLOOKUP('Données projet'!$B$10,Paramètres!$A$1:$I$89,3,0)*VLOOKUP('Données projet'!$B$10,Paramètres!$A$1:$I$89,5,0)</f>
        <v>290.98368000000045</v>
      </c>
      <c r="AK109" s="13">
        <f t="shared" si="89"/>
        <v>69.282952690245537</v>
      </c>
      <c r="AL109" s="20">
        <f t="shared" si="58"/>
        <v>627.46438526884492</v>
      </c>
      <c r="AM109" s="59">
        <f t="shared" si="59"/>
        <v>936.84076015208802</v>
      </c>
      <c r="AN109" s="59">
        <f ca="1">AVERAGE(OFFSET($AM$3,0,0,'Données projet'!$E$10+1,1))-AVERAGE(OFFSET($H$3,0,0,'Données projet'!$E$10+1,1))</f>
        <v>521.72266623522626</v>
      </c>
      <c r="AO109" s="59">
        <f t="shared" si="90"/>
        <v>298.49205684341825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31.468645092557768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31.468645092557768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-6.7984728957526396E-14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376.5647919688821</v>
      </c>
      <c r="BJ109" s="59">
        <f t="shared" si="92"/>
        <v>340.34037344565581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88.153826563537194</v>
      </c>
      <c r="BQ109" s="21">
        <f>EXP(-LN(2)/25)*BQ108+(1-EXP(-LN(2)/25))/(LN(2)/25)*Calculateur!BL109*Calculateur!BN109*VLOOKUP('Données projet'!$B$11,Paramètres!$A$1:$I$89,3,0)*0.475*44/12</f>
        <v>33.598910576604979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121.75273714014217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3.3</v>
      </c>
      <c r="BY109" s="12">
        <f>IF('Données projet'!$A$114&gt;35,BY108+BX109-CG108,IF(A109&lt;'Données projet'!$A$114,$BV$205^A109,IF(A109='Données projet'!$A$114,'Données projet'!$B$114,BY108+BX109-CG108)))</f>
        <v>297.80000000000024</v>
      </c>
      <c r="BZ109" s="13">
        <f>BY109*VLOOKUP('Données projet'!$B$12,Paramètres!$A$1:$I$89,3,0)*VLOOKUP('Données projet'!$B$12,Paramètres!$A$1:$I$89,5,0)</f>
        <v>301.96920000000028</v>
      </c>
      <c r="CA109" s="13">
        <f t="shared" si="93"/>
        <v>71.58912610992985</v>
      </c>
      <c r="CB109" s="20">
        <f t="shared" si="64"/>
        <v>650.61408464146155</v>
      </c>
      <c r="CC109" s="59">
        <f t="shared" si="65"/>
        <v>959.99045952470465</v>
      </c>
      <c r="CD109" s="59">
        <f ca="1">AVERAGE(OFFSET($CC$3,0,0,'Données projet'!$E$12+1,1))-AVERAGE(OFFSET($H$3,0,0,'Données projet'!$E$12+1,1))</f>
        <v>473.09076714002885</v>
      </c>
      <c r="CE109" s="59">
        <f t="shared" si="94"/>
        <v>311.6454557566534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35.763385849238404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35.763385849238404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-2.8421709430404007E-14</v>
      </c>
      <c r="CU109" s="17">
        <f>CT109*VLOOKUP('Données projet'!$B$13,Paramètres!$A$1:$I$89,3,0)*VLOOKUP('Données projet'!$B$13,Paramètres!$A$1:$I$89,5,0)</f>
        <v>-2.4829205358400945E-14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379.66247682099424</v>
      </c>
      <c r="CZ109" s="59">
        <f t="shared" si="96"/>
        <v>342.92507939604081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81.017210293418614</v>
      </c>
      <c r="DG109" s="21">
        <f>EXP(-LN(2)/25)*DG108+(1-EXP(-LN(2)/25))/(LN(2)/25)*Calculateur!DB109*Calculateur!DD109*VLOOKUP('Données projet'!$B$13,Paramètres!$A$1:$I$89,3,0)*0.475*44/12</f>
        <v>35.238833268725209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116.25604356214382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2.6</v>
      </c>
      <c r="DO109" s="12">
        <f>IF('Données projet'!$A$166&gt;35,DO108+DN109-DW108,IF(A109&lt;'Données projet'!$A$166,$DL$205^A109,IF(A109='Données projet'!$A$166,'Données projet'!$B$166,DO108+DN109-DW108)))</f>
        <v>321.60000000000048</v>
      </c>
      <c r="DP109" s="17">
        <f>DO109*VLOOKUP('Données projet'!$B$14,Paramètres!$A$1:$I$89,3,0)*VLOOKUP('Données projet'!$B$14,Paramètres!$A$1:$I$89,5,0)</f>
        <v>306.03456000000045</v>
      </c>
      <c r="DQ109" s="13">
        <f t="shared" si="97"/>
        <v>72.440068981630859</v>
      </c>
      <c r="DR109" s="20">
        <f t="shared" si="70"/>
        <v>659.17664547634115</v>
      </c>
      <c r="DS109" s="59">
        <f t="shared" si="71"/>
        <v>968.55302035958425</v>
      </c>
      <c r="DT109" s="59">
        <f ca="1">AVERAGE(OFFSET($DS$3,0,0,'Données projet'!$E$14+1,1))-AVERAGE(OFFSET($H$3,0,0,'Données projet'!$E$14+1,1))</f>
        <v>544.64394576312384</v>
      </c>
      <c r="DU109" s="59">
        <f t="shared" si="98"/>
        <v>310.67291035925484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33.096333631827996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33.096333631827996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2</v>
      </c>
      <c r="EJ109" s="12">
        <f>IF('Données projet'!$A$192&gt;35,EJ108+EI109-ER108,IF(A109&lt;'Données projet'!$A$192,$EG$205^A109,IF(A109='Données projet'!$A$192,'Données projet'!$B$192,EJ108+EI109-ER108)))</f>
        <v>172.99999999999994</v>
      </c>
      <c r="EK109" s="17">
        <f>EJ109*VLOOKUP('Données projet'!$B$15,Paramètres!$A$1:$I$89,3,0)*VLOOKUP('Données projet'!$B$15,Paramètres!$A$1:$I$89,5,0)</f>
        <v>167.32559999999995</v>
      </c>
      <c r="EL109" s="13">
        <f t="shared" si="99"/>
        <v>42.490495297127609</v>
      </c>
      <c r="EM109" s="20">
        <f t="shared" si="73"/>
        <v>365.42969930916382</v>
      </c>
      <c r="EN109" s="59">
        <f t="shared" si="74"/>
        <v>674.80607419240687</v>
      </c>
      <c r="EO109" s="59">
        <f ca="1">AVERAGE(OFFSET($EN$3,0,0,'Données projet'!$E$15+1,1))-AVERAGE(OFFSET($H$3,0,0,'Données projet'!$E$15+1,1))</f>
        <v>276.72865583771579</v>
      </c>
      <c r="EP109" s="59">
        <f t="shared" si="100"/>
        <v>174.3587092851154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13.041909983448017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13.041909983448017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74.375374968157203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4.25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15.583333333333334</v>
      </c>
      <c r="H110" s="67">
        <f t="shared" si="56"/>
        <v>222.56666666666669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341.11752883785607</v>
      </c>
      <c r="T110" s="59">
        <f t="shared" si="88"/>
        <v>423.15445896616234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45.63357154745308</v>
      </c>
      <c r="AA110" s="21">
        <f>EXP(-LN(2)/25)*AA109+(1-EXP(-LN(2)/25))/(LN(2)/25)*Calculateur!V110*Calculateur!X110*VLOOKUP('Données projet'!$B$9,Paramètres!$A$1:$I$89,3,0)*0.475*44/12</f>
        <v>19.787604221178945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65.421175768632025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2.6</v>
      </c>
      <c r="AI110" s="13">
        <f>IF('Données projet'!$A$62&gt;35,AI109+AH110-AQ109,IF(A110&lt;'Données projet'!$A$62,$AF$205^A110,IF(A110='Données projet'!$A$62,'Données projet'!$B$62,AI109+AH110-AQ109)))</f>
        <v>324.2000000000005</v>
      </c>
      <c r="AJ110" s="13">
        <f>AI110*VLOOKUP('Données projet'!$B$10,Paramètres!$A$1:$I$89,3,0)*VLOOKUP('Données projet'!$B$10,Paramètres!$A$1:$I$89,5,0)</f>
        <v>293.33616000000046</v>
      </c>
      <c r="AK110" s="13">
        <f t="shared" si="89"/>
        <v>69.77764552760965</v>
      </c>
      <c r="AL110" s="20">
        <f t="shared" si="58"/>
        <v>632.42321129392087</v>
      </c>
      <c r="AM110" s="59">
        <f t="shared" si="59"/>
        <v>942.01106048619681</v>
      </c>
      <c r="AN110" s="59">
        <f ca="1">AVERAGE(OFFSET($AM$3,0,0,'Données projet'!$E$10+1,1))-AVERAGE(OFFSET($H$3,0,0,'Données projet'!$E$10+1,1))</f>
        <v>521.72266623522626</v>
      </c>
      <c r="AO110" s="59">
        <f t="shared" si="90"/>
        <v>298.49205684341825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30.851564156270967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30.851564156270967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-6.7984728957526396E-14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376.5647919688821</v>
      </c>
      <c r="BJ110" s="59">
        <f t="shared" si="92"/>
        <v>340.34037344565581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86.425183793151234</v>
      </c>
      <c r="BQ110" s="21">
        <f>EXP(-LN(2)/25)*BQ109+(1-EXP(-LN(2)/25))/(LN(2)/25)*Calculateur!BL110*Calculateur!BN110*VLOOKUP('Données projet'!$B$11,Paramètres!$A$1:$I$89,3,0)*0.475*44/12</f>
        <v>32.680146599997798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119.10533039314903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3.3</v>
      </c>
      <c r="BY110" s="12">
        <f>IF('Données projet'!$A$114&gt;35,BY109+BX110-CG109,IF(A110&lt;'Données projet'!$A$114,$BV$205^A110,IF(A110='Données projet'!$A$114,'Données projet'!$B$114,BY109+BX110-CG109)))</f>
        <v>301.10000000000025</v>
      </c>
      <c r="BZ110" s="13">
        <f>BY110*VLOOKUP('Données projet'!$B$12,Paramètres!$A$1:$I$89,3,0)*VLOOKUP('Données projet'!$B$12,Paramètres!$A$1:$I$89,5,0)</f>
        <v>305.3154000000003</v>
      </c>
      <c r="CA110" s="13">
        <f t="shared" si="93"/>
        <v>72.289633923791229</v>
      </c>
      <c r="CB110" s="20">
        <f t="shared" si="64"/>
        <v>657.6621007506036</v>
      </c>
      <c r="CC110" s="59">
        <f t="shared" si="65"/>
        <v>967.24994994287954</v>
      </c>
      <c r="CD110" s="59">
        <f ca="1">AVERAGE(OFFSET($CC$3,0,0,'Données projet'!$E$12+1,1))-AVERAGE(OFFSET($H$3,0,0,'Données projet'!$E$12+1,1))</f>
        <v>473.09076714002885</v>
      </c>
      <c r="CE110" s="59">
        <f t="shared" si="94"/>
        <v>311.6454557566534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35.062087666246299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35.062087666246299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-2.8421709430404007E-14</v>
      </c>
      <c r="CU110" s="17">
        <f>CT110*VLOOKUP('Données projet'!$B$13,Paramètres!$A$1:$I$89,3,0)*VLOOKUP('Données projet'!$B$13,Paramètres!$A$1:$I$89,5,0)</f>
        <v>-2.4829205358400945E-14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379.66247682099424</v>
      </c>
      <c r="CZ110" s="59">
        <f t="shared" si="96"/>
        <v>342.92507939604081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79.428512215183574</v>
      </c>
      <c r="DG110" s="21">
        <f>EXP(-LN(2)/25)*DG109+(1-EXP(-LN(2)/25))/(LN(2)/25)*Calculateur!DB110*Calculateur!DD110*VLOOKUP('Données projet'!$B$13,Paramètres!$A$1:$I$89,3,0)*0.475*44/12</f>
        <v>34.275225519862218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113.70373773504579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2.6</v>
      </c>
      <c r="DO110" s="12">
        <f>IF('Données projet'!$A$166&gt;35,DO109+DN110-DW109,IF(A110&lt;'Données projet'!$A$166,$DL$205^A110,IF(A110='Données projet'!$A$166,'Données projet'!$B$166,DO109+DN110-DW109)))</f>
        <v>324.2000000000005</v>
      </c>
      <c r="DP110" s="17">
        <f>DO110*VLOOKUP('Données projet'!$B$14,Paramètres!$A$1:$I$89,3,0)*VLOOKUP('Données projet'!$B$14,Paramètres!$A$1:$I$89,5,0)</f>
        <v>308.50872000000049</v>
      </c>
      <c r="DQ110" s="13">
        <f t="shared" si="97"/>
        <v>72.957304201434425</v>
      </c>
      <c r="DR110" s="20">
        <f t="shared" si="70"/>
        <v>664.38665881749921</v>
      </c>
      <c r="DS110" s="59">
        <f t="shared" si="71"/>
        <v>973.97450800977515</v>
      </c>
      <c r="DT110" s="59">
        <f ca="1">AVERAGE(OFFSET($DS$3,0,0,'Données projet'!$E$14+1,1))-AVERAGE(OFFSET($H$3,0,0,'Données projet'!$E$14+1,1))</f>
        <v>544.64394576312384</v>
      </c>
      <c r="DU110" s="59">
        <f t="shared" si="98"/>
        <v>310.67291035925484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32.447334716078089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32.447334716078089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2</v>
      </c>
      <c r="EJ110" s="12">
        <f>IF('Données projet'!$A$192&gt;35,EJ109+EI110-ER109,IF(A110&lt;'Données projet'!$A$192,$EG$205^A110,IF(A110='Données projet'!$A$192,'Données projet'!$B$192,EJ109+EI110-ER109)))</f>
        <v>174.99999999999994</v>
      </c>
      <c r="EK110" s="17">
        <f>EJ110*VLOOKUP('Données projet'!$B$15,Paramètres!$A$1:$I$89,3,0)*VLOOKUP('Données projet'!$B$15,Paramètres!$A$1:$I$89,5,0)</f>
        <v>169.25999999999993</v>
      </c>
      <c r="EL110" s="13">
        <f t="shared" si="99"/>
        <v>42.924246146122272</v>
      </c>
      <c r="EM110" s="20">
        <f t="shared" si="73"/>
        <v>369.55422870449615</v>
      </c>
      <c r="EN110" s="59">
        <f t="shared" si="74"/>
        <v>679.14207789677209</v>
      </c>
      <c r="EO110" s="59">
        <f ca="1">AVERAGE(OFFSET($EN$3,0,0,'Données projet'!$E$15+1,1))-AVERAGE(OFFSET($H$3,0,0,'Données projet'!$E$15+1,1))</f>
        <v>276.72865583771579</v>
      </c>
      <c r="EP110" s="59">
        <f t="shared" si="100"/>
        <v>174.3587092851154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12.786166083452223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12.786166083452223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74.433049779711624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4.25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15.583333333333334</v>
      </c>
      <c r="H111" s="67">
        <f t="shared" si="56"/>
        <v>222.56666666666669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341.11752883785607</v>
      </c>
      <c r="T111" s="59">
        <f t="shared" si="88"/>
        <v>423.15445896616234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44.738725043137819</v>
      </c>
      <c r="AA111" s="21">
        <f>EXP(-LN(2)/25)*AA110+(1-EXP(-LN(2)/25))/(LN(2)/25)*Calculateur!V111*Calculateur!X111*VLOOKUP('Données projet'!$B$9,Paramètres!$A$1:$I$89,3,0)*0.475*44/12</f>
        <v>19.246511143165925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63.985236186303744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2.6</v>
      </c>
      <c r="AI111" s="13">
        <f>IF('Données projet'!$A$62&gt;35,AI110+AH111-AQ110,IF(A111&lt;'Données projet'!$A$62,$AF$205^A111,IF(A111='Données projet'!$A$62,'Données projet'!$B$62,AI110+AH111-AQ110)))</f>
        <v>326.80000000000052</v>
      </c>
      <c r="AJ111" s="13">
        <f>AI111*VLOOKUP('Données projet'!$B$10,Paramètres!$A$1:$I$89,3,0)*VLOOKUP('Données projet'!$B$10,Paramètres!$A$1:$I$89,5,0)</f>
        <v>295.68864000000048</v>
      </c>
      <c r="AK111" s="13">
        <f t="shared" si="89"/>
        <v>70.271876780519861</v>
      </c>
      <c r="AL111" s="20">
        <f t="shared" si="58"/>
        <v>637.38123339273955</v>
      </c>
      <c r="AM111" s="59">
        <f t="shared" si="59"/>
        <v>947.17688828757241</v>
      </c>
      <c r="AN111" s="59">
        <f ca="1">AVERAGE(OFFSET($AM$3,0,0,'Données projet'!$E$10+1,1))-AVERAGE(OFFSET($H$3,0,0,'Données projet'!$E$10+1,1))</f>
        <v>521.72266623522626</v>
      </c>
      <c r="AO111" s="59">
        <f t="shared" si="90"/>
        <v>298.49205684341825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30.246583800762547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30.246583800762547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-6.7984728957526396E-14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376.5647919688821</v>
      </c>
      <c r="BJ111" s="59">
        <f t="shared" si="92"/>
        <v>340.34037344565581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84.730438653124565</v>
      </c>
      <c r="BQ111" s="21">
        <f>EXP(-LN(2)/25)*BQ110+(1-EXP(-LN(2)/25))/(LN(2)/25)*Calculateur!BL111*Calculateur!BN111*VLOOKUP('Données projet'!$B$11,Paramètres!$A$1:$I$89,3,0)*0.475*44/12</f>
        <v>31.786506272646641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116.51694492577121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3.3</v>
      </c>
      <c r="BY111" s="12">
        <f>IF('Données projet'!$A$114&gt;35,BY110+BX111-CG110,IF(A111&lt;'Données projet'!$A$114,$BV$205^A111,IF(A111='Données projet'!$A$114,'Données projet'!$B$114,BY110+BX111-CG110)))</f>
        <v>304.40000000000026</v>
      </c>
      <c r="BZ111" s="13">
        <f>BY111*VLOOKUP('Données projet'!$B$12,Paramètres!$A$1:$I$89,3,0)*VLOOKUP('Données projet'!$B$12,Paramètres!$A$1:$I$89,5,0)</f>
        <v>308.66160000000031</v>
      </c>
      <c r="CA111" s="13">
        <f t="shared" si="93"/>
        <v>72.989248635053187</v>
      </c>
      <c r="CB111" s="20">
        <f t="shared" si="64"/>
        <v>664.70856137271812</v>
      </c>
      <c r="CC111" s="59">
        <f t="shared" si="65"/>
        <v>974.50421626755087</v>
      </c>
      <c r="CD111" s="59">
        <f ca="1">AVERAGE(OFFSET($CC$3,0,0,'Données projet'!$E$12+1,1))-AVERAGE(OFFSET($H$3,0,0,'Données projet'!$E$12+1,1))</f>
        <v>473.09076714002885</v>
      </c>
      <c r="CE111" s="59">
        <f t="shared" si="94"/>
        <v>311.6454557566534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34.374541512873016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34.374541512873016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-2.8421709430404007E-14</v>
      </c>
      <c r="CU111" s="17">
        <f>CT111*VLOOKUP('Données projet'!$B$13,Paramètres!$A$1:$I$89,3,0)*VLOOKUP('Données projet'!$B$13,Paramètres!$A$1:$I$89,5,0)</f>
        <v>-2.4829205358400945E-14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379.66247682099424</v>
      </c>
      <c r="CZ111" s="59">
        <f t="shared" si="96"/>
        <v>342.92507939604081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77.870967537252568</v>
      </c>
      <c r="DG111" s="21">
        <f>EXP(-LN(2)/25)*DG110+(1-EXP(-LN(2)/25))/(LN(2)/25)*Calculateur!DB111*Calculateur!DD111*VLOOKUP('Données projet'!$B$13,Paramètres!$A$1:$I$89,3,0)*0.475*44/12</f>
        <v>33.337967675565814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111.20893521281837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2.6</v>
      </c>
      <c r="DO111" s="12">
        <f>IF('Données projet'!$A$166&gt;35,DO110+DN111-DW110,IF(A111&lt;'Données projet'!$A$166,$DL$205^A111,IF(A111='Données projet'!$A$166,'Données projet'!$B$166,DO110+DN111-DW110)))</f>
        <v>326.80000000000052</v>
      </c>
      <c r="DP111" s="17">
        <f>DO111*VLOOKUP('Données projet'!$B$14,Paramètres!$A$1:$I$89,3,0)*VLOOKUP('Données projet'!$B$14,Paramètres!$A$1:$I$89,5,0)</f>
        <v>310.98288000000053</v>
      </c>
      <c r="DQ111" s="13">
        <f t="shared" si="97"/>
        <v>73.474056803099089</v>
      </c>
      <c r="DR111" s="20">
        <f t="shared" si="70"/>
        <v>669.59583159873182</v>
      </c>
      <c r="DS111" s="59">
        <f t="shared" si="71"/>
        <v>979.39148649356457</v>
      </c>
      <c r="DT111" s="59">
        <f ca="1">AVERAGE(OFFSET($DS$3,0,0,'Données projet'!$E$14+1,1))-AVERAGE(OFFSET($H$3,0,0,'Données projet'!$E$14+1,1))</f>
        <v>544.64394576312384</v>
      </c>
      <c r="DU111" s="59">
        <f t="shared" si="98"/>
        <v>310.67291035925484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31.811062273215782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31.811062273215782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2</v>
      </c>
      <c r="EJ111" s="12">
        <f>IF('Données projet'!$A$192&gt;35,EJ110+EI111-ER110,IF(A111&lt;'Données projet'!$A$192,$EG$205^A111,IF(A111='Données projet'!$A$192,'Données projet'!$B$192,EJ110+EI111-ER110)))</f>
        <v>176.99999999999994</v>
      </c>
      <c r="EK111" s="17">
        <f>EJ111*VLOOKUP('Données projet'!$B$15,Paramètres!$A$1:$I$89,3,0)*VLOOKUP('Données projet'!$B$15,Paramètres!$A$1:$I$89,5,0)</f>
        <v>171.19439999999994</v>
      </c>
      <c r="EL111" s="13">
        <f t="shared" si="99"/>
        <v>43.35742035290977</v>
      </c>
      <c r="EM111" s="20">
        <f t="shared" si="73"/>
        <v>373.67775378131773</v>
      </c>
      <c r="EN111" s="59">
        <f t="shared" si="74"/>
        <v>683.47340867615048</v>
      </c>
      <c r="EO111" s="59">
        <f ca="1">AVERAGE(OFFSET($EN$3,0,0,'Données projet'!$E$15+1,1))-AVERAGE(OFFSET($H$3,0,0,'Données projet'!$E$15+1,1))</f>
        <v>276.72865583771579</v>
      </c>
      <c r="EP111" s="59">
        <f t="shared" si="100"/>
        <v>174.3587092851154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12.535437165346968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12.535437165346968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74.489724062227126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4.25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15.583333333333334</v>
      </c>
      <c r="H112" s="67">
        <f t="shared" si="56"/>
        <v>222.56666666666669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341.11752883785607</v>
      </c>
      <c r="T112" s="59">
        <f t="shared" si="88"/>
        <v>423.15445896616234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43.861425932969702</v>
      </c>
      <c r="AA112" s="21">
        <f>EXP(-LN(2)/25)*AA111+(1-EXP(-LN(2)/25))/(LN(2)/25)*Calculateur!V112*Calculateur!X112*VLOOKUP('Données projet'!$B$9,Paramètres!$A$1:$I$89,3,0)*0.475*44/12</f>
        <v>18.720214283826021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62.581640216795719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2.6</v>
      </c>
      <c r="AI112" s="13">
        <f>IF('Données projet'!$A$62&gt;35,AI111+AH112-AQ111,IF(A112&lt;'Données projet'!$A$62,$AF$205^A112,IF(A112='Données projet'!$A$62,'Données projet'!$B$62,AI111+AH112-AQ111)))</f>
        <v>329.40000000000055</v>
      </c>
      <c r="AJ112" s="13">
        <f>AI112*VLOOKUP('Données projet'!$B$10,Paramètres!$A$1:$I$89,3,0)*VLOOKUP('Données projet'!$B$10,Paramètres!$A$1:$I$89,5,0)</f>
        <v>298.04112000000049</v>
      </c>
      <c r="AK112" s="13">
        <f t="shared" si="89"/>
        <v>70.765650546961581</v>
      </c>
      <c r="AL112" s="20">
        <f t="shared" si="58"/>
        <v>642.33845870262564</v>
      </c>
      <c r="AM112" s="59">
        <f t="shared" si="59"/>
        <v>952.33831433565979</v>
      </c>
      <c r="AN112" s="59">
        <f ca="1">AVERAGE(OFFSET($AM$3,0,0,'Données projet'!$E$10+1,1))-AVERAGE(OFFSET($H$3,0,0,'Données projet'!$E$10+1,1))</f>
        <v>521.72266623522626</v>
      </c>
      <c r="AO112" s="59">
        <f t="shared" si="90"/>
        <v>298.49205684341825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29.653466741024065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29.653466741024065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-6.7984728957526396E-14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376.5647919688821</v>
      </c>
      <c r="BJ112" s="59">
        <f t="shared" si="92"/>
        <v>340.34037344565581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83.068926431601355</v>
      </c>
      <c r="BQ112" s="21">
        <f>EXP(-LN(2)/25)*BQ111+(1-EXP(-LN(2)/25))/(LN(2)/25)*Calculateur!BL112*Calculateur!BN112*VLOOKUP('Données projet'!$B$11,Paramètres!$A$1:$I$89,3,0)*0.475*44/12</f>
        <v>30.917302587041402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113.98622901864276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3.3</v>
      </c>
      <c r="BY112" s="12">
        <f>IF('Données projet'!$A$114&gt;35,BY111+BX112-CG111,IF(A112&lt;'Données projet'!$A$114,$BV$205^A112,IF(A112='Données projet'!$A$114,'Données projet'!$B$114,BY111+BX112-CG111)))</f>
        <v>307.70000000000027</v>
      </c>
      <c r="BZ112" s="13">
        <f>BY112*VLOOKUP('Données projet'!$B$12,Paramètres!$A$1:$I$89,3,0)*VLOOKUP('Données projet'!$B$12,Paramètres!$A$1:$I$89,5,0)</f>
        <v>312.00780000000032</v>
      </c>
      <c r="CA112" s="13">
        <f t="shared" si="93"/>
        <v>73.687981046447007</v>
      </c>
      <c r="CB112" s="20">
        <f t="shared" si="64"/>
        <v>671.75348532256248</v>
      </c>
      <c r="CC112" s="59">
        <f t="shared" si="65"/>
        <v>981.75334095559674</v>
      </c>
      <c r="CD112" s="59">
        <f ca="1">AVERAGE(OFFSET($CC$3,0,0,'Données projet'!$E$12+1,1))-AVERAGE(OFFSET($H$3,0,0,'Données projet'!$E$12+1,1))</f>
        <v>473.09076714002885</v>
      </c>
      <c r="CE112" s="59">
        <f t="shared" si="94"/>
        <v>311.6454557566534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33.70047772020564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33.70047772020564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-2.8421709430404007E-14</v>
      </c>
      <c r="CU112" s="17">
        <f>CT112*VLOOKUP('Données projet'!$B$13,Paramètres!$A$1:$I$89,3,0)*VLOOKUP('Données projet'!$B$13,Paramètres!$A$1:$I$89,5,0)</f>
        <v>-2.4829205358400945E-14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379.66247682099424</v>
      </c>
      <c r="CZ112" s="59">
        <f t="shared" si="96"/>
        <v>342.92507939604081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76.343965360447342</v>
      </c>
      <c r="DG112" s="21">
        <f>EXP(-LN(2)/25)*DG111+(1-EXP(-LN(2)/25))/(LN(2)/25)*Calculateur!DB112*Calculateur!DD112*VLOOKUP('Données projet'!$B$13,Paramètres!$A$1:$I$89,3,0)*0.475*44/12</f>
        <v>32.426339196309939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108.77030455675728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2.6</v>
      </c>
      <c r="DO112" s="12">
        <f>IF('Données projet'!$A$166&gt;35,DO111+DN112-DW111,IF(A112&lt;'Données projet'!$A$166,$DL$205^A112,IF(A112='Données projet'!$A$166,'Données projet'!$B$166,DO111+DN112-DW111)))</f>
        <v>329.40000000000055</v>
      </c>
      <c r="DP112" s="17">
        <f>DO112*VLOOKUP('Données projet'!$B$14,Paramètres!$A$1:$I$89,3,0)*VLOOKUP('Données projet'!$B$14,Paramètres!$A$1:$I$89,5,0)</f>
        <v>313.45704000000052</v>
      </c>
      <c r="DQ112" s="13">
        <f t="shared" si="97"/>
        <v>73.990331071349175</v>
      </c>
      <c r="DR112" s="20">
        <f t="shared" si="70"/>
        <v>674.80417128260069</v>
      </c>
      <c r="DS112" s="59">
        <f t="shared" si="71"/>
        <v>984.80402691563495</v>
      </c>
      <c r="DT112" s="59">
        <f ca="1">AVERAGE(OFFSET($DS$3,0,0,'Données projet'!$E$14+1,1))-AVERAGE(OFFSET($H$3,0,0,'Données projet'!$E$14+1,1))</f>
        <v>544.64394576312384</v>
      </c>
      <c r="DU112" s="59">
        <f t="shared" si="98"/>
        <v>310.67291035925484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31.187266744870136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31.187266744870136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2</v>
      </c>
      <c r="EJ112" s="12">
        <f>IF('Données projet'!$A$192&gt;35,EJ111+EI112-ER111,IF(A112&lt;'Données projet'!$A$192,$EG$205^A112,IF(A112='Données projet'!$A$192,'Données projet'!$B$192,EJ111+EI112-ER111)))</f>
        <v>178.99999999999994</v>
      </c>
      <c r="EK112" s="17">
        <f>EJ112*VLOOKUP('Données projet'!$B$15,Paramètres!$A$1:$I$89,3,0)*VLOOKUP('Données projet'!$B$15,Paramètres!$A$1:$I$89,5,0)</f>
        <v>173.12879999999996</v>
      </c>
      <c r="EL112" s="13">
        <f t="shared" si="99"/>
        <v>43.790025187181634</v>
      </c>
      <c r="EM112" s="20">
        <f t="shared" si="73"/>
        <v>377.80028720100796</v>
      </c>
      <c r="EN112" s="59">
        <f t="shared" si="74"/>
        <v>687.80014283404216</v>
      </c>
      <c r="EO112" s="59">
        <f ca="1">AVERAGE(OFFSET($EN$3,0,0,'Données projet'!$E$15+1,1))-AVERAGE(OFFSET($H$3,0,0,'Données projet'!$E$15+1,1))</f>
        <v>276.72865583771579</v>
      </c>
      <c r="EP112" s="59">
        <f t="shared" si="100"/>
        <v>174.3587092851154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12.289624888396219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12.289624888396219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74.54541517264569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4.25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15.583333333333334</v>
      </c>
      <c r="H113" s="67">
        <f t="shared" si="56"/>
        <v>222.56666666666669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341.11752883785607</v>
      </c>
      <c r="T113" s="59">
        <f t="shared" si="88"/>
        <v>423.15445896616234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43.001330123252366</v>
      </c>
      <c r="AA113" s="21">
        <f>EXP(-LN(2)/25)*AA112+(1-EXP(-LN(2)/25))/(LN(2)/25)*Calculateur!V113*Calculateur!X113*VLOOKUP('Données projet'!$B$9,Paramètres!$A$1:$I$89,3,0)*0.475*44/12</f>
        <v>18.208309039781515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61.209639163033884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2.6</v>
      </c>
      <c r="AH113" s="12">
        <f t="array" ref="AH113">INDEX(AG:AG,MIN(IF(ISNUMBER(AG113:AG309),ROW(AG113:AG309),"")))</f>
        <v>2.6</v>
      </c>
      <c r="AI113" s="13">
        <f>IF('Données projet'!$A$62&gt;35,AI112+AH113-AQ112,IF(A113&lt;'Données projet'!$A$62,$AF$205^A113,IF(A113='Données projet'!$A$62,'Données projet'!$B$62,AI112+AH113-AQ112)))</f>
        <v>332.00000000000057</v>
      </c>
      <c r="AJ113" s="13">
        <f>AI113*VLOOKUP('Données projet'!$B$10,Paramètres!$A$1:$I$89,3,0)*VLOOKUP('Données projet'!$B$10,Paramètres!$A$1:$I$89,5,0)</f>
        <v>300.3936000000005</v>
      </c>
      <c r="AK113" s="13">
        <f t="shared" si="89"/>
        <v>71.258970856492795</v>
      </c>
      <c r="AL113" s="20">
        <f t="shared" si="58"/>
        <v>647.29489424172573</v>
      </c>
      <c r="AM113" s="59">
        <f t="shared" si="59"/>
        <v>957.49540818667811</v>
      </c>
      <c r="AN113" s="59">
        <f ca="1">AVERAGE(OFFSET($AM$3,0,0,'Données projet'!$E$10+1,1))-AVERAGE(OFFSET($H$3,0,0,'Données projet'!$E$10+1,1))</f>
        <v>521.72266623522626</v>
      </c>
      <c r="AO113" s="59">
        <f t="shared" si="90"/>
        <v>298.49205684341825</v>
      </c>
      <c r="AP113" s="15">
        <f>IF(ISNA(VLOOKUP(A113,'Données projet'!$A$61:$I$81,3,0)),0,VLOOKUP(A113,'Données projet'!$A$61:$I$81,3,0))</f>
        <v>16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0.25800000000000001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35.523461261200488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35.523461261200488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-6.7984728957526396E-14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376.5647919688821</v>
      </c>
      <c r="BJ113" s="59">
        <f t="shared" si="92"/>
        <v>340.34037344565581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81.439995451319817</v>
      </c>
      <c r="BQ113" s="21">
        <f>EXP(-LN(2)/25)*BQ112+(1-EXP(-LN(2)/25))/(LN(2)/25)*Calculateur!BL113*Calculateur!BN113*VLOOKUP('Données projet'!$B$11,Paramètres!$A$1:$I$89,3,0)*0.475*44/12</f>
        <v>30.071867321928472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111.51186277324828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311</v>
      </c>
      <c r="BW113" s="12">
        <f>VLOOKUP(A113,'Données projet'!$A$113:$I$133,9,0)</f>
        <v>3.3</v>
      </c>
      <c r="BX113" s="12">
        <f t="array" ref="BX113">INDEX(BW:BW,MIN(IF(ISNUMBER(BW113:BW309),ROW(BW113:BW309),"")))</f>
        <v>3.3</v>
      </c>
      <c r="BY113" s="12">
        <f>IF('Données projet'!$A$114&gt;35,BY112+BX113-CG112,IF(A113&lt;'Données projet'!$A$114,$BV$205^A113,IF(A113='Données projet'!$A$114,'Données projet'!$B$114,BY112+BX113-CG112)))</f>
        <v>311.00000000000028</v>
      </c>
      <c r="BZ113" s="13">
        <f>BY113*VLOOKUP('Données projet'!$B$12,Paramètres!$A$1:$I$89,3,0)*VLOOKUP('Données projet'!$B$12,Paramètres!$A$1:$I$89,5,0)</f>
        <v>315.35400000000033</v>
      </c>
      <c r="CA113" s="13">
        <f t="shared" si="93"/>
        <v>74.385841715644929</v>
      </c>
      <c r="CB113" s="20">
        <f t="shared" si="64"/>
        <v>678.79689098808205</v>
      </c>
      <c r="CC113" s="59">
        <f t="shared" si="65"/>
        <v>988.99740493303443</v>
      </c>
      <c r="CD113" s="59">
        <f ca="1">AVERAGE(OFFSET($CC$3,0,0,'Données projet'!$E$12+1,1))-AVERAGE(OFFSET($H$3,0,0,'Données projet'!$E$12+1,1))</f>
        <v>473.09076714002885</v>
      </c>
      <c r="CE113" s="59">
        <f t="shared" si="94"/>
        <v>311.6454557566534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20</v>
      </c>
      <c r="CH113" s="16">
        <f>IF(ISNA(VLOOKUP(A113,'Données projet'!$A$113:$I$133,5,0)),0%,VLOOKUP(A113,'Données projet'!$A$113:$I$133,5,0)*VLOOKUP('Données projet'!$B$12,Paramètres!$A$1:$I$89,7,0))</f>
        <v>0.25800000000000001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38.823718245981638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38.823718245981638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-2.8421709430404007E-14</v>
      </c>
      <c r="CU113" s="17">
        <f>CT113*VLOOKUP('Données projet'!$B$13,Paramètres!$A$1:$I$89,3,0)*VLOOKUP('Données projet'!$B$13,Paramètres!$A$1:$I$89,5,0)</f>
        <v>-2.4829205358400945E-14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379.66247682099424</v>
      </c>
      <c r="CZ113" s="59">
        <f t="shared" si="96"/>
        <v>342.92507939604081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74.846906764949907</v>
      </c>
      <c r="DG113" s="21">
        <f>EXP(-LN(2)/25)*DG112+(1-EXP(-LN(2)/25))/(LN(2)/25)*Calculateur!DB113*Calculateur!DD113*VLOOKUP('Données projet'!$B$13,Paramètres!$A$1:$I$89,3,0)*0.475*44/12</f>
        <v>31.539639245759776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106.38654601070968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332</v>
      </c>
      <c r="DM113" s="12">
        <f>VLOOKUP(A113,'Données projet'!$A$165:$I$185,9,0)</f>
        <v>2.6</v>
      </c>
      <c r="DN113" s="12">
        <f t="array" ref="DN113">INDEX(DM:DM,MIN(IF(ISNUMBER(DM113:DM309),ROW(DM113:DM309),"")))</f>
        <v>2.6</v>
      </c>
      <c r="DO113" s="12">
        <f>IF('Données projet'!$A$166&gt;35,DO112+DN113-DW112,IF(A113&lt;'Données projet'!$A$166,$DL$205^A113,IF(A113='Données projet'!$A$166,'Données projet'!$B$166,DO112+DN113-DW112)))</f>
        <v>332.00000000000057</v>
      </c>
      <c r="DP113" s="17">
        <f>DO113*VLOOKUP('Données projet'!$B$14,Paramètres!$A$1:$I$89,3,0)*VLOOKUP('Données projet'!$B$14,Paramètres!$A$1:$I$89,5,0)</f>
        <v>315.93120000000056</v>
      </c>
      <c r="DQ113" s="13">
        <f t="shared" si="97"/>
        <v>74.506131219363184</v>
      </c>
      <c r="DR113" s="20">
        <f t="shared" si="70"/>
        <v>680.01168520705846</v>
      </c>
      <c r="DS113" s="59">
        <f t="shared" si="71"/>
        <v>990.21219915201073</v>
      </c>
      <c r="DT113" s="59">
        <f ca="1">AVERAGE(OFFSET($DS$3,0,0,'Données projet'!$E$14+1,1))-AVERAGE(OFFSET($H$3,0,0,'Données projet'!$E$14+1,1))</f>
        <v>544.64394576312384</v>
      </c>
      <c r="DU113" s="59">
        <f t="shared" si="98"/>
        <v>310.67291035925484</v>
      </c>
      <c r="DV113" s="15">
        <f>IF(ISNA(VLOOKUP(A113,'Données projet'!$A$165:$I$185,3,0)),0,VLOOKUP(A113,'Données projet'!$A$165:$I$185,3,0))</f>
        <v>16</v>
      </c>
      <c r="DW113" s="15">
        <f>IF(ISNA(VLOOKUP(A113,'Données projet'!$A$165:$I$185,4,0)),0,VLOOKUP(A113,'Données projet'!$A$165:$I$185,4,0))</f>
        <v>25</v>
      </c>
      <c r="DX113" s="16">
        <f>IF(ISNA(VLOOKUP(A113,'Données projet'!$A$165:$I$185,5,0)),0%,VLOOKUP(A113,'Données projet'!$A$165:$I$185,5,0)*VLOOKUP('Données projet'!$B$14,Paramètres!$A$1:$I$89,7,0))</f>
        <v>0.25800000000000001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37.360881671262575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37.360881671262575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181</v>
      </c>
      <c r="EH113" s="12">
        <f>VLOOKUP(A113,'Données projet'!$A$191:$I$211,9,0)</f>
        <v>2</v>
      </c>
      <c r="EI113" s="12">
        <f t="array" ref="EI113">INDEX(EH:EH,MIN(IF(ISNUMBER(EH113:EH309),ROW(EH113:EH309),"")))</f>
        <v>2</v>
      </c>
      <c r="EJ113" s="12">
        <f>IF('Données projet'!$A$192&gt;35,EJ112+EI113-ER112,IF(A113&lt;'Données projet'!$A$192,$EG$205^A113,IF(A113='Données projet'!$A$192,'Données projet'!$B$192,EJ112+EI113-ER112)))</f>
        <v>180.99999999999994</v>
      </c>
      <c r="EK113" s="17">
        <f>EJ113*VLOOKUP('Données projet'!$B$15,Paramètres!$A$1:$I$89,3,0)*VLOOKUP('Données projet'!$B$15,Paramètres!$A$1:$I$89,5,0)</f>
        <v>175.06319999999997</v>
      </c>
      <c r="EL113" s="13">
        <f t="shared" si="99"/>
        <v>44.22206774682472</v>
      </c>
      <c r="EM113" s="20">
        <f t="shared" si="73"/>
        <v>381.92184132571964</v>
      </c>
      <c r="EN113" s="59">
        <f t="shared" si="74"/>
        <v>692.12235527067196</v>
      </c>
      <c r="EO113" s="59">
        <f ca="1">AVERAGE(OFFSET($EN$3,0,0,'Données projet'!$E$15+1,1))-AVERAGE(OFFSET($H$3,0,0,'Données projet'!$E$15+1,1))</f>
        <v>276.72865583771579</v>
      </c>
      <c r="EP113" s="59">
        <f t="shared" si="100"/>
        <v>174.3587092851154</v>
      </c>
      <c r="EQ113" s="15">
        <f>IF(ISNA(VLOOKUP(A113,'Données projet'!$A$191:$I$211,3,0)),0,VLOOKUP(A113,'Données projet'!$A$191:$I$211,3,0))</f>
        <v>17</v>
      </c>
      <c r="ER113" s="15">
        <f>IF(ISNA(VLOOKUP(A113,'Données projet'!$A$191:$I$211,4,0)),0,VLOOKUP(A113,'Données projet'!$A$191:$I$211,4,0))</f>
        <v>10</v>
      </c>
      <c r="ES113" s="16">
        <f>IF(ISNA(VLOOKUP(A113,'Données projet'!$A$191:$I$211,5,0)),0%,VLOOKUP(A113,'Données projet'!$A$191:$I$211,5,0)*VLOOKUP('Données projet'!$B$15,Paramètres!$A$1:$I$89,7,0))</f>
        <v>0.25800000000000001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14.807197094063204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14.807197094063204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74.600140166805176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4.25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15.583333333333334</v>
      </c>
      <c r="H114" s="67">
        <f t="shared" si="56"/>
        <v>222.56666666666669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341.11752883785607</v>
      </c>
      <c r="T114" s="59">
        <f t="shared" si="88"/>
        <v>423.15445896616234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42.158100267756943</v>
      </c>
      <c r="AA114" s="21">
        <f>EXP(-LN(2)/25)*AA113+(1-EXP(-LN(2)/25))/(LN(2)/25)*Calculateur!V114*Calculateur!X114*VLOOKUP('Données projet'!$B$9,Paramètres!$A$1:$I$89,3,0)*0.475*44/12</f>
        <v>17.710401871555334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59.868502139312277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2.1</v>
      </c>
      <c r="AI114" s="13">
        <f>IF('Données projet'!$A$62&gt;35,AI113+AH114-AQ113,IF(A114&lt;'Données projet'!$A$62,$AF$205^A114,IF(A114='Données projet'!$A$62,'Données projet'!$B$62,AI113+AH114-AQ113)))</f>
        <v>309.10000000000059</v>
      </c>
      <c r="AJ114" s="13">
        <f>AI114*VLOOKUP('Données projet'!$B$10,Paramètres!$A$1:$I$89,3,0)*VLOOKUP('Données projet'!$B$10,Paramètres!$A$1:$I$89,5,0)</f>
        <v>279.6736800000005</v>
      </c>
      <c r="AK114" s="13">
        <f t="shared" si="89"/>
        <v>66.898043405019578</v>
      </c>
      <c r="AL114" s="20">
        <f t="shared" si="58"/>
        <v>603.61241826374328</v>
      </c>
      <c r="AM114" s="59">
        <f t="shared" si="59"/>
        <v>914.01010954750654</v>
      </c>
      <c r="AN114" s="59">
        <f ca="1">AVERAGE(OFFSET($AM$3,0,0,'Données projet'!$E$10+1,1))-AVERAGE(OFFSET($H$3,0,0,'Données projet'!$E$10+1,1))</f>
        <v>521.72266623522626</v>
      </c>
      <c r="AO114" s="59">
        <f t="shared" si="90"/>
        <v>298.49205684341825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34.826867853040262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34.826867853040262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-6.7984728957526396E-14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376.5647919688821</v>
      </c>
      <c r="BJ114" s="59">
        <f t="shared" si="92"/>
        <v>340.34037344565581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79.843006814011815</v>
      </c>
      <c r="BQ114" s="21">
        <f>EXP(-LN(2)/25)*BQ113+(1-EXP(-LN(2)/25))/(LN(2)/25)*Calculateur!BL114*Calculateur!BN114*VLOOKUP('Données projet'!$B$11,Paramètres!$A$1:$I$89,3,0)*0.475*44/12</f>
        <v>29.249550528599567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109.09255734261139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2.7</v>
      </c>
      <c r="BY114" s="12">
        <f>IF('Données projet'!$A$114&gt;35,BY113+BX114-CG113,IF(A114&lt;'Données projet'!$A$114,$BV$205^A114,IF(A114='Données projet'!$A$114,'Données projet'!$B$114,BY113+BX114-CG113)))</f>
        <v>293.70000000000027</v>
      </c>
      <c r="BZ114" s="13">
        <f>BY114*VLOOKUP('Données projet'!$B$12,Paramètres!$A$1:$I$89,3,0)*VLOOKUP('Données projet'!$B$12,Paramètres!$A$1:$I$89,5,0)</f>
        <v>297.81180000000029</v>
      </c>
      <c r="CA114" s="13">
        <f t="shared" si="93"/>
        <v>70.71753743920361</v>
      </c>
      <c r="CB114" s="20">
        <f t="shared" si="64"/>
        <v>641.85526270661342</v>
      </c>
      <c r="CC114" s="59">
        <f t="shared" si="65"/>
        <v>952.25295399037668</v>
      </c>
      <c r="CD114" s="59">
        <f ca="1">AVERAGE(OFFSET($CC$3,0,0,'Données projet'!$E$12+1,1))-AVERAGE(OFFSET($H$3,0,0,'Données projet'!$E$12+1,1))</f>
        <v>473.09076714002885</v>
      </c>
      <c r="CE114" s="59">
        <f t="shared" si="94"/>
        <v>311.6454557566534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38.062408811307847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38.062408811307847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-2.8421709430404007E-14</v>
      </c>
      <c r="CU114" s="17">
        <f>CT114*VLOOKUP('Données projet'!$B$13,Paramètres!$A$1:$I$89,3,0)*VLOOKUP('Données projet'!$B$13,Paramètres!$A$1:$I$89,5,0)</f>
        <v>-2.4829205358400945E-14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379.66247682099424</v>
      </c>
      <c r="CZ114" s="59">
        <f t="shared" si="96"/>
        <v>342.92507939604081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73.379204575394596</v>
      </c>
      <c r="DG114" s="21">
        <f>EXP(-LN(2)/25)*DG113+(1-EXP(-LN(2)/25))/(LN(2)/25)*Calculateur!DB114*Calculateur!DD114*VLOOKUP('Données projet'!$B$13,Paramètres!$A$1:$I$89,3,0)*0.475*44/12</f>
        <v>30.67718615198693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104.05639072738153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2.1</v>
      </c>
      <c r="DO114" s="12">
        <f>IF('Données projet'!$A$166&gt;35,DO113+DN114-DW113,IF(A114&lt;'Données projet'!$A$166,$DL$205^A114,IF(A114='Données projet'!$A$166,'Données projet'!$B$166,DO113+DN114-DW113)))</f>
        <v>309.10000000000059</v>
      </c>
      <c r="DP114" s="17">
        <f>DO114*VLOOKUP('Données projet'!$B$14,Paramètres!$A$1:$I$89,3,0)*VLOOKUP('Données projet'!$B$14,Paramètres!$A$1:$I$89,5,0)</f>
        <v>294.13956000000059</v>
      </c>
      <c r="DQ114" s="13">
        <f t="shared" si="97"/>
        <v>69.946483093207547</v>
      </c>
      <c r="DR114" s="20">
        <f t="shared" si="70"/>
        <v>634.11652505400411</v>
      </c>
      <c r="DS114" s="59">
        <f t="shared" si="71"/>
        <v>944.51421633776749</v>
      </c>
      <c r="DT114" s="59">
        <f ca="1">AVERAGE(OFFSET($DS$3,0,0,'Données projet'!$E$14+1,1))-AVERAGE(OFFSET($H$3,0,0,'Données projet'!$E$14+1,1))</f>
        <v>544.64394576312384</v>
      </c>
      <c r="DU114" s="59">
        <f t="shared" si="98"/>
        <v>310.67291035925484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36.628257569576817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36.628257569576817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2</v>
      </c>
      <c r="EJ114" s="12">
        <f>IF('Données projet'!$A$192&gt;35,EJ113+EI114-ER113,IF(A114&lt;'Données projet'!$A$192,$EG$205^A114,IF(A114='Données projet'!$A$192,'Données projet'!$B$192,EJ113+EI114-ER113)))</f>
        <v>172.99999999999994</v>
      </c>
      <c r="EK114" s="17">
        <f>EJ114*VLOOKUP('Données projet'!$B$15,Paramètres!$A$1:$I$89,3,0)*VLOOKUP('Données projet'!$B$15,Paramètres!$A$1:$I$89,5,0)</f>
        <v>167.32559999999995</v>
      </c>
      <c r="EL114" s="13">
        <f t="shared" si="99"/>
        <v>42.490495297127609</v>
      </c>
      <c r="EM114" s="20">
        <f t="shared" si="73"/>
        <v>365.42969930916382</v>
      </c>
      <c r="EN114" s="59">
        <f t="shared" si="74"/>
        <v>675.82739059292715</v>
      </c>
      <c r="EO114" s="59">
        <f ca="1">AVERAGE(OFFSET($EN$3,0,0,'Données projet'!$E$15+1,1))-AVERAGE(OFFSET($H$3,0,0,'Données projet'!$E$15+1,1))</f>
        <v>276.72865583771579</v>
      </c>
      <c r="EP114" s="59">
        <f t="shared" si="100"/>
        <v>174.3587092851154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14.516836990547066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14.516836990547066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74.653915804662731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4.25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15.583333333333334</v>
      </c>
      <c r="H115" s="67">
        <f t="shared" si="56"/>
        <v>222.56666666666669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341.11752883785607</v>
      </c>
      <c r="T115" s="59">
        <f t="shared" si="88"/>
        <v>423.15445896616234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41.331405635408359</v>
      </c>
      <c r="AA115" s="21">
        <f>EXP(-LN(2)/25)*AA114+(1-EXP(-LN(2)/25))/(LN(2)/25)*Calculateur!V115*Calculateur!X115*VLOOKUP('Données projet'!$B$9,Paramètres!$A$1:$I$89,3,0)*0.475*44/12</f>
        <v>17.226110001028097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58.557515636436456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2.1</v>
      </c>
      <c r="AI115" s="13">
        <f>IF('Données projet'!$A$62&gt;35,AI114+AH115-AQ114,IF(A115&lt;'Données projet'!$A$62,$AF$205^A115,IF(A115='Données projet'!$A$62,'Données projet'!$B$62,AI114+AH115-AQ114)))</f>
        <v>311.20000000000061</v>
      </c>
      <c r="AJ115" s="13">
        <f>AI115*VLOOKUP('Données projet'!$B$10,Paramètres!$A$1:$I$89,3,0)*VLOOKUP('Données projet'!$B$10,Paramètres!$A$1:$I$89,5,0)</f>
        <v>281.57376000000056</v>
      </c>
      <c r="AK115" s="13">
        <f t="shared" si="89"/>
        <v>67.299481043335177</v>
      </c>
      <c r="AL115" s="20">
        <f t="shared" si="58"/>
        <v>607.62089481714304</v>
      </c>
      <c r="AM115" s="59">
        <f t="shared" si="59"/>
        <v>918.21234285371156</v>
      </c>
      <c r="AN115" s="59">
        <f ca="1">AVERAGE(OFFSET($AM$3,0,0,'Données projet'!$E$10+1,1))-AVERAGE(OFFSET($H$3,0,0,'Données projet'!$E$10+1,1))</f>
        <v>521.72266623522626</v>
      </c>
      <c r="AO115" s="59">
        <f t="shared" si="90"/>
        <v>298.49205684341825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34.143934216734031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34.143934216734031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-6.7984728957526396E-14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376.5647919688821</v>
      </c>
      <c r="BJ115" s="59">
        <f t="shared" si="92"/>
        <v>340.34037344565581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78.277334149814536</v>
      </c>
      <c r="BQ115" s="21">
        <f>EXP(-LN(2)/25)*BQ114+(1-EXP(-LN(2)/25))/(LN(2)/25)*Calculateur!BL115*Calculateur!BN115*VLOOKUP('Données projet'!$B$11,Paramètres!$A$1:$I$89,3,0)*0.475*44/12</f>
        <v>28.449720031228001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106.72705418104253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2.7</v>
      </c>
      <c r="BY115" s="12">
        <f>IF('Données projet'!$A$114&gt;35,BY114+BX115-CG114,IF(A115&lt;'Données projet'!$A$114,$BV$205^A115,IF(A115='Données projet'!$A$114,'Données projet'!$B$114,BY114+BX115-CG114)))</f>
        <v>296.40000000000026</v>
      </c>
      <c r="BZ115" s="13">
        <f>BY115*VLOOKUP('Données projet'!$B$12,Paramètres!$A$1:$I$89,3,0)*VLOOKUP('Données projet'!$B$12,Paramètres!$A$1:$I$89,5,0)</f>
        <v>300.54960000000028</v>
      </c>
      <c r="CA115" s="13">
        <f t="shared" si="93"/>
        <v>71.291668469682364</v>
      </c>
      <c r="CB115" s="20">
        <f t="shared" si="64"/>
        <v>647.62354258469725</v>
      </c>
      <c r="CC115" s="59">
        <f t="shared" si="65"/>
        <v>958.21499062126577</v>
      </c>
      <c r="CD115" s="59">
        <f ca="1">AVERAGE(OFFSET($CC$3,0,0,'Données projet'!$E$12+1,1))-AVERAGE(OFFSET($H$3,0,0,'Données projet'!$E$12+1,1))</f>
        <v>473.09076714002885</v>
      </c>
      <c r="CE115" s="59">
        <f t="shared" si="94"/>
        <v>311.6454557566534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37.316028190295107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37.316028190295107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-2.8421709430404007E-14</v>
      </c>
      <c r="CU115" s="17">
        <f>CT115*VLOOKUP('Données projet'!$B$13,Paramètres!$A$1:$I$89,3,0)*VLOOKUP('Données projet'!$B$13,Paramètres!$A$1:$I$89,5,0)</f>
        <v>-2.4829205358400945E-14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379.66247682099424</v>
      </c>
      <c r="CZ115" s="59">
        <f t="shared" si="96"/>
        <v>342.92507939604081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71.940283130566527</v>
      </c>
      <c r="DG115" s="21">
        <f>EXP(-LN(2)/25)*DG114+(1-EXP(-LN(2)/25))/(LN(2)/25)*Calculateur!DB115*Calculateur!DD115*VLOOKUP('Données projet'!$B$13,Paramètres!$A$1:$I$89,3,0)*0.475*44/12</f>
        <v>29.838316883417743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101.77860001398427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2.1</v>
      </c>
      <c r="DO115" s="12">
        <f>IF('Données projet'!$A$166&gt;35,DO114+DN115-DW114,IF(A115&lt;'Données projet'!$A$166,$DL$205^A115,IF(A115='Données projet'!$A$166,'Données projet'!$B$166,DO114+DN115-DW114)))</f>
        <v>311.20000000000061</v>
      </c>
      <c r="DP115" s="17">
        <f>DO115*VLOOKUP('Données projet'!$B$14,Paramètres!$A$1:$I$89,3,0)*VLOOKUP('Données projet'!$B$14,Paramètres!$A$1:$I$89,5,0)</f>
        <v>296.13792000000058</v>
      </c>
      <c r="DQ115" s="13">
        <f t="shared" si="97"/>
        <v>70.366213619725571</v>
      </c>
      <c r="DR115" s="20">
        <f t="shared" si="70"/>
        <v>638.32803272102308</v>
      </c>
      <c r="DS115" s="59">
        <f t="shared" si="71"/>
        <v>948.9194807575916</v>
      </c>
      <c r="DT115" s="59">
        <f ca="1">AVERAGE(OFFSET($DS$3,0,0,'Données projet'!$E$14+1,1))-AVERAGE(OFFSET($H$3,0,0,'Données projet'!$E$14+1,1))</f>
        <v>544.64394576312384</v>
      </c>
      <c r="DU115" s="59">
        <f t="shared" si="98"/>
        <v>310.67291035925484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35.909999779668539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35.909999779668539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2</v>
      </c>
      <c r="EJ115" s="12">
        <f>IF('Données projet'!$A$192&gt;35,EJ114+EI115-ER114,IF(A115&lt;'Données projet'!$A$192,$EG$205^A115,IF(A115='Données projet'!$A$192,'Données projet'!$B$192,EJ114+EI115-ER114)))</f>
        <v>174.99999999999994</v>
      </c>
      <c r="EK115" s="17">
        <f>EJ115*VLOOKUP('Données projet'!$B$15,Paramètres!$A$1:$I$89,3,0)*VLOOKUP('Données projet'!$B$15,Paramètres!$A$1:$I$89,5,0)</f>
        <v>169.25999999999993</v>
      </c>
      <c r="EL115" s="13">
        <f t="shared" si="99"/>
        <v>42.924246146122272</v>
      </c>
      <c r="EM115" s="20">
        <f t="shared" si="73"/>
        <v>369.55422870449615</v>
      </c>
      <c r="EN115" s="59">
        <f t="shared" si="74"/>
        <v>680.14567674106479</v>
      </c>
      <c r="EO115" s="59">
        <f ca="1">AVERAGE(OFFSET($EN$3,0,0,'Données projet'!$E$15+1,1))-AVERAGE(OFFSET($H$3,0,0,'Données projet'!$E$15+1,1))</f>
        <v>276.72865583771579</v>
      </c>
      <c r="EP115" s="59">
        <f t="shared" si="100"/>
        <v>174.3587092851154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14.232170671558704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14.232170671558704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74.706758555427797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4.25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15.583333333333334</v>
      </c>
      <c r="H116" s="67">
        <f t="shared" si="56"/>
        <v>222.56666666666669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341.11752883785607</v>
      </c>
      <c r="T116" s="59">
        <f t="shared" si="88"/>
        <v>423.15445896616234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40.520921980566193</v>
      </c>
      <c r="AA116" s="21">
        <f>EXP(-LN(2)/25)*AA115+(1-EXP(-LN(2)/25))/(LN(2)/25)*Calculateur!V116*Calculateur!X116*VLOOKUP('Données projet'!$B$9,Paramètres!$A$1:$I$89,3,0)*0.475*44/12</f>
        <v>16.755061117168228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57.275983097734425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2.1</v>
      </c>
      <c r="AI116" s="13">
        <f>IF('Données projet'!$A$62&gt;35,AI115+AH116-AQ115,IF(A116&lt;'Données projet'!$A$62,$AF$205^A116,IF(A116='Données projet'!$A$62,'Données projet'!$B$62,AI115+AH116-AQ115)))</f>
        <v>313.30000000000064</v>
      </c>
      <c r="AJ116" s="13">
        <f>AI116*VLOOKUP('Données projet'!$B$10,Paramètres!$A$1:$I$89,3,0)*VLOOKUP('Données projet'!$B$10,Paramètres!$A$1:$I$89,5,0)</f>
        <v>283.47384000000056</v>
      </c>
      <c r="AK116" s="13">
        <f t="shared" si="89"/>
        <v>67.700603483464604</v>
      </c>
      <c r="AL116" s="20">
        <f t="shared" si="58"/>
        <v>611.62882240036845</v>
      </c>
      <c r="AM116" s="59">
        <f t="shared" si="59"/>
        <v>922.41066594325628</v>
      </c>
      <c r="AN116" s="59">
        <f ca="1">AVERAGE(OFFSET($AM$3,0,0,'Données projet'!$E$10+1,1))-AVERAGE(OFFSET($H$3,0,0,'Données projet'!$E$10+1,1))</f>
        <v>521.72266623522626</v>
      </c>
      <c r="AO116" s="59">
        <f t="shared" si="90"/>
        <v>298.49205684341825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33.474392492487375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33.474392492487375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-6.7984728957526396E-14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376.5647919688821</v>
      </c>
      <c r="BJ116" s="59">
        <f t="shared" si="92"/>
        <v>340.34037344565581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76.742363371596127</v>
      </c>
      <c r="BQ116" s="21">
        <f>EXP(-LN(2)/25)*BQ115+(1-EXP(-LN(2)/25))/(LN(2)/25)*Calculateur!BL116*Calculateur!BN116*VLOOKUP('Données projet'!$B$11,Paramètres!$A$1:$I$89,3,0)*0.475*44/12</f>
        <v>27.671760940868317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104.41412431246445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2.7</v>
      </c>
      <c r="BY116" s="12">
        <f>IF('Données projet'!$A$114&gt;35,BY115+BX116-CG115,IF(A116&lt;'Données projet'!$A$114,$BV$205^A116,IF(A116='Données projet'!$A$114,'Données projet'!$B$114,BY115+BX116-CG115)))</f>
        <v>299.10000000000025</v>
      </c>
      <c r="BZ116" s="13">
        <f>BY116*VLOOKUP('Données projet'!$B$12,Paramètres!$A$1:$I$89,3,0)*VLOOKUP('Données projet'!$B$12,Paramètres!$A$1:$I$89,5,0)</f>
        <v>303.28740000000028</v>
      </c>
      <c r="CA116" s="13">
        <f t="shared" si="93"/>
        <v>71.865191049045237</v>
      </c>
      <c r="CB116" s="20">
        <f t="shared" si="64"/>
        <v>653.39076274375418</v>
      </c>
      <c r="CC116" s="59">
        <f t="shared" si="65"/>
        <v>964.17260628664201</v>
      </c>
      <c r="CD116" s="59">
        <f ca="1">AVERAGE(OFFSET($CC$3,0,0,'Données projet'!$E$12+1,1))-AVERAGE(OFFSET($H$3,0,0,'Données projet'!$E$12+1,1))</f>
        <v>473.09076714002885</v>
      </c>
      <c r="CE116" s="59">
        <f t="shared" si="94"/>
        <v>311.6454557566534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36.584283638013197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36.584283638013197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-2.8421709430404007E-14</v>
      </c>
      <c r="CU116" s="17">
        <f>CT116*VLOOKUP('Données projet'!$B$13,Paramètres!$A$1:$I$89,3,0)*VLOOKUP('Données projet'!$B$13,Paramètres!$A$1:$I$89,5,0)</f>
        <v>-2.4829205358400945E-14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379.66247682099424</v>
      </c>
      <c r="CZ116" s="59">
        <f t="shared" si="96"/>
        <v>342.92507939604081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70.529578057616106</v>
      </c>
      <c r="DG116" s="21">
        <f>EXP(-LN(2)/25)*DG115+(1-EXP(-LN(2)/25))/(LN(2)/25)*Calculateur!DB116*Calculateur!DD116*VLOOKUP('Données projet'!$B$13,Paramètres!$A$1:$I$89,3,0)*0.475*44/12</f>
        <v>29.022386539111796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99.551964596727899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2.1</v>
      </c>
      <c r="DO116" s="12">
        <f>IF('Données projet'!$A$166&gt;35,DO115+DN116-DW115,IF(A116&lt;'Données projet'!$A$166,$DL$205^A116,IF(A116='Données projet'!$A$166,'Données projet'!$B$166,DO115+DN116-DW115)))</f>
        <v>313.30000000000064</v>
      </c>
      <c r="DP116" s="17">
        <f>DO116*VLOOKUP('Données projet'!$B$14,Paramètres!$A$1:$I$89,3,0)*VLOOKUP('Données projet'!$B$14,Paramètres!$A$1:$I$89,5,0)</f>
        <v>298.13628000000062</v>
      </c>
      <c r="DQ116" s="13">
        <f t="shared" si="97"/>
        <v>70.785614584966993</v>
      </c>
      <c r="DR116" s="20">
        <f t="shared" si="70"/>
        <v>642.53896640215191</v>
      </c>
      <c r="DS116" s="59">
        <f t="shared" si="71"/>
        <v>953.32080994503974</v>
      </c>
      <c r="DT116" s="59">
        <f ca="1">AVERAGE(OFFSET($DS$3,0,0,'Données projet'!$E$14+1,1))-AVERAGE(OFFSET($H$3,0,0,'Données projet'!$E$14+1,1))</f>
        <v>544.64394576312384</v>
      </c>
      <c r="DU116" s="59">
        <f t="shared" si="98"/>
        <v>310.67291035925484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35.205826586926371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35.205826586926371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2</v>
      </c>
      <c r="EJ116" s="12">
        <f>IF('Données projet'!$A$192&gt;35,EJ115+EI116-ER115,IF(A116&lt;'Données projet'!$A$192,$EG$205^A116,IF(A116='Données projet'!$A$192,'Données projet'!$B$192,EJ115+EI116-ER115)))</f>
        <v>176.99999999999994</v>
      </c>
      <c r="EK116" s="17">
        <f>EJ116*VLOOKUP('Données projet'!$B$15,Paramètres!$A$1:$I$89,3,0)*VLOOKUP('Données projet'!$B$15,Paramètres!$A$1:$I$89,5,0)</f>
        <v>171.19439999999994</v>
      </c>
      <c r="EL116" s="13">
        <f t="shared" si="99"/>
        <v>43.35742035290977</v>
      </c>
      <c r="EM116" s="20">
        <f t="shared" si="73"/>
        <v>373.67775378131773</v>
      </c>
      <c r="EN116" s="59">
        <f t="shared" si="74"/>
        <v>684.45959732420556</v>
      </c>
      <c r="EO116" s="59">
        <f ca="1">AVERAGE(OFFSET($EN$3,0,0,'Données projet'!$E$15+1,1))-AVERAGE(OFFSET($H$3,0,0,'Données projet'!$E$15+1,1))</f>
        <v>276.72865583771579</v>
      </c>
      <c r="EP116" s="59">
        <f t="shared" si="100"/>
        <v>174.3587092851154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13.953086485456392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13.953086485456392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74.758684602605769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4.25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15.583333333333334</v>
      </c>
      <c r="H117" s="67">
        <f t="shared" si="56"/>
        <v>222.56666666666669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341.11752883785607</v>
      </c>
      <c r="T117" s="59">
        <f t="shared" si="88"/>
        <v>423.15445896616234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39.726331415849266</v>
      </c>
      <c r="AA117" s="21">
        <f>EXP(-LN(2)/25)*AA116+(1-EXP(-LN(2)/25))/(LN(2)/25)*Calculateur!V117*Calculateur!X117*VLOOKUP('Données projet'!$B$9,Paramètres!$A$1:$I$89,3,0)*0.475*44/12</f>
        <v>16.296893089808894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56.023224505658163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2.1</v>
      </c>
      <c r="AI117" s="13">
        <f>IF('Données projet'!$A$62&gt;35,AI116+AH117-AQ116,IF(A117&lt;'Données projet'!$A$62,$AF$205^A117,IF(A117='Données projet'!$A$62,'Données projet'!$B$62,AI116+AH117-AQ116)))</f>
        <v>315.40000000000066</v>
      </c>
      <c r="AJ117" s="13">
        <f>AI117*VLOOKUP('Données projet'!$B$10,Paramètres!$A$1:$I$89,3,0)*VLOOKUP('Données projet'!$B$10,Paramètres!$A$1:$I$89,5,0)</f>
        <v>285.37392000000057</v>
      </c>
      <c r="AK117" s="13">
        <f t="shared" si="89"/>
        <v>68.101413083167699</v>
      </c>
      <c r="AL117" s="20">
        <f t="shared" si="58"/>
        <v>615.6362051198513</v>
      </c>
      <c r="AM117" s="59">
        <f t="shared" si="59"/>
        <v>926.60514123268422</v>
      </c>
      <c r="AN117" s="59">
        <f ca="1">AVERAGE(OFFSET($AM$3,0,0,'Données projet'!$E$10+1,1))-AVERAGE(OFFSET($H$3,0,0,'Données projet'!$E$10+1,1))</f>
        <v>521.72266623522626</v>
      </c>
      <c r="AO117" s="59">
        <f t="shared" si="90"/>
        <v>298.49205684341825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32.817980073073073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32.817980073073073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-6.7984728957526396E-14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376.5647919688821</v>
      </c>
      <c r="BJ117" s="59">
        <f t="shared" si="92"/>
        <v>340.34037344565581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75.237492434098854</v>
      </c>
      <c r="BQ117" s="21">
        <f>EXP(-LN(2)/25)*BQ116+(1-EXP(-LN(2)/25))/(LN(2)/25)*Calculateur!BL117*Calculateur!BN117*VLOOKUP('Données projet'!$B$11,Paramètres!$A$1:$I$89,3,0)*0.475*44/12</f>
        <v>26.915075182745611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102.15256761684446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2.7</v>
      </c>
      <c r="BY117" s="12">
        <f>IF('Données projet'!$A$114&gt;35,BY116+BX117-CG116,IF(A117&lt;'Données projet'!$A$114,$BV$205^A117,IF(A117='Données projet'!$A$114,'Données projet'!$B$114,BY116+BX117-CG116)))</f>
        <v>301.80000000000024</v>
      </c>
      <c r="BZ117" s="13">
        <f>BY117*VLOOKUP('Données projet'!$B$12,Paramètres!$A$1:$I$89,3,0)*VLOOKUP('Données projet'!$B$12,Paramètres!$A$1:$I$89,5,0)</f>
        <v>306.02520000000027</v>
      </c>
      <c r="CA117" s="13">
        <f t="shared" si="93"/>
        <v>72.438111306108141</v>
      </c>
      <c r="CB117" s="20">
        <f t="shared" si="64"/>
        <v>659.1569338581387</v>
      </c>
      <c r="CC117" s="59">
        <f t="shared" si="65"/>
        <v>970.12586997097173</v>
      </c>
      <c r="CD117" s="59">
        <f ca="1">AVERAGE(OFFSET($CC$3,0,0,'Données projet'!$E$12+1,1))-AVERAGE(OFFSET($H$3,0,0,'Données projet'!$E$12+1,1))</f>
        <v>473.09076714002885</v>
      </c>
      <c r="CE117" s="59">
        <f t="shared" si="94"/>
        <v>311.6454557566534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35.866888150081429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35.866888150081429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-2.8421709430404007E-14</v>
      </c>
      <c r="CU117" s="17">
        <f>CT117*VLOOKUP('Données projet'!$B$13,Paramètres!$A$1:$I$89,3,0)*VLOOKUP('Données projet'!$B$13,Paramètres!$A$1:$I$89,5,0)</f>
        <v>-2.4829205358400945E-14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379.66247682099424</v>
      </c>
      <c r="CZ117" s="59">
        <f t="shared" si="96"/>
        <v>342.92507939604081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69.146536050701116</v>
      </c>
      <c r="DG117" s="21">
        <f>EXP(-LN(2)/25)*DG116+(1-EXP(-LN(2)/25))/(LN(2)/25)*Calculateur!DB117*Calculateur!DD117*VLOOKUP('Données projet'!$B$13,Paramètres!$A$1:$I$89,3,0)*0.475*44/12</f>
        <v>28.228767852978809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97.375303903679921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2.1</v>
      </c>
      <c r="DO117" s="12">
        <f>IF('Données projet'!$A$166&gt;35,DO116+DN117-DW116,IF(A117&lt;'Données projet'!$A$166,$DL$205^A117,IF(A117='Données projet'!$A$166,'Données projet'!$B$166,DO116+DN117-DW116)))</f>
        <v>315.40000000000066</v>
      </c>
      <c r="DP117" s="17">
        <f>DO117*VLOOKUP('Données projet'!$B$14,Paramètres!$A$1:$I$89,3,0)*VLOOKUP('Données projet'!$B$14,Paramètres!$A$1:$I$89,5,0)</f>
        <v>300.13464000000062</v>
      </c>
      <c r="DQ117" s="13">
        <f t="shared" si="97"/>
        <v>71.204688454130775</v>
      </c>
      <c r="DR117" s="20">
        <f t="shared" si="70"/>
        <v>646.7493303909456</v>
      </c>
      <c r="DS117" s="59">
        <f t="shared" si="71"/>
        <v>957.71826650377852</v>
      </c>
      <c r="DT117" s="59">
        <f ca="1">AVERAGE(OFFSET($DS$3,0,0,'Données projet'!$E$14+1,1))-AVERAGE(OFFSET($H$3,0,0,'Données projet'!$E$14+1,1))</f>
        <v>544.64394576312384</v>
      </c>
      <c r="DU117" s="59">
        <f t="shared" si="98"/>
        <v>310.67291035925484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34.515461800990636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34.515461800990636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2</v>
      </c>
      <c r="EJ117" s="12">
        <f>IF('Données projet'!$A$192&gt;35,EJ116+EI117-ER116,IF(A117&lt;'Données projet'!$A$192,$EG$205^A117,IF(A117='Données projet'!$A$192,'Données projet'!$B$192,EJ116+EI117-ER116)))</f>
        <v>178.99999999999994</v>
      </c>
      <c r="EK117" s="17">
        <f>EJ117*VLOOKUP('Données projet'!$B$15,Paramètres!$A$1:$I$89,3,0)*VLOOKUP('Données projet'!$B$15,Paramètres!$A$1:$I$89,5,0)</f>
        <v>173.12879999999996</v>
      </c>
      <c r="EL117" s="13">
        <f t="shared" si="99"/>
        <v>43.790025187181634</v>
      </c>
      <c r="EM117" s="20">
        <f t="shared" si="73"/>
        <v>377.80028720100796</v>
      </c>
      <c r="EN117" s="59">
        <f t="shared" si="74"/>
        <v>688.76922331384094</v>
      </c>
      <c r="EO117" s="59">
        <f ca="1">AVERAGE(OFFSET($EN$3,0,0,'Données projet'!$E$15+1,1))-AVERAGE(OFFSET($H$3,0,0,'Données projet'!$E$15+1,1))</f>
        <v>276.72865583771579</v>
      </c>
      <c r="EP117" s="59">
        <f t="shared" si="100"/>
        <v>174.3587092851154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13.679474970019003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13.679474970019003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74.809709848954455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4.25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15.583333333333334</v>
      </c>
      <c r="H118" s="67">
        <f t="shared" si="56"/>
        <v>222.56666666666669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341.11752883785607</v>
      </c>
      <c r="T118" s="59">
        <f t="shared" si="88"/>
        <v>423.15445896616234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38.947322287454043</v>
      </c>
      <c r="AA118" s="21">
        <f>EXP(-LN(2)/25)*AA117+(1-EXP(-LN(2)/25))/(LN(2)/25)*Calculateur!V118*Calculateur!X118*VLOOKUP('Données projet'!$B$9,Paramètres!$A$1:$I$89,3,0)*0.475*44/12</f>
        <v>15.851253691251708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54.798575978705749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2.1</v>
      </c>
      <c r="AI118" s="13">
        <f>IF('Données projet'!$A$62&gt;35,AI117+AH118-AQ117,IF(A118&lt;'Données projet'!$A$62,$AF$205^A118,IF(A118='Données projet'!$A$62,'Données projet'!$B$62,AI117+AH118-AQ117)))</f>
        <v>317.50000000000068</v>
      </c>
      <c r="AJ118" s="13">
        <f>AI118*VLOOKUP('Données projet'!$B$10,Paramètres!$A$1:$I$89,3,0)*VLOOKUP('Données projet'!$B$10,Paramètres!$A$1:$I$89,5,0)</f>
        <v>287.27400000000057</v>
      </c>
      <c r="AK118" s="13">
        <f t="shared" si="89"/>
        <v>68.501912166992156</v>
      </c>
      <c r="AL118" s="20">
        <f t="shared" si="58"/>
        <v>619.64304702417905</v>
      </c>
      <c r="AM118" s="59">
        <f t="shared" si="59"/>
        <v>930.79583006914504</v>
      </c>
      <c r="AN118" s="59">
        <f ca="1">AVERAGE(OFFSET($AM$3,0,0,'Données projet'!$E$10+1,1))-AVERAGE(OFFSET($H$3,0,0,'Données projet'!$E$10+1,1))</f>
        <v>521.72266623522626</v>
      </c>
      <c r="AO118" s="59">
        <f t="shared" si="90"/>
        <v>298.49205684341825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32.17443950083144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32.17443950083144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-6.7984728957526396E-14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376.5647919688821</v>
      </c>
      <c r="BJ118" s="59">
        <f t="shared" si="92"/>
        <v>340.34037344565581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73.762131097805266</v>
      </c>
      <c r="BQ118" s="21">
        <f>EXP(-LN(2)/25)*BQ117+(1-EXP(-LN(2)/25))/(LN(2)/25)*Calculateur!BL118*Calculateur!BN118*VLOOKUP('Données projet'!$B$11,Paramètres!$A$1:$I$89,3,0)*0.475*44/12</f>
        <v>26.179081036471143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99.941212134276412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2.7</v>
      </c>
      <c r="BY118" s="12">
        <f>IF('Données projet'!$A$114&gt;35,BY117+BX118-CG117,IF(A118&lt;'Données projet'!$A$114,$BV$205^A118,IF(A118='Données projet'!$A$114,'Données projet'!$B$114,BY117+BX118-CG117)))</f>
        <v>304.50000000000023</v>
      </c>
      <c r="BZ118" s="13">
        <f>BY118*VLOOKUP('Données projet'!$B$12,Paramètres!$A$1:$I$89,3,0)*VLOOKUP('Données projet'!$B$12,Paramètres!$A$1:$I$89,5,0)</f>
        <v>308.76300000000026</v>
      </c>
      <c r="CA118" s="13">
        <f t="shared" si="93"/>
        <v>73.01043525369964</v>
      </c>
      <c r="CB118" s="20">
        <f t="shared" si="64"/>
        <v>664.92206640019401</v>
      </c>
      <c r="CC118" s="59">
        <f t="shared" si="65"/>
        <v>976.07484944516</v>
      </c>
      <c r="CD118" s="59">
        <f ca="1">AVERAGE(OFFSET($CC$3,0,0,'Données projet'!$E$12+1,1))-AVERAGE(OFFSET($H$3,0,0,'Données projet'!$E$12+1,1))</f>
        <v>473.09076714002885</v>
      </c>
      <c r="CE118" s="59">
        <f t="shared" si="94"/>
        <v>311.6454557566534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35.163560350099964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35.163560350099964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-2.8421709430404007E-14</v>
      </c>
      <c r="CU118" s="17">
        <f>CT118*VLOOKUP('Données projet'!$B$13,Paramètres!$A$1:$I$89,3,0)*VLOOKUP('Données projet'!$B$13,Paramètres!$A$1:$I$89,5,0)</f>
        <v>-2.4829205358400945E-14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379.66247682099424</v>
      </c>
      <c r="CZ118" s="59">
        <f t="shared" si="96"/>
        <v>342.92507939604081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67.790614653969399</v>
      </c>
      <c r="DG118" s="21">
        <f>EXP(-LN(2)/25)*DG117+(1-EXP(-LN(2)/25))/(LN(2)/25)*Calculateur!DB118*Calculateur!DD118*VLOOKUP('Données projet'!$B$13,Paramètres!$A$1:$I$89,3,0)*0.475*44/12</f>
        <v>27.456850711552718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95.247465365522118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2.1</v>
      </c>
      <c r="DO118" s="12">
        <f>IF('Données projet'!$A$166&gt;35,DO117+DN118-DW117,IF(A118&lt;'Données projet'!$A$166,$DL$205^A118,IF(A118='Données projet'!$A$166,'Données projet'!$B$166,DO117+DN118-DW117)))</f>
        <v>317.50000000000068</v>
      </c>
      <c r="DP118" s="17">
        <f>DO118*VLOOKUP('Données projet'!$B$14,Paramètres!$A$1:$I$89,3,0)*VLOOKUP('Données projet'!$B$14,Paramètres!$A$1:$I$89,5,0)</f>
        <v>302.13300000000066</v>
      </c>
      <c r="DQ118" s="13">
        <f t="shared" si="97"/>
        <v>71.623437657690673</v>
      </c>
      <c r="DR118" s="20">
        <f t="shared" si="70"/>
        <v>650.95912892047897</v>
      </c>
      <c r="DS118" s="59">
        <f t="shared" si="71"/>
        <v>962.11191196544496</v>
      </c>
      <c r="DT118" s="59">
        <f ca="1">AVERAGE(OFFSET($DS$3,0,0,'Données projet'!$E$14+1,1))-AVERAGE(OFFSET($H$3,0,0,'Données projet'!$E$14+1,1))</f>
        <v>544.64394576312384</v>
      </c>
      <c r="DU118" s="59">
        <f t="shared" si="98"/>
        <v>310.67291035925484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33.838634647426161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33.838634647426161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2</v>
      </c>
      <c r="EJ118" s="12">
        <f>IF('Données projet'!$A$192&gt;35,EJ117+EI118-ER117,IF(A118&lt;'Données projet'!$A$192,$EG$205^A118,IF(A118='Données projet'!$A$192,'Données projet'!$B$192,EJ117+EI118-ER117)))</f>
        <v>180.99999999999994</v>
      </c>
      <c r="EK118" s="17">
        <f>EJ118*VLOOKUP('Données projet'!$B$15,Paramètres!$A$1:$I$89,3,0)*VLOOKUP('Données projet'!$B$15,Paramètres!$A$1:$I$89,5,0)</f>
        <v>175.06319999999997</v>
      </c>
      <c r="EL118" s="13">
        <f t="shared" si="99"/>
        <v>44.22206774682472</v>
      </c>
      <c r="EM118" s="20">
        <f t="shared" si="73"/>
        <v>381.92184132571964</v>
      </c>
      <c r="EN118" s="59">
        <f t="shared" si="74"/>
        <v>693.07462437068557</v>
      </c>
      <c r="EO118" s="59">
        <f ca="1">AVERAGE(OFFSET($EN$3,0,0,'Données projet'!$E$15+1,1))-AVERAGE(OFFSET($H$3,0,0,'Données projet'!$E$15+1,1))</f>
        <v>276.72865583771579</v>
      </c>
      <c r="EP118" s="59">
        <f t="shared" si="100"/>
        <v>174.3587092851154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13.411228809512794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13.411228809512794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74.859849921354353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4.25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15.583333333333334</v>
      </c>
      <c r="H119" s="67">
        <f t="shared" si="56"/>
        <v>222.56666666666669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341.11752883785607</v>
      </c>
      <c r="T119" s="59">
        <f t="shared" si="88"/>
        <v>423.15445896616234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38.183589052918002</v>
      </c>
      <c r="AA119" s="21">
        <f>EXP(-LN(2)/25)*AA118+(1-EXP(-LN(2)/25))/(LN(2)/25)*Calculateur!V119*Calculateur!X119*VLOOKUP('Données projet'!$B$9,Paramètres!$A$1:$I$89,3,0)*0.475*44/12</f>
        <v>15.417800325483228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53.60138937840123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2.1</v>
      </c>
      <c r="AI119" s="13">
        <f>IF('Données projet'!$A$62&gt;35,AI118+AH119-AQ118,IF(A119&lt;'Données projet'!$A$62,$AF$205^A119,IF(A119='Données projet'!$A$62,'Données projet'!$B$62,AI118+AH119-AQ118)))</f>
        <v>319.6000000000007</v>
      </c>
      <c r="AJ119" s="13">
        <f>AI119*VLOOKUP('Données projet'!$B$10,Paramètres!$A$1:$I$89,3,0)*VLOOKUP('Données projet'!$B$10,Paramètres!$A$1:$I$89,5,0)</f>
        <v>289.17408000000063</v>
      </c>
      <c r="AK119" s="13">
        <f t="shared" si="89"/>
        <v>68.90210302695786</v>
      </c>
      <c r="AL119" s="20">
        <f t="shared" si="58"/>
        <v>623.64935210528586</v>
      </c>
      <c r="AM119" s="59">
        <f t="shared" si="59"/>
        <v>934.98279274913239</v>
      </c>
      <c r="AN119" s="59">
        <f ca="1">AVERAGE(OFFSET($AM$3,0,0,'Données projet'!$E$10+1,1))-AVERAGE(OFFSET($H$3,0,0,'Données projet'!$E$10+1,1))</f>
        <v>521.72266623522626</v>
      </c>
      <c r="AO119" s="59">
        <f t="shared" si="90"/>
        <v>298.49205684341825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31.543518366690474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31.543518366690474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-6.7984728957526396E-14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376.5647919688821</v>
      </c>
      <c r="BJ119" s="59">
        <f t="shared" si="92"/>
        <v>340.34037344565581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72.315700697434835</v>
      </c>
      <c r="BQ119" s="21">
        <f>EXP(-LN(2)/25)*BQ118+(1-EXP(-LN(2)/25))/(LN(2)/25)*Calculateur!BL119*Calculateur!BN119*VLOOKUP('Données projet'!$B$11,Paramètres!$A$1:$I$89,3,0)*0.475*44/12</f>
        <v>25.463212688830801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97.778913386265629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2.7</v>
      </c>
      <c r="BY119" s="12">
        <f>IF('Données projet'!$A$114&gt;35,BY118+BX119-CG118,IF(A119&lt;'Données projet'!$A$114,$BV$205^A119,IF(A119='Données projet'!$A$114,'Données projet'!$B$114,BY118+BX119-CG118)))</f>
        <v>307.20000000000022</v>
      </c>
      <c r="BZ119" s="13">
        <f>BY119*VLOOKUP('Données projet'!$B$12,Paramètres!$A$1:$I$89,3,0)*VLOOKUP('Données projet'!$B$12,Paramètres!$A$1:$I$89,5,0)</f>
        <v>311.50080000000025</v>
      </c>
      <c r="CA119" s="13">
        <f t="shared" si="93"/>
        <v>73.582168791864746</v>
      </c>
      <c r="CB119" s="20">
        <f t="shared" si="64"/>
        <v>670.68617064583157</v>
      </c>
      <c r="CC119" s="59">
        <f t="shared" si="65"/>
        <v>982.0196112896781</v>
      </c>
      <c r="CD119" s="59">
        <f ca="1">AVERAGE(OFFSET($CC$3,0,0,'Données projet'!$E$12+1,1))-AVERAGE(OFFSET($H$3,0,0,'Données projet'!$E$12+1,1))</f>
        <v>473.09076714002885</v>
      </c>
      <c r="CE119" s="59">
        <f t="shared" si="94"/>
        <v>311.6454557566534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34.474024379288537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34.474024379288537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-2.8421709430404007E-14</v>
      </c>
      <c r="CU119" s="17">
        <f>CT119*VLOOKUP('Données projet'!$B$13,Paramètres!$A$1:$I$89,3,0)*VLOOKUP('Données projet'!$B$13,Paramètres!$A$1:$I$89,5,0)</f>
        <v>-2.4829205358400945E-14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379.66247682099424</v>
      </c>
      <c r="CZ119" s="59">
        <f t="shared" si="96"/>
        <v>342.92507939604081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66.461282048797202</v>
      </c>
      <c r="DG119" s="21">
        <f>EXP(-LN(2)/25)*DG118+(1-EXP(-LN(2)/25))/(LN(2)/25)*Calculateur!DB119*Calculateur!DD119*VLOOKUP('Données projet'!$B$13,Paramètres!$A$1:$I$89,3,0)*0.475*44/12</f>
        <v>26.706041684952282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93.167323733749484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2.1</v>
      </c>
      <c r="DO119" s="12">
        <f>IF('Données projet'!$A$166&gt;35,DO118+DN119-DW118,IF(A119&lt;'Données projet'!$A$166,$DL$205^A119,IF(A119='Données projet'!$A$166,'Données projet'!$B$166,DO118+DN119-DW118)))</f>
        <v>319.6000000000007</v>
      </c>
      <c r="DP119" s="17">
        <f>DO119*VLOOKUP('Données projet'!$B$14,Paramètres!$A$1:$I$89,3,0)*VLOOKUP('Données projet'!$B$14,Paramètres!$A$1:$I$89,5,0)</f>
        <v>304.13136000000065</v>
      </c>
      <c r="DQ119" s="13">
        <f t="shared" si="97"/>
        <v>72.041864592110457</v>
      </c>
      <c r="DR119" s="20">
        <f t="shared" si="70"/>
        <v>655.16836616459352</v>
      </c>
      <c r="DS119" s="59">
        <f t="shared" si="71"/>
        <v>966.50180680844005</v>
      </c>
      <c r="DT119" s="59">
        <f ca="1">AVERAGE(OFFSET($DS$3,0,0,'Données projet'!$E$14+1,1))-AVERAGE(OFFSET($H$3,0,0,'Données projet'!$E$14+1,1))</f>
        <v>544.64394576312384</v>
      </c>
      <c r="DU119" s="59">
        <f t="shared" si="98"/>
        <v>310.67291035925484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33.175079661519284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33.175079661519284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2</v>
      </c>
      <c r="EJ119" s="12">
        <f>IF('Données projet'!$A$192&gt;35,EJ118+EI119-ER118,IF(A119&lt;'Données projet'!$A$192,$EG$205^A119,IF(A119='Données projet'!$A$192,'Données projet'!$B$192,EJ118+EI119-ER118)))</f>
        <v>182.99999999999994</v>
      </c>
      <c r="EK119" s="17">
        <f>EJ119*VLOOKUP('Données projet'!$B$15,Paramètres!$A$1:$I$89,3,0)*VLOOKUP('Données projet'!$B$15,Paramètres!$A$1:$I$89,5,0)</f>
        <v>176.99759999999995</v>
      </c>
      <c r="EL119" s="13">
        <f t="shared" si="99"/>
        <v>44.653554963834047</v>
      </c>
      <c r="EM119" s="20">
        <f t="shared" si="73"/>
        <v>386.04242822867747</v>
      </c>
      <c r="EN119" s="59">
        <f t="shared" si="74"/>
        <v>697.37586887252405</v>
      </c>
      <c r="EO119" s="59">
        <f ca="1">AVERAGE(OFFSET($EN$3,0,0,'Données projet'!$E$15+1,1))-AVERAGE(OFFSET($H$3,0,0,'Données projet'!$E$15+1,1))</f>
        <v>276.72865583771579</v>
      </c>
      <c r="EP119" s="59">
        <f t="shared" si="100"/>
        <v>174.3587092851154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13.14824279260011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13.14824279260011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74.909120175594524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4.25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15.583333333333334</v>
      </c>
      <c r="H120" s="67">
        <f t="shared" si="56"/>
        <v>222.56666666666669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341.11752883785607</v>
      </c>
      <c r="T120" s="59">
        <f t="shared" si="88"/>
        <v>423.15445896616234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37.434832161279935</v>
      </c>
      <c r="AA120" s="21">
        <f>EXP(-LN(2)/25)*AA119+(1-EXP(-LN(2)/25))/(LN(2)/25)*Calculateur!V120*Calculateur!X120*VLOOKUP('Données projet'!$B$9,Paramètres!$A$1:$I$89,3,0)*0.475*44/12</f>
        <v>14.996199764796007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52.431031926075946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2.1</v>
      </c>
      <c r="AI120" s="13">
        <f>IF('Données projet'!$A$62&gt;35,AI119+AH120-AQ119,IF(A120&lt;'Données projet'!$A$62,$AF$205^A120,IF(A120='Données projet'!$A$62,'Données projet'!$B$62,AI119+AH120-AQ119)))</f>
        <v>321.70000000000073</v>
      </c>
      <c r="AJ120" s="13">
        <f>AI120*VLOOKUP('Données projet'!$B$10,Paramètres!$A$1:$I$89,3,0)*VLOOKUP('Données projet'!$B$10,Paramètres!$A$1:$I$89,5,0)</f>
        <v>291.07416000000063</v>
      </c>
      <c r="AK120" s="13">
        <f t="shared" si="89"/>
        <v>69.30198792322274</v>
      </c>
      <c r="AL120" s="20">
        <f t="shared" si="58"/>
        <v>627.65512429961393</v>
      </c>
      <c r="AM120" s="59">
        <f t="shared" si="59"/>
        <v>939.16608853689047</v>
      </c>
      <c r="AN120" s="59">
        <f ca="1">AVERAGE(OFFSET($AM$3,0,0,'Données projet'!$E$10+1,1))-AVERAGE(OFFSET($H$3,0,0,'Données projet'!$E$10+1,1))</f>
        <v>521.72266623522626</v>
      </c>
      <c r="AO120" s="59">
        <f t="shared" si="90"/>
        <v>298.49205684341825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30.924969211166122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30.924969211166122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-6.7984728957526396E-14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376.5647919688821</v>
      </c>
      <c r="BJ120" s="59">
        <f t="shared" si="92"/>
        <v>340.34037344565581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70.897633914980233</v>
      </c>
      <c r="BQ120" s="21">
        <f>EXP(-LN(2)/25)*BQ119+(1-EXP(-LN(2)/25))/(LN(2)/25)*Calculateur!BL120*Calculateur!BN120*VLOOKUP('Données projet'!$B$11,Paramètres!$A$1:$I$89,3,0)*0.475*44/12</f>
        <v>24.766919798802565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95.664553713782794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2.7</v>
      </c>
      <c r="BY120" s="12">
        <f>IF('Données projet'!$A$114&gt;35,BY119+BX120-CG119,IF(A120&lt;'Données projet'!$A$114,$BV$205^A120,IF(A120='Données projet'!$A$114,'Données projet'!$B$114,BY119+BX120-CG119)))</f>
        <v>309.9000000000002</v>
      </c>
      <c r="BZ120" s="13">
        <f>BY120*VLOOKUP('Données projet'!$B$12,Paramètres!$A$1:$I$89,3,0)*VLOOKUP('Données projet'!$B$12,Paramètres!$A$1:$I$89,5,0)</f>
        <v>314.23860000000025</v>
      </c>
      <c r="CA120" s="13">
        <f t="shared" si="93"/>
        <v>74.153317710952706</v>
      </c>
      <c r="CB120" s="20">
        <f t="shared" si="64"/>
        <v>676.44925667990969</v>
      </c>
      <c r="CC120" s="59">
        <f t="shared" si="65"/>
        <v>987.96022091718623</v>
      </c>
      <c r="CD120" s="59">
        <f ca="1">AVERAGE(OFFSET($CC$3,0,0,'Données projet'!$E$12+1,1))-AVERAGE(OFFSET($H$3,0,0,'Données projet'!$E$12+1,1))</f>
        <v>473.09076714002885</v>
      </c>
      <c r="CE120" s="59">
        <f t="shared" si="94"/>
        <v>311.6454557566534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33.798009788289306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33.798009788289306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-2.8421709430404007E-14</v>
      </c>
      <c r="CU120" s="17">
        <f>CT120*VLOOKUP('Données projet'!$B$13,Paramètres!$A$1:$I$89,3,0)*VLOOKUP('Données projet'!$B$13,Paramètres!$A$1:$I$89,5,0)</f>
        <v>-2.4829205358400945E-14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379.66247682099424</v>
      </c>
      <c r="CZ120" s="59">
        <f t="shared" si="96"/>
        <v>342.92507939604081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65.158016845199612</v>
      </c>
      <c r="DG120" s="21">
        <f>EXP(-LN(2)/25)*DG119+(1-EXP(-LN(2)/25))/(LN(2)/25)*Calculateur!DB120*Calculateur!DD120*VLOOKUP('Données projet'!$B$13,Paramètres!$A$1:$I$89,3,0)*0.475*44/12</f>
        <v>25.975763570667567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91.133780415867179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2.1</v>
      </c>
      <c r="DO120" s="12">
        <f>IF('Données projet'!$A$166&gt;35,DO119+DN120-DW119,IF(A120&lt;'Données projet'!$A$166,$DL$205^A120,IF(A120='Données projet'!$A$166,'Données projet'!$B$166,DO119+DN120-DW119)))</f>
        <v>321.70000000000073</v>
      </c>
      <c r="DP120" s="17">
        <f>DO120*VLOOKUP('Données projet'!$B$14,Paramètres!$A$1:$I$89,3,0)*VLOOKUP('Données projet'!$B$14,Paramètres!$A$1:$I$89,5,0)</f>
        <v>306.1297200000007</v>
      </c>
      <c r="DQ120" s="13">
        <f t="shared" si="97"/>
        <v>72.459971620540088</v>
      </c>
      <c r="DR120" s="20">
        <f t="shared" si="70"/>
        <v>659.37704623910861</v>
      </c>
      <c r="DS120" s="59">
        <f t="shared" si="71"/>
        <v>970.88801047638515</v>
      </c>
      <c r="DT120" s="59">
        <f ca="1">AVERAGE(OFFSET($DS$3,0,0,'Données projet'!$E$14+1,1))-AVERAGE(OFFSET($H$3,0,0,'Données projet'!$E$14+1,1))</f>
        <v>544.64394576312384</v>
      </c>
      <c r="DU120" s="59">
        <f t="shared" si="98"/>
        <v>310.67291035925484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32.524536584157467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32.524536584157467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2</v>
      </c>
      <c r="EJ120" s="12">
        <f>IF('Données projet'!$A$192&gt;35,EJ119+EI120-ER119,IF(A120&lt;'Données projet'!$A$192,$EG$205^A120,IF(A120='Données projet'!$A$192,'Données projet'!$B$192,EJ119+EI120-ER119)))</f>
        <v>184.99999999999994</v>
      </c>
      <c r="EK120" s="17">
        <f>EJ120*VLOOKUP('Données projet'!$B$15,Paramètres!$A$1:$I$89,3,0)*VLOOKUP('Données projet'!$B$15,Paramètres!$A$1:$I$89,5,0)</f>
        <v>178.93199999999993</v>
      </c>
      <c r="EL120" s="13">
        <f t="shared" si="99"/>
        <v>45.084493609959594</v>
      </c>
      <c r="EM120" s="20">
        <f t="shared" si="73"/>
        <v>390.16205970401279</v>
      </c>
      <c r="EN120" s="59">
        <f t="shared" si="74"/>
        <v>701.67302394128933</v>
      </c>
      <c r="EO120" s="59">
        <f ca="1">AVERAGE(OFFSET($EN$3,0,0,'Données projet'!$E$15+1,1))-AVERAGE(OFFSET($H$3,0,0,'Données projet'!$E$15+1,1))</f>
        <v>276.72865583771579</v>
      </c>
      <c r="EP120" s="59">
        <f t="shared" si="100"/>
        <v>174.3587092851154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12.890413771073451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12.890413771073451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74.957535701075415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4.25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15.583333333333334</v>
      </c>
      <c r="H121" s="67">
        <f t="shared" si="56"/>
        <v>222.56666666666669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341.11752883785607</v>
      </c>
      <c r="T121" s="59">
        <f t="shared" si="88"/>
        <v>423.15445896616234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36.700757935590282</v>
      </c>
      <c r="AA121" s="21">
        <f>EXP(-LN(2)/25)*AA120+(1-EXP(-LN(2)/25))/(LN(2)/25)*Calculateur!V121*Calculateur!X121*VLOOKUP('Données projet'!$B$9,Paramètres!$A$1:$I$89,3,0)*0.475*44/12</f>
        <v>14.586127893611788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51.28688582920207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2.1</v>
      </c>
      <c r="AI121" s="13">
        <f>IF('Données projet'!$A$62&gt;35,AI120+AH121-AQ120,IF(A121&lt;'Données projet'!$A$62,$AF$205^A121,IF(A121='Données projet'!$A$62,'Données projet'!$B$62,AI120+AH121-AQ120)))</f>
        <v>323.80000000000075</v>
      </c>
      <c r="AJ121" s="13">
        <f>AI121*VLOOKUP('Données projet'!$B$10,Paramètres!$A$1:$I$89,3,0)*VLOOKUP('Données projet'!$B$10,Paramètres!$A$1:$I$89,5,0)</f>
        <v>292.97424000000069</v>
      </c>
      <c r="AK121" s="13">
        <f t="shared" si="89"/>
        <v>69.701569084731005</v>
      </c>
      <c r="AL121" s="20">
        <f t="shared" si="58"/>
        <v>631.66036748924091</v>
      </c>
      <c r="AM121" s="59">
        <f t="shared" si="59"/>
        <v>943.3457756824846</v>
      </c>
      <c r="AN121" s="59">
        <f ca="1">AVERAGE(OFFSET($AM$3,0,0,'Données projet'!$E$10+1,1))-AVERAGE(OFFSET($H$3,0,0,'Données projet'!$E$10+1,1))</f>
        <v>521.72266623522626</v>
      </c>
      <c r="AO121" s="59">
        <f t="shared" si="90"/>
        <v>298.49205684341825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30.318549427303868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30.318549427303868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-6.7984728957526396E-14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376.5647919688821</v>
      </c>
      <c r="BJ121" s="59">
        <f t="shared" si="92"/>
        <v>340.34037344565581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69.50737455719424</v>
      </c>
      <c r="BQ121" s="21">
        <f>EXP(-LN(2)/25)*BQ120+(1-EXP(-LN(2)/25))/(LN(2)/25)*Calculateur!BL121*Calculateur!BN121*VLOOKUP('Données projet'!$B$11,Paramètres!$A$1:$I$89,3,0)*0.475*44/12</f>
        <v>24.089667074468601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93.597041631662847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2.7</v>
      </c>
      <c r="BY121" s="12">
        <f>IF('Données projet'!$A$114&gt;35,BY120+BX121-CG120,IF(A121&lt;'Données projet'!$A$114,$BV$205^A121,IF(A121='Données projet'!$A$114,'Données projet'!$B$114,BY120+BX121-CG120)))</f>
        <v>312.60000000000019</v>
      </c>
      <c r="BZ121" s="13">
        <f>BY121*VLOOKUP('Données projet'!$B$12,Paramètres!$A$1:$I$89,3,0)*VLOOKUP('Données projet'!$B$12,Paramètres!$A$1:$I$89,5,0)</f>
        <v>316.97640000000024</v>
      </c>
      <c r="CA121" s="13">
        <f t="shared" si="93"/>
        <v>74.723887694594012</v>
      </c>
      <c r="CB121" s="20">
        <f t="shared" si="64"/>
        <v>682.2113344014183</v>
      </c>
      <c r="CC121" s="59">
        <f t="shared" si="65"/>
        <v>993.89674259466199</v>
      </c>
      <c r="CD121" s="59">
        <f ca="1">AVERAGE(OFFSET($CC$3,0,0,'Données projet'!$E$12+1,1))-AVERAGE(OFFSET($H$3,0,0,'Données projet'!$E$12+1,1))</f>
        <v>473.09076714002885</v>
      </c>
      <c r="CE121" s="59">
        <f t="shared" si="94"/>
        <v>311.6454557566534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33.135251431091383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33.135251431091383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-2.8421709430404007E-14</v>
      </c>
      <c r="CU121" s="17">
        <f>CT121*VLOOKUP('Données projet'!$B$13,Paramètres!$A$1:$I$89,3,0)*VLOOKUP('Données projet'!$B$13,Paramètres!$A$1:$I$89,5,0)</f>
        <v>-2.4829205358400945E-14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379.66247682099424</v>
      </c>
      <c r="CZ121" s="59">
        <f t="shared" si="96"/>
        <v>342.92507939604081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63.880307877331283</v>
      </c>
      <c r="DG121" s="21">
        <f>EXP(-LN(2)/25)*DG120+(1-EXP(-LN(2)/25))/(LN(2)/25)*Calculateur!DB121*Calculateur!DD121*VLOOKUP('Données projet'!$B$13,Paramètres!$A$1:$I$89,3,0)*0.475*44/12</f>
        <v>25.265454949821624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89.145762827152907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2.1</v>
      </c>
      <c r="DO121" s="12">
        <f>IF('Données projet'!$A$166&gt;35,DO120+DN121-DW120,IF(A121&lt;'Données projet'!$A$166,$DL$205^A121,IF(A121='Données projet'!$A$166,'Données projet'!$B$166,DO120+DN121-DW120)))</f>
        <v>323.80000000000075</v>
      </c>
      <c r="DP121" s="17">
        <f>DO121*VLOOKUP('Données projet'!$B$14,Paramètres!$A$1:$I$89,3,0)*VLOOKUP('Données projet'!$B$14,Paramètres!$A$1:$I$89,5,0)</f>
        <v>308.12808000000069</v>
      </c>
      <c r="DQ121" s="13">
        <f t="shared" si="97"/>
        <v>72.877761073492834</v>
      </c>
      <c r="DR121" s="20">
        <f t="shared" si="70"/>
        <v>663.58517320300109</v>
      </c>
      <c r="DS121" s="59">
        <f t="shared" si="71"/>
        <v>975.27058139624478</v>
      </c>
      <c r="DT121" s="59">
        <f ca="1">AVERAGE(OFFSET($DS$3,0,0,'Données projet'!$E$14+1,1))-AVERAGE(OFFSET($H$3,0,0,'Données projet'!$E$14+1,1))</f>
        <v>544.64394576312384</v>
      </c>
      <c r="DU121" s="59">
        <f t="shared" si="98"/>
        <v>310.67291035925484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31.886750259750613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31.886750259750613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2</v>
      </c>
      <c r="EJ121" s="12">
        <f>IF('Données projet'!$A$192&gt;35,EJ120+EI121-ER120,IF(A121&lt;'Données projet'!$A$192,$EG$205^A121,IF(A121='Données projet'!$A$192,'Données projet'!$B$192,EJ120+EI121-ER120)))</f>
        <v>186.99999999999994</v>
      </c>
      <c r="EK121" s="17">
        <f>EJ121*VLOOKUP('Données projet'!$B$15,Paramètres!$A$1:$I$89,3,0)*VLOOKUP('Données projet'!$B$15,Paramètres!$A$1:$I$89,5,0)</f>
        <v>180.86639999999997</v>
      </c>
      <c r="EL121" s="13">
        <f t="shared" si="99"/>
        <v>45.51489030210211</v>
      </c>
      <c r="EM121" s="20">
        <f t="shared" si="73"/>
        <v>394.28074727616109</v>
      </c>
      <c r="EN121" s="59">
        <f t="shared" si="74"/>
        <v>705.96615546940484</v>
      </c>
      <c r="EO121" s="59">
        <f ca="1">AVERAGE(OFFSET($EN$3,0,0,'Données projet'!$E$15+1,1))-AVERAGE(OFFSET($H$3,0,0,'Données projet'!$E$15+1,1))</f>
        <v>276.72865583771579</v>
      </c>
      <c r="EP121" s="59">
        <f t="shared" si="100"/>
        <v>174.3587092851154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12.637640619398756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12.637640619398756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75.005111325430093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4.25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15.583333333333334</v>
      </c>
      <c r="H122" s="67">
        <f t="shared" si="56"/>
        <v>222.56666666666669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341.11752883785607</v>
      </c>
      <c r="T122" s="59">
        <f t="shared" si="88"/>
        <v>423.15445896616234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35.981078457725339</v>
      </c>
      <c r="AA122" s="21">
        <f>EXP(-LN(2)/25)*AA121+(1-EXP(-LN(2)/25))/(LN(2)/25)*Calculateur!V122*Calculateur!X122*VLOOKUP('Données projet'!$B$9,Paramètres!$A$1:$I$89,3,0)*0.475*44/12</f>
        <v>14.187269459309846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50.168347917035184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2.1</v>
      </c>
      <c r="AI122" s="13">
        <f>IF('Données projet'!$A$62&gt;35,AI121+AH122-AQ121,IF(A122&lt;'Données projet'!$A$62,$AF$205^A122,IF(A122='Données projet'!$A$62,'Données projet'!$B$62,AI121+AH122-AQ121)))</f>
        <v>325.90000000000077</v>
      </c>
      <c r="AJ122" s="13">
        <f>AI122*VLOOKUP('Données projet'!$B$10,Paramètres!$A$1:$I$89,3,0)*VLOOKUP('Données projet'!$B$10,Paramètres!$A$1:$I$89,5,0)</f>
        <v>294.87432000000069</v>
      </c>
      <c r="AK122" s="13">
        <f t="shared" si="89"/>
        <v>70.100848709843177</v>
      </c>
      <c r="AL122" s="20">
        <f t="shared" si="58"/>
        <v>635.66508550297794</v>
      </c>
      <c r="AM122" s="59">
        <f t="shared" si="59"/>
        <v>947.5219114395511</v>
      </c>
      <c r="AN122" s="59">
        <f ca="1">AVERAGE(OFFSET($AM$3,0,0,'Données projet'!$E$10+1,1))-AVERAGE(OFFSET($H$3,0,0,'Données projet'!$E$10+1,1))</f>
        <v>521.72266623522626</v>
      </c>
      <c r="AO122" s="59">
        <f t="shared" si="90"/>
        <v>298.49205684341825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29.72402116552361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29.72402116552361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-6.7984728957526396E-14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376.5647919688821</v>
      </c>
      <c r="BJ122" s="59">
        <f t="shared" si="92"/>
        <v>340.34037344565581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68.144377337439948</v>
      </c>
      <c r="BQ122" s="21">
        <f>EXP(-LN(2)/25)*BQ121+(1-EXP(-LN(2)/25))/(LN(2)/25)*Calculateur!BL122*Calculateur!BN122*VLOOKUP('Données projet'!$B$11,Paramètres!$A$1:$I$89,3,0)*0.475*44/12</f>
        <v>23.430933861496722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91.575311198936674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2.7</v>
      </c>
      <c r="BY122" s="12">
        <f>IF('Données projet'!$A$114&gt;35,BY121+BX122-CG121,IF(A122&lt;'Données projet'!$A$114,$BV$205^A122,IF(A122='Données projet'!$A$114,'Données projet'!$B$114,BY121+BX122-CG121)))</f>
        <v>315.30000000000018</v>
      </c>
      <c r="BZ122" s="13">
        <f>BY122*VLOOKUP('Données projet'!$B$12,Paramètres!$A$1:$I$89,3,0)*VLOOKUP('Données projet'!$B$12,Paramètres!$A$1:$I$89,5,0)</f>
        <v>319.71420000000023</v>
      </c>
      <c r="CA122" s="13">
        <f t="shared" si="93"/>
        <v>75.293884322571571</v>
      </c>
      <c r="CB122" s="20">
        <f t="shared" si="64"/>
        <v>687.97241352847914</v>
      </c>
      <c r="CC122" s="59">
        <f t="shared" si="65"/>
        <v>999.8292394650523</v>
      </c>
      <c r="CD122" s="59">
        <f ca="1">AVERAGE(OFFSET($CC$3,0,0,'Données projet'!$E$12+1,1))-AVERAGE(OFFSET($H$3,0,0,'Données projet'!$E$12+1,1))</f>
        <v>473.09076714002885</v>
      </c>
      <c r="CE122" s="59">
        <f t="shared" si="94"/>
        <v>311.6454557566534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32.485489361035434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32.485489361035434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-2.8421709430404007E-14</v>
      </c>
      <c r="CU122" s="17">
        <f>CT122*VLOOKUP('Données projet'!$B$13,Paramètres!$A$1:$I$89,3,0)*VLOOKUP('Données projet'!$B$13,Paramètres!$A$1:$I$89,5,0)</f>
        <v>-2.4829205358400945E-14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379.66247682099424</v>
      </c>
      <c r="CZ122" s="59">
        <f t="shared" si="96"/>
        <v>342.92507939604081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62.627654002997332</v>
      </c>
      <c r="DG122" s="21">
        <f>EXP(-LN(2)/25)*DG121+(1-EXP(-LN(2)/25))/(LN(2)/25)*Calculateur!DB122*Calculateur!DD122*VLOOKUP('Données projet'!$B$13,Paramètres!$A$1:$I$89,3,0)*0.475*44/12</f>
        <v>24.57456975556622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87.202223758563548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2.1</v>
      </c>
      <c r="DO122" s="12">
        <f>IF('Données projet'!$A$166&gt;35,DO121+DN122-DW121,IF(A122&lt;'Données projet'!$A$166,$DL$205^A122,IF(A122='Données projet'!$A$166,'Données projet'!$B$166,DO121+DN122-DW121)))</f>
        <v>325.90000000000077</v>
      </c>
      <c r="DP122" s="17">
        <f>DO122*VLOOKUP('Données projet'!$B$14,Paramètres!$A$1:$I$89,3,0)*VLOOKUP('Données projet'!$B$14,Paramètres!$A$1:$I$89,5,0)</f>
        <v>310.12644000000074</v>
      </c>
      <c r="DQ122" s="13">
        <f t="shared" si="97"/>
        <v>73.295235249505652</v>
      </c>
      <c r="DR122" s="20">
        <f t="shared" si="70"/>
        <v>667.79275105955696</v>
      </c>
      <c r="DS122" s="59">
        <f t="shared" si="71"/>
        <v>979.64957699613001</v>
      </c>
      <c r="DT122" s="59">
        <f ca="1">AVERAGE(OFFSET($DS$3,0,0,'Données projet'!$E$14+1,1))-AVERAGE(OFFSET($H$3,0,0,'Données projet'!$E$14+1,1))</f>
        <v>544.64394576312384</v>
      </c>
      <c r="DU122" s="59">
        <f t="shared" si="98"/>
        <v>310.67291035925484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31.261470536154132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31.261470536154132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2</v>
      </c>
      <c r="EJ122" s="12">
        <f>IF('Données projet'!$A$192&gt;35,EJ121+EI122-ER121,IF(A122&lt;'Données projet'!$A$192,$EG$205^A122,IF(A122='Données projet'!$A$192,'Données projet'!$B$192,EJ121+EI122-ER121)))</f>
        <v>188.99999999999994</v>
      </c>
      <c r="EK122" s="17">
        <f>EJ122*VLOOKUP('Données projet'!$B$15,Paramètres!$A$1:$I$89,3,0)*VLOOKUP('Données projet'!$B$15,Paramètres!$A$1:$I$89,5,0)</f>
        <v>182.80079999999995</v>
      </c>
      <c r="EL122" s="13">
        <f t="shared" si="99"/>
        <v>45.944751507471658</v>
      </c>
      <c r="EM122" s="20">
        <f t="shared" si="73"/>
        <v>398.39850220884637</v>
      </c>
      <c r="EN122" s="59">
        <f t="shared" si="74"/>
        <v>710.25532814541953</v>
      </c>
      <c r="EO122" s="59">
        <f ca="1">AVERAGE(OFFSET($EN$3,0,0,'Données projet'!$E$15+1,1))-AVERAGE(OFFSET($H$3,0,0,'Données projet'!$E$15+1,1))</f>
        <v>276.72865583771579</v>
      </c>
      <c r="EP122" s="59">
        <f t="shared" si="100"/>
        <v>174.3587092851154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12.389824195052002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12.389824195052002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75.051861619065392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4.25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15.583333333333334</v>
      </c>
      <c r="H123" s="67">
        <f t="shared" si="56"/>
        <v>222.56666666666669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341.11752883785607</v>
      </c>
      <c r="T123" s="59">
        <f t="shared" si="88"/>
        <v>423.15445896616234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35.27551145546019</v>
      </c>
      <c r="AA123" s="21">
        <f>EXP(-LN(2)/25)*AA122+(1-EXP(-LN(2)/25))/(LN(2)/25)*Calculateur!V123*Calculateur!X123*VLOOKUP('Données projet'!$B$9,Paramètres!$A$1:$I$89,3,0)*0.475*44/12</f>
        <v>13.799317829868942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49.07482928532913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328</v>
      </c>
      <c r="AG123" s="12">
        <f>VLOOKUP(A123,'Données projet'!$A$61:$I$81,9,0)</f>
        <v>2.1</v>
      </c>
      <c r="AH123" s="12">
        <f t="array" ref="AH123">INDEX(AG:AG,MIN(IF(ISNUMBER(AG123:AG319),ROW(AG123:AG319),"")))</f>
        <v>2.1</v>
      </c>
      <c r="AI123" s="13">
        <f>IF('Données projet'!$A$62&gt;35,AI122+AH123-AQ122,IF(A123&lt;'Données projet'!$A$62,$AF$205^A123,IF(A123='Données projet'!$A$62,'Données projet'!$B$62,AI122+AH123-AQ122)))</f>
        <v>328.0000000000008</v>
      </c>
      <c r="AJ123" s="13">
        <f>AI123*VLOOKUP('Données projet'!$B$10,Paramètres!$A$1:$I$89,3,0)*VLOOKUP('Données projet'!$B$10,Paramètres!$A$1:$I$89,5,0)</f>
        <v>296.7744000000007</v>
      </c>
      <c r="AK123" s="13">
        <f t="shared" si="89"/>
        <v>70.499828966950872</v>
      </c>
      <c r="AL123" s="20">
        <f t="shared" si="58"/>
        <v>639.66928211744062</v>
      </c>
      <c r="AM123" s="59">
        <f t="shared" si="59"/>
        <v>951.69455208272916</v>
      </c>
      <c r="AN123" s="59">
        <f ca="1">AVERAGE(OFFSET($AM$3,0,0,'Données projet'!$E$10+1,1))-AVERAGE(OFFSET($H$3,0,0,'Données projet'!$E$10+1,1))</f>
        <v>521.72266623522626</v>
      </c>
      <c r="AO123" s="59">
        <f t="shared" si="90"/>
        <v>298.49205684341825</v>
      </c>
      <c r="AP123" s="15">
        <f>IF(ISNA(VLOOKUP(A123,'Données projet'!$A$61:$I$81,3,0)),0,VLOOKUP(A123,'Données projet'!$A$61:$I$81,3,0))</f>
        <v>17</v>
      </c>
      <c r="AQ123" s="15">
        <f>IF(ISNA(VLOOKUP(A123,'Données projet'!$A$61:$I$81,4,0)),0,VLOOKUP(A123,'Données projet'!$A$61:$I$81,4,0))</f>
        <v>23</v>
      </c>
      <c r="AR123" s="16">
        <f>IF(ISNA(VLOOKUP(A123,'Données projet'!$A$61:$I$81,5,0)),0%,VLOOKUP(A123,'Données projet'!$A$61:$I$81,5,0)*VLOOKUP('Données projet'!$B$10,Paramètres!$A$1:$I$89,7,0))</f>
        <v>0.25800000000000001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35.076513683178412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35.076513683178412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-6.7984728957526396E-14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376.5647919688821</v>
      </c>
      <c r="BJ123" s="59">
        <f t="shared" si="92"/>
        <v>340.34037344565581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66.808107661818823</v>
      </c>
      <c r="BQ123" s="21">
        <f>EXP(-LN(2)/25)*BQ122+(1-EXP(-LN(2)/25))/(LN(2)/25)*Calculateur!BL123*Calculateur!BN123*VLOOKUP('Données projet'!$B$11,Paramètres!$A$1:$I$89,3,0)*0.475*44/12</f>
        <v>22.790213742874833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89.59832140469365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318</v>
      </c>
      <c r="BW123" s="12">
        <f>VLOOKUP(A123,'Données projet'!$A$113:$I$133,9,0)</f>
        <v>2.7</v>
      </c>
      <c r="BX123" s="12">
        <f t="array" ref="BX123">INDEX(BW:BW,MIN(IF(ISNUMBER(BW123:BW319),ROW(BW123:BW319),"")))</f>
        <v>2.7</v>
      </c>
      <c r="BY123" s="12">
        <f>IF('Données projet'!$A$114&gt;35,BY122+BX123-CG122,IF(A123&lt;'Données projet'!$A$114,$BV$205^A123,IF(A123='Données projet'!$A$114,'Données projet'!$B$114,BY122+BX123-CG122)))</f>
        <v>318.00000000000017</v>
      </c>
      <c r="BZ123" s="13">
        <f>BY123*VLOOKUP('Données projet'!$B$12,Paramètres!$A$1:$I$89,3,0)*VLOOKUP('Données projet'!$B$12,Paramètres!$A$1:$I$89,5,0)</f>
        <v>322.45200000000023</v>
      </c>
      <c r="CA123" s="13">
        <f t="shared" si="93"/>
        <v>75.863313073590859</v>
      </c>
      <c r="CB123" s="20">
        <f t="shared" si="64"/>
        <v>693.73250360317115</v>
      </c>
      <c r="CC123" s="59">
        <f t="shared" si="65"/>
        <v>1005.7577735684597</v>
      </c>
      <c r="CD123" s="59">
        <f ca="1">AVERAGE(OFFSET($CC$3,0,0,'Données projet'!$E$12+1,1))-AVERAGE(OFFSET($H$3,0,0,'Données projet'!$E$12+1,1))</f>
        <v>473.09076714002885</v>
      </c>
      <c r="CE123" s="59">
        <f t="shared" si="94"/>
        <v>311.6454557566534</v>
      </c>
      <c r="CF123" s="15">
        <f>IF(ISNA(VLOOKUP(A123,'Données projet'!$A$113:$I$133,3,0)),0,VLOOKUP(A123,'Données projet'!$A$113:$I$133,3,0))</f>
        <v>19</v>
      </c>
      <c r="CG123" s="15">
        <f>IF(ISNA(VLOOKUP(A123,'Données projet'!$A$113:$I$133,4,0)),0,VLOOKUP(A123,'Données projet'!$A$113:$I$133,4,0))</f>
        <v>318</v>
      </c>
      <c r="CH123" s="16">
        <f>IF(ISNA(VLOOKUP(A123,'Données projet'!$A$113:$I$133,5,0)),0%,VLOOKUP(A123,'Données projet'!$A$113:$I$133,5,0)*VLOOKUP('Données projet'!$B$12,Paramètres!$A$1:$I$89,7,0))</f>
        <v>0.25800000000000001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123.81544151271653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123.81544151271653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-2.8421709430404007E-14</v>
      </c>
      <c r="CU123" s="17">
        <f>CT123*VLOOKUP('Données projet'!$B$13,Paramètres!$A$1:$I$89,3,0)*VLOOKUP('Données projet'!$B$13,Paramètres!$A$1:$I$89,5,0)</f>
        <v>-2.4829205358400945E-14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379.66247682099424</v>
      </c>
      <c r="CZ123" s="59">
        <f t="shared" si="96"/>
        <v>342.92507939604081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61.399563907095647</v>
      </c>
      <c r="DG123" s="21">
        <f>EXP(-LN(2)/25)*DG122+(1-EXP(-LN(2)/25))/(LN(2)/25)*Calculateur!DB123*Calculateur!DD123*VLOOKUP('Données projet'!$B$13,Paramètres!$A$1:$I$89,3,0)*0.475*44/12</f>
        <v>23.902576853279804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85.302140760375451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328</v>
      </c>
      <c r="DM123" s="12">
        <f>VLOOKUP(A123,'Données projet'!$A$165:$I$185,9,0)</f>
        <v>2.1</v>
      </c>
      <c r="DN123" s="12">
        <f t="array" ref="DN123">INDEX(DM:DM,MIN(IF(ISNUMBER(DM123:DM319),ROW(DM123:DM319),"")))</f>
        <v>2.1</v>
      </c>
      <c r="DO123" s="12">
        <f>IF('Données projet'!$A$166&gt;35,DO122+DN123-DW122,IF(A123&lt;'Données projet'!$A$166,$DL$205^A123,IF(A123='Données projet'!$A$166,'Données projet'!$B$166,DO122+DN123-DW122)))</f>
        <v>328.0000000000008</v>
      </c>
      <c r="DP123" s="17">
        <f>DO123*VLOOKUP('Données projet'!$B$14,Paramètres!$A$1:$I$89,3,0)*VLOOKUP('Données projet'!$B$14,Paramètres!$A$1:$I$89,5,0)</f>
        <v>312.12480000000073</v>
      </c>
      <c r="DQ123" s="13">
        <f t="shared" si="97"/>
        <v>73.712396415779878</v>
      </c>
      <c r="DR123" s="20">
        <f t="shared" si="70"/>
        <v>671.99978375748458</v>
      </c>
      <c r="DS123" s="59">
        <f t="shared" si="71"/>
        <v>984.02505372277301</v>
      </c>
      <c r="DT123" s="59">
        <f ca="1">AVERAGE(OFFSET($DS$3,0,0,'Données projet'!$E$14+1,1))-AVERAGE(OFFSET($H$3,0,0,'Données projet'!$E$14+1,1))</f>
        <v>544.64394576312384</v>
      </c>
      <c r="DU123" s="59">
        <f t="shared" si="98"/>
        <v>310.67291035925484</v>
      </c>
      <c r="DV123" s="15">
        <f>IF(ISNA(VLOOKUP(A123,'Données projet'!$A$165:$I$185,3,0)),0,VLOOKUP(A123,'Données projet'!$A$165:$I$185,3,0))</f>
        <v>17</v>
      </c>
      <c r="DW123" s="15">
        <f>IF(ISNA(VLOOKUP(A123,'Données projet'!$A$165:$I$185,4,0)),0,VLOOKUP(A123,'Données projet'!$A$165:$I$185,4,0))</f>
        <v>23</v>
      </c>
      <c r="DX123" s="16">
        <f>IF(ISNA(VLOOKUP(A123,'Données projet'!$A$165:$I$185,5,0)),0%,VLOOKUP(A123,'Données projet'!$A$165:$I$185,5,0)*VLOOKUP('Données projet'!$B$14,Paramètres!$A$1:$I$89,7,0))</f>
        <v>0.25800000000000001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36.89081611506694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36.89081611506694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191</v>
      </c>
      <c r="EH123" s="12">
        <f>VLOOKUP(A123,'Données projet'!$A$191:$I$211,9,0)</f>
        <v>2</v>
      </c>
      <c r="EI123" s="12">
        <f t="array" ref="EI123">INDEX(EH:EH,MIN(IF(ISNUMBER(EH123:EH319),ROW(EH123:EH319),"")))</f>
        <v>2</v>
      </c>
      <c r="EJ123" s="12">
        <f>IF('Données projet'!$A$192&gt;35,EJ122+EI123-ER122,IF(A123&lt;'Données projet'!$A$192,$EG$205^A123,IF(A123='Données projet'!$A$192,'Données projet'!$B$192,EJ122+EI123-ER122)))</f>
        <v>190.99999999999994</v>
      </c>
      <c r="EK123" s="17">
        <f>EJ123*VLOOKUP('Données projet'!$B$15,Paramètres!$A$1:$I$89,3,0)*VLOOKUP('Données projet'!$B$15,Paramètres!$A$1:$I$89,5,0)</f>
        <v>184.73519999999994</v>
      </c>
      <c r="EL123" s="13">
        <f t="shared" si="99"/>
        <v>46.374083548521305</v>
      </c>
      <c r="EM123" s="20">
        <f t="shared" si="73"/>
        <v>402.51533551367447</v>
      </c>
      <c r="EN123" s="59">
        <f t="shared" si="74"/>
        <v>714.54060547896302</v>
      </c>
      <c r="EO123" s="59">
        <f ca="1">AVERAGE(OFFSET($EN$3,0,0,'Données projet'!$E$15+1,1))-AVERAGE(OFFSET($H$3,0,0,'Données projet'!$E$15+1,1))</f>
        <v>276.72865583771579</v>
      </c>
      <c r="EP123" s="59">
        <f t="shared" si="100"/>
        <v>174.3587092851154</v>
      </c>
      <c r="EQ123" s="15">
        <f>IF(ISNA(VLOOKUP(A123,'Données projet'!$A$191:$I$211,3,0)),0,VLOOKUP(A123,'Données projet'!$A$191:$I$211,3,0))</f>
        <v>18</v>
      </c>
      <c r="ER123" s="15">
        <f>IF(ISNA(VLOOKUP(A123,'Données projet'!$A$191:$I$211,4,0)),0,VLOOKUP(A123,'Données projet'!$A$191:$I$211,4,0))</f>
        <v>191</v>
      </c>
      <c r="ES123" s="16">
        <f>IF(ISNA(VLOOKUP(A123,'Données projet'!$A$191:$I$211,5,0)),0%,VLOOKUP(A123,'Données projet'!$A$191:$I$211,5,0)*VLOOKUP('Données projet'!$B$15,Paramètres!$A$1:$I$89,7,0))</f>
        <v>0.25800000000000001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64.835444547164215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64.835444547164215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75.097800899624133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4.25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15.583333333333334</v>
      </c>
      <c r="H124" s="67">
        <f t="shared" si="56"/>
        <v>222.56666666666669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341.11752883785607</v>
      </c>
      <c r="T124" s="59">
        <f t="shared" si="88"/>
        <v>423.15445896616234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34.583780191756084</v>
      </c>
      <c r="AA124" s="21">
        <f>EXP(-LN(2)/25)*AA123+(1-EXP(-LN(2)/25))/(LN(2)/25)*Calculateur!V124*Calculateur!X124*VLOOKUP('Données projet'!$B$9,Paramètres!$A$1:$I$89,3,0)*0.475*44/12</f>
        <v>13.42197475813659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48.005754949892676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1.9</v>
      </c>
      <c r="AI124" s="13">
        <f>IF('Données projet'!$A$62&gt;35,AI123+AH124-AQ123,IF(A124&lt;'Données projet'!$A$62,$AF$205^A124,IF(A124='Données projet'!$A$62,'Données projet'!$B$62,AI123+AH124-AQ123)))</f>
        <v>306.90000000000077</v>
      </c>
      <c r="AJ124" s="13">
        <f>AI124*VLOOKUP('Données projet'!$B$10,Paramètres!$A$1:$I$89,3,0)*VLOOKUP('Données projet'!$B$10,Paramètres!$A$1:$I$89,5,0)</f>
        <v>277.68312000000071</v>
      </c>
      <c r="AK124" s="13">
        <f t="shared" si="89"/>
        <v>66.477149012592847</v>
      </c>
      <c r="AL124" s="20">
        <f t="shared" si="58"/>
        <v>599.41246853026712</v>
      </c>
      <c r="AM124" s="59">
        <f t="shared" si="59"/>
        <v>911.60326039695724</v>
      </c>
      <c r="AN124" s="59">
        <f ca="1">AVERAGE(OFFSET($AM$3,0,0,'Données projet'!$E$10+1,1))-AVERAGE(OFFSET($H$3,0,0,'Données projet'!$E$10+1,1))</f>
        <v>521.72266623522626</v>
      </c>
      <c r="AO124" s="59">
        <f t="shared" si="90"/>
        <v>298.49205684341825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34.388684644412095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34.388684644412095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-6.7984728957526396E-14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376.5647919688821</v>
      </c>
      <c r="BJ124" s="59">
        <f t="shared" si="92"/>
        <v>340.34037344565581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65.498041419492608</v>
      </c>
      <c r="BQ124" s="21">
        <f>EXP(-LN(2)/25)*BQ123+(1-EXP(-LN(2)/25))/(LN(2)/25)*Calculateur!BL124*Calculateur!BN124*VLOOKUP('Données projet'!$B$11,Paramètres!$A$1:$I$89,3,0)*0.475*44/12</f>
        <v>22.167014149590667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87.665055569083279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1.7053025658242404E-13</v>
      </c>
      <c r="BZ124" s="13">
        <f>BY124*VLOOKUP('Données projet'!$B$12,Paramètres!$A$1:$I$89,3,0)*VLOOKUP('Données projet'!$B$12,Paramètres!$A$1:$I$89,5,0)</f>
        <v>1.72917680174578E-13</v>
      </c>
      <c r="CA124" s="13">
        <f t="shared" si="93"/>
        <v>2.4372886112056825E-12</v>
      </c>
      <c r="CB124" s="20">
        <f t="shared" si="64"/>
        <v>4.5461092908206203E-12</v>
      </c>
      <c r="CC124" s="59">
        <f t="shared" si="65"/>
        <v>312.19079186669461</v>
      </c>
      <c r="CD124" s="59">
        <f ca="1">AVERAGE(OFFSET($CC$3,0,0,'Données projet'!$E$12+1,1))-AVERAGE(OFFSET($H$3,0,0,'Données projet'!$E$12+1,1))</f>
        <v>473.09076714002885</v>
      </c>
      <c r="CE124" s="59">
        <f t="shared" si="94"/>
        <v>311.6454557566534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121.38749622461451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121.38749622461451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-2.8421709430404007E-14</v>
      </c>
      <c r="CU124" s="17">
        <f>CT124*VLOOKUP('Données projet'!$B$13,Paramètres!$A$1:$I$89,3,0)*VLOOKUP('Données projet'!$B$13,Paramètres!$A$1:$I$89,5,0)</f>
        <v>-2.4829205358400945E-14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379.66247682099424</v>
      </c>
      <c r="CZ124" s="59">
        <f t="shared" si="96"/>
        <v>342.92507939604081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60.195555908913597</v>
      </c>
      <c r="DG124" s="21">
        <f>EXP(-LN(2)/25)*DG123+(1-EXP(-LN(2)/25))/(LN(2)/25)*Calculateur!DB124*Calculateur!DD124*VLOOKUP('Données projet'!$B$13,Paramètres!$A$1:$I$89,3,0)*0.475*44/12</f>
        <v>23.248959632244983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83.44451554115858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1.9</v>
      </c>
      <c r="DO124" s="12">
        <f>IF('Données projet'!$A$166&gt;35,DO123+DN124-DW123,IF(A124&lt;'Données projet'!$A$166,$DL$205^A124,IF(A124='Données projet'!$A$166,'Données projet'!$B$166,DO123+DN124-DW123)))</f>
        <v>306.90000000000077</v>
      </c>
      <c r="DP124" s="17">
        <f>DO124*VLOOKUP('Données projet'!$B$14,Paramètres!$A$1:$I$89,3,0)*VLOOKUP('Données projet'!$B$14,Paramètres!$A$1:$I$89,5,0)</f>
        <v>292.04604000000074</v>
      </c>
      <c r="DQ124" s="13">
        <f t="shared" si="97"/>
        <v>69.506409198584663</v>
      </c>
      <c r="DR124" s="20">
        <f t="shared" si="70"/>
        <v>629.7038490208696</v>
      </c>
      <c r="DS124" s="59">
        <f t="shared" si="71"/>
        <v>941.89464088755972</v>
      </c>
      <c r="DT124" s="59">
        <f ca="1">AVERAGE(OFFSET($DS$3,0,0,'Données projet'!$E$14+1,1))-AVERAGE(OFFSET($H$3,0,0,'Données projet'!$E$14+1,1))</f>
        <v>544.64394576312384</v>
      </c>
      <c r="DU124" s="59">
        <f t="shared" si="98"/>
        <v>310.67291035925484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36.167409712226501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36.167409712226501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-5.6843418860808015E-14</v>
      </c>
      <c r="EK124" s="17">
        <f>EJ124*VLOOKUP('Données projet'!$B$15,Paramètres!$A$1:$I$89,3,0)*VLOOKUP('Données projet'!$B$15,Paramètres!$A$1:$I$89,5,0)</f>
        <v>-5.4978954722173515E-14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276.72865583771579</v>
      </c>
      <c r="EP124" s="59">
        <f t="shared" si="100"/>
        <v>174.3587092851154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63.564061025310686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63.564061025310686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75.142943236370016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4.25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15.583333333333334</v>
      </c>
      <c r="H125" s="67">
        <f t="shared" si="56"/>
        <v>222.56666666666669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341.11752883785607</v>
      </c>
      <c r="T125" s="59">
        <f t="shared" si="88"/>
        <v>423.15445896616234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33.905613356218801</v>
      </c>
      <c r="AA125" s="21">
        <f>EXP(-LN(2)/25)*AA124+(1-EXP(-LN(2)/25))/(LN(2)/25)*Calculateur!V125*Calculateur!X125*VLOOKUP('Données projet'!$B$9,Paramètres!$A$1:$I$89,3,0)*0.475*44/12</f>
        <v>13.05495015254437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46.960563508763173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1.9</v>
      </c>
      <c r="AI125" s="13">
        <f>IF('Données projet'!$A$62&gt;35,AI124+AH125-AQ124,IF(A125&lt;'Données projet'!$A$62,$AF$205^A125,IF(A125='Données projet'!$A$62,'Données projet'!$B$62,AI124+AH125-AQ124)))</f>
        <v>308.80000000000075</v>
      </c>
      <c r="AJ125" s="13">
        <f>AI125*VLOOKUP('Données projet'!$B$10,Paramètres!$A$1:$I$89,3,0)*VLOOKUP('Données projet'!$B$10,Paramètres!$A$1:$I$89,5,0)</f>
        <v>279.40224000000063</v>
      </c>
      <c r="AK125" s="13">
        <f t="shared" si="89"/>
        <v>66.840669301483459</v>
      </c>
      <c r="AL125" s="20">
        <f t="shared" si="58"/>
        <v>603.03973370008475</v>
      </c>
      <c r="AM125" s="59">
        <f t="shared" si="59"/>
        <v>915.39317603323866</v>
      </c>
      <c r="AN125" s="59">
        <f ca="1">AVERAGE(OFFSET($AM$3,0,0,'Données projet'!$E$10+1,1))-AVERAGE(OFFSET($H$3,0,0,'Données projet'!$E$10+1,1))</f>
        <v>521.72266623522626</v>
      </c>
      <c r="AO125" s="59">
        <f t="shared" si="90"/>
        <v>298.49205684341825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33.714343513561694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33.714343513561694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-6.7984728957526396E-14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376.5647919688821</v>
      </c>
      <c r="BJ125" s="59">
        <f t="shared" si="92"/>
        <v>340.34037344565581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64.213664777116904</v>
      </c>
      <c r="BQ125" s="21">
        <f>EXP(-LN(2)/25)*BQ124+(1-EXP(-LN(2)/25))/(LN(2)/25)*Calculateur!BL125*Calculateur!BN125*VLOOKUP('Données projet'!$B$11,Paramètres!$A$1:$I$89,3,0)*0.475*44/12</f>
        <v>21.560855981957499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85.774520759074406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1.7053025658242404E-13</v>
      </c>
      <c r="BZ125" s="13">
        <f>BY125*VLOOKUP('Données projet'!$B$12,Paramètres!$A$1:$I$89,3,0)*VLOOKUP('Données projet'!$B$12,Paramètres!$A$1:$I$89,5,0)</f>
        <v>1.72917680174578E-13</v>
      </c>
      <c r="CA125" s="13">
        <f t="shared" si="93"/>
        <v>2.4372886112056825E-12</v>
      </c>
      <c r="CB125" s="20">
        <f t="shared" si="64"/>
        <v>4.5461092908206203E-12</v>
      </c>
      <c r="CC125" s="59">
        <f t="shared" si="65"/>
        <v>312.3534423331584</v>
      </c>
      <c r="CD125" s="59">
        <f ca="1">AVERAGE(OFFSET($CC$3,0,0,'Données projet'!$E$12+1,1))-AVERAGE(OFFSET($H$3,0,0,'Données projet'!$E$12+1,1))</f>
        <v>473.09076714002885</v>
      </c>
      <c r="CE125" s="59">
        <f t="shared" si="94"/>
        <v>311.6454557566534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119.00716146271176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119.00716146271176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-2.8421709430404007E-14</v>
      </c>
      <c r="CU125" s="17">
        <f>CT125*VLOOKUP('Données projet'!$B$13,Paramètres!$A$1:$I$89,3,0)*VLOOKUP('Données projet'!$B$13,Paramètres!$A$1:$I$89,5,0)</f>
        <v>-2.4829205358400945E-14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379.66247682099424</v>
      </c>
      <c r="CZ125" s="59">
        <f t="shared" si="96"/>
        <v>342.92507939604081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59.015157773203534</v>
      </c>
      <c r="DG125" s="21">
        <f>EXP(-LN(2)/25)*DG124+(1-EXP(-LN(2)/25))/(LN(2)/25)*Calculateur!DB125*Calculateur!DD125*VLOOKUP('Données projet'!$B$13,Paramètres!$A$1:$I$89,3,0)*0.475*44/12</f>
        <v>22.613215608491593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81.628373381695127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1.9</v>
      </c>
      <c r="DO125" s="12">
        <f>IF('Données projet'!$A$166&gt;35,DO124+DN125-DW124,IF(A125&lt;'Données projet'!$A$166,$DL$205^A125,IF(A125='Données projet'!$A$166,'Données projet'!$B$166,DO124+DN125-DW124)))</f>
        <v>308.80000000000075</v>
      </c>
      <c r="DP125" s="17">
        <f>DO125*VLOOKUP('Données projet'!$B$14,Paramètres!$A$1:$I$89,3,0)*VLOOKUP('Données projet'!$B$14,Paramètres!$A$1:$I$89,5,0)</f>
        <v>293.85408000000069</v>
      </c>
      <c r="DQ125" s="13">
        <f t="shared" si="97"/>
        <v>69.886494541095715</v>
      </c>
      <c r="DR125" s="20">
        <f t="shared" si="70"/>
        <v>633.51483399240954</v>
      </c>
      <c r="DS125" s="59">
        <f t="shared" si="71"/>
        <v>945.86827632556333</v>
      </c>
      <c r="DT125" s="59">
        <f ca="1">AVERAGE(OFFSET($DS$3,0,0,'Données projet'!$E$14+1,1))-AVERAGE(OFFSET($H$3,0,0,'Données projet'!$E$14+1,1))</f>
        <v>544.64394576312384</v>
      </c>
      <c r="DU125" s="59">
        <f t="shared" si="98"/>
        <v>310.67291035925484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35.458188867711428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35.458188867711428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-5.6843418860808015E-14</v>
      </c>
      <c r="EK125" s="17">
        <f>EJ125*VLOOKUP('Données projet'!$B$15,Paramètres!$A$1:$I$89,3,0)*VLOOKUP('Données projet'!$B$15,Paramètres!$A$1:$I$89,5,0)</f>
        <v>-5.4978954722173515E-14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276.72865583771579</v>
      </c>
      <c r="EP125" s="59">
        <f t="shared" si="100"/>
        <v>174.3587092851154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62.317608558853323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62.317608558853323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75.187302454496503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4.25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15.583333333333334</v>
      </c>
      <c r="H126" s="67">
        <f t="shared" si="56"/>
        <v>222.56666666666669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341.11752883785607</v>
      </c>
      <c r="T126" s="59">
        <f t="shared" si="88"/>
        <v>423.15445896616234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33.240744958685482</v>
      </c>
      <c r="AA126" s="21">
        <f>EXP(-LN(2)/25)*AA125+(1-EXP(-LN(2)/25))/(LN(2)/25)*Calculateur!V126*Calculateur!X126*VLOOKUP('Données projet'!$B$9,Paramètres!$A$1:$I$89,3,0)*0.475*44/12</f>
        <v>12.697961854093053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45.938706812778534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1.9</v>
      </c>
      <c r="AI126" s="13">
        <f>IF('Données projet'!$A$62&gt;35,AI125+AH126-AQ125,IF(A126&lt;'Données projet'!$A$62,$AF$205^A126,IF(A126='Données projet'!$A$62,'Données projet'!$B$62,AI125+AH126-AQ125)))</f>
        <v>310.70000000000073</v>
      </c>
      <c r="AJ126" s="13">
        <f>AI126*VLOOKUP('Données projet'!$B$10,Paramètres!$A$1:$I$89,3,0)*VLOOKUP('Données projet'!$B$10,Paramètres!$A$1:$I$89,5,0)</f>
        <v>281.12136000000066</v>
      </c>
      <c r="AK126" s="13">
        <f t="shared" si="89"/>
        <v>67.203929331627663</v>
      </c>
      <c r="AL126" s="20">
        <f t="shared" si="58"/>
        <v>606.66654558591927</v>
      </c>
      <c r="AM126" s="59">
        <f t="shared" si="59"/>
        <v>919.17981676357567</v>
      </c>
      <c r="AN126" s="59">
        <f ca="1">AVERAGE(OFFSET($AM$3,0,0,'Données projet'!$E$10+1,1))-AVERAGE(OFFSET($H$3,0,0,'Données projet'!$E$10+1,1))</f>
        <v>521.72266623522626</v>
      </c>
      <c r="AO126" s="59">
        <f t="shared" si="90"/>
        <v>298.49205684341825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33.053225800979796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33.053225800979796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-6.7984728957526396E-14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376.5647919688821</v>
      </c>
      <c r="BJ126" s="59">
        <f t="shared" si="92"/>
        <v>340.34037344565581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62.954473977305788</v>
      </c>
      <c r="BQ126" s="21">
        <f>EXP(-LN(2)/25)*BQ125+(1-EXP(-LN(2)/25))/(LN(2)/25)*Calculateur!BL126*Calculateur!BN126*VLOOKUP('Données projet'!$B$11,Paramètres!$A$1:$I$89,3,0)*0.475*44/12</f>
        <v>20.971273241294732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83.92574721860052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1.7053025658242404E-13</v>
      </c>
      <c r="BZ126" s="13">
        <f>BY126*VLOOKUP('Données projet'!$B$12,Paramètres!$A$1:$I$89,3,0)*VLOOKUP('Données projet'!$B$12,Paramètres!$A$1:$I$89,5,0)</f>
        <v>1.72917680174578E-13</v>
      </c>
      <c r="CA126" s="13">
        <f t="shared" si="93"/>
        <v>2.4372886112056825E-12</v>
      </c>
      <c r="CB126" s="20">
        <f t="shared" si="64"/>
        <v>4.5461092908206203E-12</v>
      </c>
      <c r="CC126" s="59">
        <f t="shared" si="65"/>
        <v>312.51327117766101</v>
      </c>
      <c r="CD126" s="59">
        <f ca="1">AVERAGE(OFFSET($CC$3,0,0,'Données projet'!$E$12+1,1))-AVERAGE(OFFSET($H$3,0,0,'Données projet'!$E$12+1,1))</f>
        <v>473.09076714002885</v>
      </c>
      <c r="CE126" s="59">
        <f t="shared" si="94"/>
        <v>311.6454557566534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116.67350361362909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116.67350361362909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-2.8421709430404007E-14</v>
      </c>
      <c r="CU126" s="17">
        <f>CT126*VLOOKUP('Données projet'!$B$13,Paramètres!$A$1:$I$89,3,0)*VLOOKUP('Données projet'!$B$13,Paramètres!$A$1:$I$89,5,0)</f>
        <v>-2.4829205358400945E-14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379.66247682099424</v>
      </c>
      <c r="CZ126" s="59">
        <f t="shared" si="96"/>
        <v>342.92507939604081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57.857906524962978</v>
      </c>
      <c r="DG126" s="21">
        <f>EXP(-LN(2)/25)*DG125+(1-EXP(-LN(2)/25))/(LN(2)/25)*Calculateur!DB126*Calculateur!DD126*VLOOKUP('Données projet'!$B$13,Paramètres!$A$1:$I$89,3,0)*0.475*44/12</f>
        <v>21.994856038500064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79.852762563463045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1.9</v>
      </c>
      <c r="DO126" s="12">
        <f>IF('Données projet'!$A$166&gt;35,DO125+DN126-DW125,IF(A126&lt;'Données projet'!$A$166,$DL$205^A126,IF(A126='Données projet'!$A$166,'Données projet'!$B$166,DO125+DN126-DW125)))</f>
        <v>310.70000000000073</v>
      </c>
      <c r="DP126" s="17">
        <f>DO126*VLOOKUP('Données projet'!$B$14,Paramètres!$A$1:$I$89,3,0)*VLOOKUP('Données projet'!$B$14,Paramètres!$A$1:$I$89,5,0)</f>
        <v>295.6621200000007</v>
      </c>
      <c r="DQ126" s="13">
        <f t="shared" si="97"/>
        <v>70.266307765274675</v>
      </c>
      <c r="DR126" s="20">
        <f t="shared" si="70"/>
        <v>637.3253450245212</v>
      </c>
      <c r="DS126" s="59">
        <f t="shared" si="71"/>
        <v>949.83861620217772</v>
      </c>
      <c r="DT126" s="59">
        <f ca="1">AVERAGE(OFFSET($DS$3,0,0,'Données projet'!$E$14+1,1))-AVERAGE(OFFSET($H$3,0,0,'Données projet'!$E$14+1,1))</f>
        <v>544.64394576312384</v>
      </c>
      <c r="DU126" s="59">
        <f t="shared" si="98"/>
        <v>310.67291035925484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34.76287541137529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34.76287541137529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-5.6843418860808015E-14</v>
      </c>
      <c r="EK126" s="17">
        <f>EJ126*VLOOKUP('Données projet'!$B$15,Paramètres!$A$1:$I$89,3,0)*VLOOKUP('Données projet'!$B$15,Paramètres!$A$1:$I$89,5,0)</f>
        <v>-5.4978954722173515E-14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276.72865583771579</v>
      </c>
      <c r="EP126" s="59">
        <f t="shared" si="100"/>
        <v>174.3587092851154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61.095598265002252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61.095598265002252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75.230892139360847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4.25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15.583333333333334</v>
      </c>
      <c r="H127" s="67">
        <f t="shared" si="56"/>
        <v>222.56666666666669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341.11752883785607</v>
      </c>
      <c r="T127" s="59">
        <f t="shared" si="88"/>
        <v>423.15445896616234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32.588914224898112</v>
      </c>
      <c r="AA127" s="21">
        <f>EXP(-LN(2)/25)*AA126+(1-EXP(-LN(2)/25))/(LN(2)/25)*Calculateur!V127*Calculateur!X127*VLOOKUP('Données projet'!$B$9,Paramètres!$A$1:$I$89,3,0)*0.475*44/12</f>
        <v>12.350735419436086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44.939649644334196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1.9</v>
      </c>
      <c r="AI127" s="13">
        <f>IF('Données projet'!$A$62&gt;35,AI126+AH127-AQ126,IF(A127&lt;'Données projet'!$A$62,$AF$205^A127,IF(A127='Données projet'!$A$62,'Données projet'!$B$62,AI126+AH127-AQ126)))</f>
        <v>312.6000000000007</v>
      </c>
      <c r="AJ127" s="13">
        <f>AI127*VLOOKUP('Données projet'!$B$10,Paramètres!$A$1:$I$89,3,0)*VLOOKUP('Données projet'!$B$10,Paramètres!$A$1:$I$89,5,0)</f>
        <v>282.84048000000064</v>
      </c>
      <c r="AK127" s="13">
        <f t="shared" si="89"/>
        <v>67.566930879211455</v>
      </c>
      <c r="AL127" s="20">
        <f t="shared" si="58"/>
        <v>610.29290728129433</v>
      </c>
      <c r="AM127" s="59">
        <f t="shared" si="59"/>
        <v>922.96323463032502</v>
      </c>
      <c r="AN127" s="59">
        <f ca="1">AVERAGE(OFFSET($AM$3,0,0,'Données projet'!$E$10+1,1))-AVERAGE(OFFSET($H$3,0,0,'Données projet'!$E$10+1,1))</f>
        <v>521.72266623522626</v>
      </c>
      <c r="AO127" s="59">
        <f t="shared" si="90"/>
        <v>298.49205684341825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32.405072203499635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32.405072203499635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-6.7984728957526396E-14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376.5647919688821</v>
      </c>
      <c r="BJ127" s="59">
        <f t="shared" si="92"/>
        <v>340.34037344565581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61.719975141048415</v>
      </c>
      <c r="BQ127" s="21">
        <f>EXP(-LN(2)/25)*BQ126+(1-EXP(-LN(2)/25))/(LN(2)/25)*Calculateur!BL127*Calculateur!BN127*VLOOKUP('Données projet'!$B$11,Paramètres!$A$1:$I$89,3,0)*0.475*44/12</f>
        <v>20.3978126716802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82.117787812728608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1.7053025658242404E-13</v>
      </c>
      <c r="BZ127" s="13">
        <f>BY127*VLOOKUP('Données projet'!$B$12,Paramètres!$A$1:$I$89,3,0)*VLOOKUP('Données projet'!$B$12,Paramètres!$A$1:$I$89,5,0)</f>
        <v>1.72917680174578E-13</v>
      </c>
      <c r="CA127" s="13">
        <f t="shared" si="93"/>
        <v>2.4372886112056825E-12</v>
      </c>
      <c r="CB127" s="20">
        <f t="shared" si="64"/>
        <v>4.5461092908206203E-12</v>
      </c>
      <c r="CC127" s="59">
        <f t="shared" si="65"/>
        <v>312.67032734903523</v>
      </c>
      <c r="CD127" s="59">
        <f ca="1">AVERAGE(OFFSET($CC$3,0,0,'Données projet'!$E$12+1,1))-AVERAGE(OFFSET($H$3,0,0,'Données projet'!$E$12+1,1))</f>
        <v>473.09076714002885</v>
      </c>
      <c r="CE127" s="59">
        <f t="shared" si="94"/>
        <v>311.6454557566534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114.38560737157619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114.38560737157619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-2.8421709430404007E-14</v>
      </c>
      <c r="CU127" s="17">
        <f>CT127*VLOOKUP('Données projet'!$B$13,Paramètres!$A$1:$I$89,3,0)*VLOOKUP('Données projet'!$B$13,Paramètres!$A$1:$I$89,5,0)</f>
        <v>-2.4829205358400945E-14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379.66247682099424</v>
      </c>
      <c r="CZ127" s="59">
        <f t="shared" si="96"/>
        <v>342.92507939604081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56.723348267846852</v>
      </c>
      <c r="DG127" s="21">
        <f>EXP(-LN(2)/25)*DG126+(1-EXP(-LN(2)/25))/(LN(2)/25)*Calculateur!DB127*Calculateur!DD127*VLOOKUP('Données projet'!$B$13,Paramètres!$A$1:$I$89,3,0)*0.475*44/12</f>
        <v>21.39340554346807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78.116753811314922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1.9</v>
      </c>
      <c r="DO127" s="12">
        <f>IF('Données projet'!$A$166&gt;35,DO126+DN127-DW126,IF(A127&lt;'Données projet'!$A$166,$DL$205^A127,IF(A127='Données projet'!$A$166,'Données projet'!$B$166,DO126+DN127-DW126)))</f>
        <v>312.6000000000007</v>
      </c>
      <c r="DP127" s="17">
        <f>DO127*VLOOKUP('Données projet'!$B$14,Paramètres!$A$1:$I$89,3,0)*VLOOKUP('Données projet'!$B$14,Paramètres!$A$1:$I$89,5,0)</f>
        <v>297.4701600000007</v>
      </c>
      <c r="DQ127" s="13">
        <f t="shared" si="97"/>
        <v>70.645850728245208</v>
      </c>
      <c r="DR127" s="20">
        <f t="shared" si="70"/>
        <v>641.13538535169494</v>
      </c>
      <c r="DS127" s="59">
        <f t="shared" si="71"/>
        <v>953.80571270072562</v>
      </c>
      <c r="DT127" s="59">
        <f ca="1">AVERAGE(OFFSET($DS$3,0,0,'Données projet'!$E$14+1,1))-AVERAGE(OFFSET($H$3,0,0,'Données projet'!$E$14+1,1))</f>
        <v>544.64394576312384</v>
      </c>
      <c r="DU127" s="59">
        <f t="shared" si="98"/>
        <v>310.67291035925484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34.081196627818571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34.081196627818571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-5.6843418860808015E-14</v>
      </c>
      <c r="EK127" s="17">
        <f>EJ127*VLOOKUP('Données projet'!$B$15,Paramètres!$A$1:$I$89,3,0)*VLOOKUP('Données projet'!$B$15,Paramètres!$A$1:$I$89,5,0)</f>
        <v>-5.4978954722173515E-14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276.72865583771579</v>
      </c>
      <c r="EP127" s="59">
        <f t="shared" si="100"/>
        <v>174.3587092851154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59.897550847660924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59.897550847660924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75.273725640644727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4.25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15.583333333333334</v>
      </c>
      <c r="H128" s="67">
        <f t="shared" si="56"/>
        <v>222.56666666666669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341.11752883785607</v>
      </c>
      <c r="T128" s="59">
        <f t="shared" si="88"/>
        <v>423.15445896616234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31.94986549422282</v>
      </c>
      <c r="AA128" s="21">
        <f>EXP(-LN(2)/25)*AA127+(1-EXP(-LN(2)/25))/(LN(2)/25)*Calculateur!V128*Calculateur!X128*VLOOKUP('Données projet'!$B$9,Paramètres!$A$1:$I$89,3,0)*0.475*44/12</f>
        <v>12.013003909894659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43.962869404117477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1.9</v>
      </c>
      <c r="AI128" s="13">
        <f>IF('Données projet'!$A$62&gt;35,AI127+AH128-AQ127,IF(A128&lt;'Données projet'!$A$62,$AF$205^A128,IF(A128='Données projet'!$A$62,'Données projet'!$B$62,AI127+AH128-AQ127)))</f>
        <v>314.50000000000068</v>
      </c>
      <c r="AJ128" s="13">
        <f>AI128*VLOOKUP('Données projet'!$B$10,Paramètres!$A$1:$I$89,3,0)*VLOOKUP('Données projet'!$B$10,Paramètres!$A$1:$I$89,5,0)</f>
        <v>284.55960000000061</v>
      </c>
      <c r="AK128" s="13">
        <f t="shared" si="89"/>
        <v>67.929675697579853</v>
      </c>
      <c r="AL128" s="20">
        <f t="shared" si="58"/>
        <v>613.91882183995267</v>
      </c>
      <c r="AM128" s="59">
        <f t="shared" si="59"/>
        <v>926.74348078690923</v>
      </c>
      <c r="AN128" s="59">
        <f ca="1">AVERAGE(OFFSET($AM$3,0,0,'Données projet'!$E$10+1,1))-AVERAGE(OFFSET($H$3,0,0,'Données projet'!$E$10+1,1))</f>
        <v>521.72266623522626</v>
      </c>
      <c r="AO128" s="59">
        <f t="shared" si="90"/>
        <v>298.49205684341825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31.769628502731408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31.769628502731408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-6.7984728957526396E-14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376.5647919688821</v>
      </c>
      <c r="BJ128" s="59">
        <f t="shared" si="92"/>
        <v>340.34037344565581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60.509684074000113</v>
      </c>
      <c r="BQ128" s="21">
        <f>EXP(-LN(2)/25)*BQ127+(1-EXP(-LN(2)/25))/(LN(2)/25)*Calculateur!BL128*Calculateur!BN128*VLOOKUP('Données projet'!$B$11,Paramètres!$A$1:$I$89,3,0)*0.475*44/12</f>
        <v>19.840033411498755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80.349717485498871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1.7053025658242404E-13</v>
      </c>
      <c r="BZ128" s="13">
        <f>BY128*VLOOKUP('Données projet'!$B$12,Paramètres!$A$1:$I$89,3,0)*VLOOKUP('Données projet'!$B$12,Paramètres!$A$1:$I$89,5,0)</f>
        <v>1.72917680174578E-13</v>
      </c>
      <c r="CA128" s="13">
        <f t="shared" si="93"/>
        <v>2.4372886112056825E-12</v>
      </c>
      <c r="CB128" s="20">
        <f t="shared" si="64"/>
        <v>4.5461092908206203E-12</v>
      </c>
      <c r="CC128" s="59">
        <f t="shared" si="65"/>
        <v>312.82465894696111</v>
      </c>
      <c r="CD128" s="59">
        <f ca="1">AVERAGE(OFFSET($CC$3,0,0,'Données projet'!$E$12+1,1))-AVERAGE(OFFSET($H$3,0,0,'Données projet'!$E$12+1,1))</f>
        <v>473.09076714002885</v>
      </c>
      <c r="CE128" s="59">
        <f t="shared" si="94"/>
        <v>311.6454557566534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112.14257537935102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112.14257537935102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-2.8421709430404007E-14</v>
      </c>
      <c r="CU128" s="17">
        <f>CT128*VLOOKUP('Données projet'!$B$13,Paramètres!$A$1:$I$89,3,0)*VLOOKUP('Données projet'!$B$13,Paramètres!$A$1:$I$89,5,0)</f>
        <v>-2.4829205358400945E-14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379.66247682099424</v>
      </c>
      <c r="CZ128" s="59">
        <f t="shared" si="96"/>
        <v>342.92507939604081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55.611038006140568</v>
      </c>
      <c r="DG128" s="21">
        <f>EXP(-LN(2)/25)*DG127+(1-EXP(-LN(2)/25))/(LN(2)/25)*Calculateur!DB128*Calculateur!DD128*VLOOKUP('Données projet'!$B$13,Paramètres!$A$1:$I$89,3,0)*0.475*44/12</f>
        <v>20.808401743851633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76.419439749992193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1.9</v>
      </c>
      <c r="DO128" s="12">
        <f>IF('Données projet'!$A$166&gt;35,DO127+DN128-DW127,IF(A128&lt;'Données projet'!$A$166,$DL$205^A128,IF(A128='Données projet'!$A$166,'Données projet'!$B$166,DO127+DN128-DW127)))</f>
        <v>314.50000000000068</v>
      </c>
      <c r="DP128" s="17">
        <f>DO128*VLOOKUP('Données projet'!$B$14,Paramètres!$A$1:$I$89,3,0)*VLOOKUP('Données projet'!$B$14,Paramètres!$A$1:$I$89,5,0)</f>
        <v>299.27820000000065</v>
      </c>
      <c r="DQ128" s="13">
        <f t="shared" si="97"/>
        <v>71.025125263249848</v>
      </c>
      <c r="DR128" s="20">
        <f t="shared" si="70"/>
        <v>644.94495816682786</v>
      </c>
      <c r="DS128" s="59">
        <f t="shared" si="71"/>
        <v>957.76961711378442</v>
      </c>
      <c r="DT128" s="59">
        <f ca="1">AVERAGE(OFFSET($DS$3,0,0,'Données projet'!$E$14+1,1))-AVERAGE(OFFSET($H$3,0,0,'Données projet'!$E$14+1,1))</f>
        <v>544.64394576312384</v>
      </c>
      <c r="DU128" s="59">
        <f t="shared" si="98"/>
        <v>310.67291035925484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33.412885149424397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33.412885149424397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-5.6843418860808015E-14</v>
      </c>
      <c r="EK128" s="17">
        <f>EJ128*VLOOKUP('Données projet'!$B$15,Paramètres!$A$1:$I$89,3,0)*VLOOKUP('Données projet'!$B$15,Paramètres!$A$1:$I$89,5,0)</f>
        <v>-5.4978954722173515E-14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276.72865583771579</v>
      </c>
      <c r="EP128" s="59">
        <f t="shared" si="100"/>
        <v>174.3587092851154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58.722996409436888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58.722996409436888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75.315816076442701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4.25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15.583333333333334</v>
      </c>
      <c r="H129" s="67">
        <f t="shared" si="56"/>
        <v>222.56666666666669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341.11752883785607</v>
      </c>
      <c r="T129" s="59">
        <f t="shared" si="88"/>
        <v>423.15445896616234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31.323348119374831</v>
      </c>
      <c r="AA129" s="21">
        <f>EXP(-LN(2)/25)*AA128+(1-EXP(-LN(2)/25))/(LN(2)/25)*Calculateur!V129*Calculateur!X129*VLOOKUP('Données projet'!$B$9,Paramètres!$A$1:$I$89,3,0)*0.475*44/12</f>
        <v>11.684507686242169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43.007855805616998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1.9</v>
      </c>
      <c r="AI129" s="13">
        <f>IF('Données projet'!$A$62&gt;35,AI128+AH129-AQ128,IF(A129&lt;'Données projet'!$A$62,$AF$205^A129,IF(A129='Données projet'!$A$62,'Données projet'!$B$62,AI128+AH129-AQ128)))</f>
        <v>316.40000000000066</v>
      </c>
      <c r="AJ129" s="13">
        <f>AI129*VLOOKUP('Données projet'!$B$10,Paramètres!$A$1:$I$89,3,0)*VLOOKUP('Données projet'!$B$10,Paramètres!$A$1:$I$89,5,0)</f>
        <v>286.27872000000059</v>
      </c>
      <c r="AK129" s="13">
        <f t="shared" si="89"/>
        <v>68.292165517667669</v>
      </c>
      <c r="AL129" s="20">
        <f t="shared" si="58"/>
        <v>617.54429227660546</v>
      </c>
      <c r="AM129" s="59">
        <f t="shared" si="59"/>
        <v>930.5206055132976</v>
      </c>
      <c r="AN129" s="59">
        <f ca="1">AVERAGE(OFFSET($AM$3,0,0,'Données projet'!$E$10+1,1))-AVERAGE(OFFSET($H$3,0,0,'Données projet'!$E$10+1,1))</f>
        <v>521.72266623522626</v>
      </c>
      <c r="AO129" s="59">
        <f t="shared" si="90"/>
        <v>298.49205684341825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31.146645465352858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31.146645465352858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-6.7984728957526396E-14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376.5647919688821</v>
      </c>
      <c r="BJ129" s="59">
        <f t="shared" si="92"/>
        <v>340.34037344565581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59.323126076571967</v>
      </c>
      <c r="BQ129" s="21">
        <f>EXP(-LN(2)/25)*BQ128+(1-EXP(-LN(2)/25))/(LN(2)/25)*Calculateur!BL129*Calculateur!BN129*VLOOKUP('Données projet'!$B$11,Paramètres!$A$1:$I$89,3,0)*0.475*44/12</f>
        <v>19.29750665451931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78.620632731091277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1.7053025658242404E-13</v>
      </c>
      <c r="BZ129" s="13">
        <f>BY129*VLOOKUP('Données projet'!$B$12,Paramètres!$A$1:$I$89,3,0)*VLOOKUP('Données projet'!$B$12,Paramètres!$A$1:$I$89,5,0)</f>
        <v>1.72917680174578E-13</v>
      </c>
      <c r="CA129" s="13">
        <f t="shared" si="93"/>
        <v>2.4372886112056825E-12</v>
      </c>
      <c r="CB129" s="20">
        <f t="shared" si="64"/>
        <v>4.5461092908206203E-12</v>
      </c>
      <c r="CC129" s="59">
        <f t="shared" si="65"/>
        <v>312.97631323669674</v>
      </c>
      <c r="CD129" s="59">
        <f ca="1">AVERAGE(OFFSET($CC$3,0,0,'Données projet'!$E$12+1,1))-AVERAGE(OFFSET($H$3,0,0,'Données projet'!$E$12+1,1))</f>
        <v>473.09076714002885</v>
      </c>
      <c r="CE129" s="59">
        <f t="shared" si="94"/>
        <v>311.6454557566534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109.94352787637897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109.94352787637897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-2.8421709430404007E-14</v>
      </c>
      <c r="CU129" s="17">
        <f>CT129*VLOOKUP('Données projet'!$B$13,Paramètres!$A$1:$I$89,3,0)*VLOOKUP('Données projet'!$B$13,Paramètres!$A$1:$I$89,5,0)</f>
        <v>-2.4829205358400945E-14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379.66247682099424</v>
      </c>
      <c r="CZ129" s="59">
        <f t="shared" si="96"/>
        <v>342.92507939604081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54.520539470224072</v>
      </c>
      <c r="DG129" s="21">
        <f>EXP(-LN(2)/25)*DG128+(1-EXP(-LN(2)/25))/(LN(2)/25)*Calculateur!DB129*Calculateur!DD129*VLOOKUP('Données projet'!$B$13,Paramètres!$A$1:$I$89,3,0)*0.475*44/12</f>
        <v>20.239394903899722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74.759934374123787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1.9</v>
      </c>
      <c r="DO129" s="12">
        <f>IF('Données projet'!$A$166&gt;35,DO128+DN129-DW128,IF(A129&lt;'Données projet'!$A$166,$DL$205^A129,IF(A129='Données projet'!$A$166,'Données projet'!$B$166,DO128+DN129-DW128)))</f>
        <v>316.40000000000066</v>
      </c>
      <c r="DP129" s="17">
        <f>DO129*VLOOKUP('Données projet'!$B$14,Paramètres!$A$1:$I$89,3,0)*VLOOKUP('Données projet'!$B$14,Paramètres!$A$1:$I$89,5,0)</f>
        <v>301.0862400000006</v>
      </c>
      <c r="DQ129" s="13">
        <f t="shared" si="97"/>
        <v>71.404133180099237</v>
      </c>
      <c r="DR129" s="20">
        <f t="shared" si="70"/>
        <v>648.75406662200714</v>
      </c>
      <c r="DS129" s="59">
        <f t="shared" si="71"/>
        <v>961.73037985869928</v>
      </c>
      <c r="DT129" s="59">
        <f ca="1">AVERAGE(OFFSET($DS$3,0,0,'Données projet'!$E$14+1,1))-AVERAGE(OFFSET($H$3,0,0,'Données projet'!$E$14+1,1))</f>
        <v>544.64394576312384</v>
      </c>
      <c r="DU129" s="59">
        <f t="shared" si="98"/>
        <v>310.67291035925484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32.757678851491782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32.757678851491782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-5.6843418860808015E-14</v>
      </c>
      <c r="EK129" s="17">
        <f>EJ129*VLOOKUP('Données projet'!$B$15,Paramètres!$A$1:$I$89,3,0)*VLOOKUP('Données projet'!$B$15,Paramètres!$A$1:$I$89,5,0)</f>
        <v>-5.4978954722173515E-14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276.72865583771579</v>
      </c>
      <c r="EP129" s="59">
        <f t="shared" si="100"/>
        <v>174.3587092851154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57.571474267338957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57.571474267338957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75.357176337279682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4.25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15.583333333333334</v>
      </c>
      <c r="H130" s="67">
        <f t="shared" si="56"/>
        <v>222.56666666666669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341.11752883785607</v>
      </c>
      <c r="T130" s="59">
        <f t="shared" si="88"/>
        <v>423.15445896616234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30.709116368109747</v>
      </c>
      <c r="AA130" s="21">
        <f>EXP(-LN(2)/25)*AA129+(1-EXP(-LN(2)/25))/(LN(2)/25)*Calculateur!V130*Calculateur!X130*VLOOKUP('Données projet'!$B$9,Paramètres!$A$1:$I$89,3,0)*0.475*44/12</f>
        <v>11.364994209100322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42.074110577210071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1.9</v>
      </c>
      <c r="AI130" s="13">
        <f>IF('Données projet'!$A$62&gt;35,AI129+AH130-AQ129,IF(A130&lt;'Données projet'!$A$62,$AF$205^A130,IF(A130='Données projet'!$A$62,'Données projet'!$B$62,AI129+AH130-AQ129)))</f>
        <v>318.30000000000064</v>
      </c>
      <c r="AJ130" s="13">
        <f>AI130*VLOOKUP('Données projet'!$B$10,Paramètres!$A$1:$I$89,3,0)*VLOOKUP('Données projet'!$B$10,Paramètres!$A$1:$I$89,5,0)</f>
        <v>287.99784000000056</v>
      </c>
      <c r="AK130" s="13">
        <f t="shared" si="89"/>
        <v>68.654402048418348</v>
      </c>
      <c r="AL130" s="20">
        <f t="shared" si="58"/>
        <v>621.16932156766291</v>
      </c>
      <c r="AM130" s="59">
        <f t="shared" si="59"/>
        <v>934.294658231212</v>
      </c>
      <c r="AN130" s="59">
        <f ca="1">AVERAGE(OFFSET($AM$3,0,0,'Données projet'!$E$10+1,1))-AVERAGE(OFFSET($H$3,0,0,'Données projet'!$E$10+1,1))</f>
        <v>521.72266623522626</v>
      </c>
      <c r="AO130" s="59">
        <f t="shared" si="90"/>
        <v>298.49205684341825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30.535878745355166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30.535878745355166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-6.7984728957526396E-14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376.5647919688821</v>
      </c>
      <c r="BJ130" s="59">
        <f t="shared" si="92"/>
        <v>340.34037344565581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58.159835757744467</v>
      </c>
      <c r="BQ130" s="21">
        <f>EXP(-LN(2)/25)*BQ129+(1-EXP(-LN(2)/25))/(LN(2)/25)*Calculateur!BL130*Calculateur!BN130*VLOOKUP('Données projet'!$B$11,Paramètres!$A$1:$I$89,3,0)*0.475*44/12</f>
        <v>18.769815320239708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76.929651077984175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1.7053025658242404E-13</v>
      </c>
      <c r="BZ130" s="13">
        <f>BY130*VLOOKUP('Données projet'!$B$12,Paramètres!$A$1:$I$89,3,0)*VLOOKUP('Données projet'!$B$12,Paramètres!$A$1:$I$89,5,0)</f>
        <v>1.72917680174578E-13</v>
      </c>
      <c r="CA130" s="13">
        <f t="shared" si="93"/>
        <v>2.4372886112056825E-12</v>
      </c>
      <c r="CB130" s="20">
        <f t="shared" si="64"/>
        <v>4.5461092908206203E-12</v>
      </c>
      <c r="CC130" s="59">
        <f t="shared" si="65"/>
        <v>313.12533666355364</v>
      </c>
      <c r="CD130" s="59">
        <f ca="1">AVERAGE(OFFSET($CC$3,0,0,'Données projet'!$E$12+1,1))-AVERAGE(OFFSET($H$3,0,0,'Données projet'!$E$12+1,1))</f>
        <v>473.09076714002885</v>
      </c>
      <c r="CE130" s="59">
        <f t="shared" si="94"/>
        <v>311.6454557566534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107.78760235365365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107.78760235365365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-2.8421709430404007E-14</v>
      </c>
      <c r="CU130" s="17">
        <f>CT130*VLOOKUP('Données projet'!$B$13,Paramètres!$A$1:$I$89,3,0)*VLOOKUP('Données projet'!$B$13,Paramètres!$A$1:$I$89,5,0)</f>
        <v>-2.4829205358400945E-14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379.66247682099424</v>
      </c>
      <c r="CZ130" s="59">
        <f t="shared" si="96"/>
        <v>342.92507939604081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53.45142494545847</v>
      </c>
      <c r="DG130" s="21">
        <f>EXP(-LN(2)/25)*DG129+(1-EXP(-LN(2)/25))/(LN(2)/25)*Calculateur!DB130*Calculateur!DD130*VLOOKUP('Données projet'!$B$13,Paramètres!$A$1:$I$89,3,0)*0.475*44/12</f>
        <v>19.685947585909062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73.137372531367532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1.9</v>
      </c>
      <c r="DO130" s="12">
        <f>IF('Données projet'!$A$166&gt;35,DO129+DN130-DW129,IF(A130&lt;'Données projet'!$A$166,$DL$205^A130,IF(A130='Données projet'!$A$166,'Données projet'!$B$166,DO129+DN130-DW129)))</f>
        <v>318.30000000000064</v>
      </c>
      <c r="DP130" s="17">
        <f>DO130*VLOOKUP('Données projet'!$B$14,Paramètres!$A$1:$I$89,3,0)*VLOOKUP('Données projet'!$B$14,Paramètres!$A$1:$I$89,5,0)</f>
        <v>302.89428000000061</v>
      </c>
      <c r="DQ130" s="13">
        <f t="shared" si="97"/>
        <v>71.782876265610525</v>
      </c>
      <c r="DR130" s="20">
        <f t="shared" si="70"/>
        <v>652.56271382927264</v>
      </c>
      <c r="DS130" s="59">
        <f t="shared" si="71"/>
        <v>965.68805049282173</v>
      </c>
      <c r="DT130" s="59">
        <f ca="1">AVERAGE(OFFSET($DS$3,0,0,'Données projet'!$E$14+1,1))-AVERAGE(OFFSET($H$3,0,0,'Données projet'!$E$14+1,1))</f>
        <v>544.64394576312384</v>
      </c>
      <c r="DU130" s="59">
        <f t="shared" si="98"/>
        <v>310.67291035925484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32.115320749425244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32.115320749425244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-5.6843418860808015E-14</v>
      </c>
      <c r="EK130" s="17">
        <f>EJ130*VLOOKUP('Données projet'!$B$15,Paramètres!$A$1:$I$89,3,0)*VLOOKUP('Données projet'!$B$15,Paramètres!$A$1:$I$89,5,0)</f>
        <v>-5.4978954722173515E-14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276.72865583771579</v>
      </c>
      <c r="EP130" s="59">
        <f t="shared" si="100"/>
        <v>174.3587092851154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56.442532772088413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56.442532772088413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75.397819090058846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4.25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15.583333333333334</v>
      </c>
      <c r="H131" s="67">
        <f t="shared" si="56"/>
        <v>222.56666666666669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341.11752883785607</v>
      </c>
      <c r="T131" s="59">
        <f t="shared" si="88"/>
        <v>423.15445896616234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30.106929326842597</v>
      </c>
      <c r="AA131" s="21">
        <f>EXP(-LN(2)/25)*AA130+(1-EXP(-LN(2)/25))/(LN(2)/25)*Calculateur!V131*Calculateur!X131*VLOOKUP('Données projet'!$B$9,Paramètres!$A$1:$I$89,3,0)*0.475*44/12</f>
        <v>11.054217844793403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41.161147171636003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1.9</v>
      </c>
      <c r="AI131" s="13">
        <f>IF('Données projet'!$A$62&gt;35,AI130+AH131-AQ130,IF(A131&lt;'Données projet'!$A$62,$AF$205^A131,IF(A131='Données projet'!$A$62,'Données projet'!$B$62,AI130+AH131-AQ130)))</f>
        <v>320.20000000000061</v>
      </c>
      <c r="AJ131" s="13">
        <f>AI131*VLOOKUP('Données projet'!$B$10,Paramètres!$A$1:$I$89,3,0)*VLOOKUP('Données projet'!$B$10,Paramètres!$A$1:$I$89,5,0)</f>
        <v>289.71696000000054</v>
      </c>
      <c r="AK131" s="13">
        <f t="shared" si="89"/>
        <v>69.016386977192653</v>
      </c>
      <c r="AL131" s="20">
        <f t="shared" si="58"/>
        <v>624.79391265194488</v>
      </c>
      <c r="AM131" s="59">
        <f t="shared" si="59"/>
        <v>938.06568751906138</v>
      </c>
      <c r="AN131" s="59">
        <f ca="1">AVERAGE(OFFSET($AM$3,0,0,'Données projet'!$E$10+1,1))-AVERAGE(OFFSET($H$3,0,0,'Données projet'!$E$10+1,1))</f>
        <v>521.72266623522626</v>
      </c>
      <c r="AO131" s="59">
        <f t="shared" si="90"/>
        <v>298.49205684341825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29.937088788205717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29.937088788205717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-6.7984728957526396E-14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376.5647919688821</v>
      </c>
      <c r="BJ131" s="59">
        <f t="shared" si="92"/>
        <v>340.34037344565581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57.019356852532141</v>
      </c>
      <c r="BQ131" s="21">
        <f>EXP(-LN(2)/25)*BQ130+(1-EXP(-LN(2)/25))/(LN(2)/25)*Calculateur!BL131*Calculateur!BN131*VLOOKUP('Données projet'!$B$11,Paramètres!$A$1:$I$89,3,0)*0.475*44/12</f>
        <v>18.256553733246065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75.275910585778206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1.7053025658242404E-13</v>
      </c>
      <c r="BZ131" s="13">
        <f>BY131*VLOOKUP('Données projet'!$B$12,Paramètres!$A$1:$I$89,3,0)*VLOOKUP('Données projet'!$B$12,Paramètres!$A$1:$I$89,5,0)</f>
        <v>1.72917680174578E-13</v>
      </c>
      <c r="CA131" s="13">
        <f t="shared" si="93"/>
        <v>2.4372886112056825E-12</v>
      </c>
      <c r="CB131" s="20">
        <f t="shared" si="64"/>
        <v>4.5461092908206203E-12</v>
      </c>
      <c r="CC131" s="59">
        <f t="shared" si="65"/>
        <v>313.27177486712111</v>
      </c>
      <c r="CD131" s="59">
        <f ca="1">AVERAGE(OFFSET($CC$3,0,0,'Données projet'!$E$12+1,1))-AVERAGE(OFFSET($H$3,0,0,'Données projet'!$E$12+1,1))</f>
        <v>473.09076714002885</v>
      </c>
      <c r="CE131" s="59">
        <f t="shared" si="94"/>
        <v>311.6454557566534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105.67395321544427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105.67395321544427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-2.8421709430404007E-14</v>
      </c>
      <c r="CU131" s="17">
        <f>CT131*VLOOKUP('Données projet'!$B$13,Paramètres!$A$1:$I$89,3,0)*VLOOKUP('Données projet'!$B$13,Paramètres!$A$1:$I$89,5,0)</f>
        <v>-2.4829205358400945E-14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379.66247682099424</v>
      </c>
      <c r="CZ131" s="59">
        <f t="shared" si="96"/>
        <v>342.92507939604081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52.403275104428054</v>
      </c>
      <c r="DG131" s="21">
        <f>EXP(-LN(2)/25)*DG130+(1-EXP(-LN(2)/25))/(LN(2)/25)*Calculateur!DB131*Calculateur!DD131*VLOOKUP('Données projet'!$B$13,Paramètres!$A$1:$I$89,3,0)*0.475*44/12</f>
        <v>19.147634313933388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71.550909418361442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1.9</v>
      </c>
      <c r="DO131" s="12">
        <f>IF('Données projet'!$A$166&gt;35,DO130+DN131-DW130,IF(A131&lt;'Données projet'!$A$166,$DL$205^A131,IF(A131='Données projet'!$A$166,'Données projet'!$B$166,DO130+DN131-DW130)))</f>
        <v>320.20000000000061</v>
      </c>
      <c r="DP131" s="17">
        <f>DO131*VLOOKUP('Données projet'!$B$14,Paramètres!$A$1:$I$89,3,0)*VLOOKUP('Données projet'!$B$14,Paramètres!$A$1:$I$89,5,0)</f>
        <v>304.70232000000061</v>
      </c>
      <c r="DQ131" s="13">
        <f t="shared" si="97"/>
        <v>72.161356284035222</v>
      </c>
      <c r="DR131" s="20">
        <f t="shared" si="70"/>
        <v>656.37090286136242</v>
      </c>
      <c r="DS131" s="59">
        <f t="shared" si="71"/>
        <v>969.64267772847893</v>
      </c>
      <c r="DT131" s="59">
        <f ca="1">AVERAGE(OFFSET($DS$3,0,0,'Données projet'!$E$14+1,1))-AVERAGE(OFFSET($H$3,0,0,'Données projet'!$E$14+1,1))</f>
        <v>544.64394576312384</v>
      </c>
      <c r="DU131" s="59">
        <f t="shared" si="98"/>
        <v>310.67291035925484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31.485558897940479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31.485558897940479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-5.6843418860808015E-14</v>
      </c>
      <c r="EK131" s="17">
        <f>EJ131*VLOOKUP('Données projet'!$B$15,Paramètres!$A$1:$I$89,3,0)*VLOOKUP('Données projet'!$B$15,Paramètres!$A$1:$I$89,5,0)</f>
        <v>-5.4978954722173515E-14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276.72865583771579</v>
      </c>
      <c r="EP131" s="59">
        <f t="shared" si="100"/>
        <v>174.3587092851154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55.335729130973412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55.335729130973412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75.437756781940877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4.25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15.583333333333334</v>
      </c>
      <c r="H132" s="67">
        <f t="shared" ref="H132:H195" si="110">(B132+E132+F132)*44/12+(C132+D132)*0.475*44/12</f>
        <v>222.56666666666669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341.11752883785607</v>
      </c>
      <c r="T132" s="59">
        <f t="shared" si="88"/>
        <v>423.15445896616234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29.516550806156864</v>
      </c>
      <c r="AA132" s="21">
        <f>EXP(-LN(2)/25)*AA131+(1-EXP(-LN(2)/25))/(LN(2)/25)*Calculateur!V132*Calculateur!X132*VLOOKUP('Données projet'!$B$9,Paramètres!$A$1:$I$89,3,0)*0.475*44/12</f>
        <v>10.751939676511476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40.268490482668341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1.9</v>
      </c>
      <c r="AI132" s="13">
        <f>IF('Données projet'!$A$62&gt;35,AI131+AH132-AQ131,IF(A132&lt;'Données projet'!$A$62,$AF$205^A132,IF(A132='Données projet'!$A$62,'Données projet'!$B$62,AI131+AH132-AQ131)))</f>
        <v>322.10000000000059</v>
      </c>
      <c r="AJ132" s="13">
        <f>AI132*VLOOKUP('Données projet'!$B$10,Paramètres!$A$1:$I$89,3,0)*VLOOKUP('Données projet'!$B$10,Paramètres!$A$1:$I$89,5,0)</f>
        <v>291.43608000000052</v>
      </c>
      <c r="AK132" s="13">
        <f t="shared" si="89"/>
        <v>69.378121970168266</v>
      </c>
      <c r="AL132" s="20">
        <f t="shared" ref="AL132:AL153" si="112">(AJ132+AK132)*0.475*44/12</f>
        <v>628.41806843137726</v>
      </c>
      <c r="AM132" s="59">
        <f t="shared" ref="AM132:AM195" si="113">AL132+(AD132+AE132)*44/12</f>
        <v>941.83374112661613</v>
      </c>
      <c r="AN132" s="59">
        <f ca="1">AVERAGE(OFFSET($AM$3,0,0,'Données projet'!$E$10+1,1))-AVERAGE(OFFSET($H$3,0,0,'Données projet'!$E$10+1,1))</f>
        <v>521.72266623522626</v>
      </c>
      <c r="AO132" s="59">
        <f t="shared" si="90"/>
        <v>298.49205684341825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29.350040736890158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29.350040736890158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-6.7984728957526396E-14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376.5647919688821</v>
      </c>
      <c r="BJ132" s="59">
        <f t="shared" si="92"/>
        <v>340.34037344565581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55.901242043027587</v>
      </c>
      <c r="BQ132" s="21">
        <f>EXP(-LN(2)/25)*BQ131+(1-EXP(-LN(2)/25))/(LN(2)/25)*Calculateur!BL132*Calculateur!BN132*VLOOKUP('Données projet'!$B$11,Paramètres!$A$1:$I$89,3,0)*0.475*44/12</f>
        <v>17.757327311340017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73.6585693543676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1.7053025658242404E-13</v>
      </c>
      <c r="BZ132" s="13">
        <f>BY132*VLOOKUP('Données projet'!$B$12,Paramètres!$A$1:$I$89,3,0)*VLOOKUP('Données projet'!$B$12,Paramètres!$A$1:$I$89,5,0)</f>
        <v>1.72917680174578E-13</v>
      </c>
      <c r="CA132" s="13">
        <f t="shared" si="93"/>
        <v>2.4372886112056825E-12</v>
      </c>
      <c r="CB132" s="20">
        <f t="shared" ref="CB132:CB153" si="118">(BZ132+CA132)*0.475*44/12</f>
        <v>4.5461092908206203E-12</v>
      </c>
      <c r="CC132" s="59">
        <f t="shared" ref="CC132:CC195" si="119">CB132+(BT132+BU132)*44/12</f>
        <v>313.41567269524347</v>
      </c>
      <c r="CD132" s="59">
        <f ca="1">AVERAGE(OFFSET($CC$3,0,0,'Données projet'!$E$12+1,1))-AVERAGE(OFFSET($H$3,0,0,'Données projet'!$E$12+1,1))</f>
        <v>473.09076714002885</v>
      </c>
      <c r="CE132" s="59">
        <f t="shared" si="94"/>
        <v>311.6454557566534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103.60175144763649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103.60175144763649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-2.8421709430404007E-14</v>
      </c>
      <c r="CU132" s="17">
        <f>CT132*VLOOKUP('Données projet'!$B$13,Paramètres!$A$1:$I$89,3,0)*VLOOKUP('Données projet'!$B$13,Paramètres!$A$1:$I$89,5,0)</f>
        <v>-2.4829205358400945E-14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379.66247682099424</v>
      </c>
      <c r="CZ132" s="59">
        <f t="shared" si="96"/>
        <v>342.92507939604081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51.375678842471963</v>
      </c>
      <c r="DG132" s="21">
        <f>EXP(-LN(2)/25)*DG131+(1-EXP(-LN(2)/25))/(LN(2)/25)*Calculateur!DB132*Calculateur!DD132*VLOOKUP('Données projet'!$B$13,Paramètres!$A$1:$I$89,3,0)*0.475*44/12</f>
        <v>18.624041246688552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69.999720089160519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1.9</v>
      </c>
      <c r="DO132" s="12">
        <f>IF('Données projet'!$A$166&gt;35,DO131+DN132-DW131,IF(A132&lt;'Données projet'!$A$166,$DL$205^A132,IF(A132='Données projet'!$A$166,'Données projet'!$B$166,DO131+DN132-DW131)))</f>
        <v>322.10000000000059</v>
      </c>
      <c r="DP132" s="17">
        <f>DO132*VLOOKUP('Données projet'!$B$14,Paramètres!$A$1:$I$89,3,0)*VLOOKUP('Données projet'!$B$14,Paramètres!$A$1:$I$89,5,0)</f>
        <v>306.51036000000056</v>
      </c>
      <c r="DQ132" s="13">
        <f t="shared" si="97"/>
        <v>72.539574977476121</v>
      </c>
      <c r="DR132" s="20">
        <f t="shared" ref="DR132:DR153" si="124">(DP132+DQ132)*0.475*44/12</f>
        <v>660.17863675243859</v>
      </c>
      <c r="DS132" s="59">
        <f t="shared" ref="DS132:DS195" si="125">DR132+(DJ132+DK132)*44/12</f>
        <v>973.59430944767746</v>
      </c>
      <c r="DT132" s="59">
        <f ca="1">AVERAGE(OFFSET($DS$3,0,0,'Données projet'!$E$14+1,1))-AVERAGE(OFFSET($H$3,0,0,'Données projet'!$E$14+1,1))</f>
        <v>544.64394576312384</v>
      </c>
      <c r="DU132" s="59">
        <f t="shared" si="98"/>
        <v>310.67291035925484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30.868146292246529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30.868146292246529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-5.6843418860808015E-14</v>
      </c>
      <c r="EK132" s="17">
        <f>EJ132*VLOOKUP('Données projet'!$B$15,Paramètres!$A$1:$I$89,3,0)*VLOOKUP('Données projet'!$B$15,Paramètres!$A$1:$I$89,5,0)</f>
        <v>-5.4978954722173515E-14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276.72865583771579</v>
      </c>
      <c r="EP132" s="59">
        <f t="shared" si="100"/>
        <v>174.3587092851154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54.250629234177111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54.250629234177111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75.477001644156061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4.25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15.583333333333334</v>
      </c>
      <c r="H133" s="67">
        <f t="shared" si="110"/>
        <v>222.56666666666669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341.11752883785607</v>
      </c>
      <c r="T133" s="59">
        <f t="shared" ref="T133:T196" si="142">$T$3</f>
        <v>423.15445896616234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28.93774924816644</v>
      </c>
      <c r="AA133" s="21">
        <f>EXP(-LN(2)/25)*AA132+(1-EXP(-LN(2)/25))/(LN(2)/25)*Calculateur!V133*Calculateur!X133*VLOOKUP('Données projet'!$B$9,Paramètres!$A$1:$I$89,3,0)*0.475*44/12</f>
        <v>10.457927320637337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39.395676568803779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324</v>
      </c>
      <c r="AG133" s="12">
        <f>VLOOKUP(A133,'Données projet'!$A$61:$I$81,9,0)</f>
        <v>1.9</v>
      </c>
      <c r="AH133" s="12">
        <f t="array" ref="AH133">INDEX(AG:AG,MIN(IF(ISNUMBER(AG133:AG329),ROW(AG133:AG329),"")))</f>
        <v>1.9</v>
      </c>
      <c r="AI133" s="13">
        <f>IF('Données projet'!$A$62&gt;35,AI132+AH133-AQ132,IF(A133&lt;'Données projet'!$A$62,$AF$205^A133,IF(A133='Données projet'!$A$62,'Données projet'!$B$62,AI132+AH133-AQ132)))</f>
        <v>324.00000000000057</v>
      </c>
      <c r="AJ133" s="13">
        <f>AI133*VLOOKUP('Données projet'!$B$10,Paramètres!$A$1:$I$89,3,0)*VLOOKUP('Données projet'!$B$10,Paramètres!$A$1:$I$89,5,0)</f>
        <v>293.15520000000055</v>
      </c>
      <c r="AK133" s="13">
        <f t="shared" ref="AK133:AK153" si="143">EXP(-1.0587+0.8836*LN(AJ133)+0.284)</f>
        <v>69.739608672728735</v>
      </c>
      <c r="AL133" s="20">
        <f t="shared" si="112"/>
        <v>632.04179177167009</v>
      </c>
      <c r="AM133" s="59">
        <f t="shared" si="113"/>
        <v>945.5988659894208</v>
      </c>
      <c r="AN133" s="59">
        <f ca="1">AVERAGE(OFFSET($AM$3,0,0,'Données projet'!$E$10+1,1))-AVERAGE(OFFSET($H$3,0,0,'Données projet'!$E$10+1,1))</f>
        <v>521.72266623522626</v>
      </c>
      <c r="AO133" s="59">
        <f t="shared" ref="AO133:AO196" si="144">$AO$3</f>
        <v>298.49205684341825</v>
      </c>
      <c r="AP133" s="15">
        <f>IF(ISNA(VLOOKUP(A133,'Données projet'!$A$61:$I$81,3,0)),0,VLOOKUP(A133,'Données projet'!$A$61:$I$81,3,0))</f>
        <v>18</v>
      </c>
      <c r="AQ133" s="15">
        <f>IF(ISNA(VLOOKUP(A133,'Données projet'!$A$61:$I$81,4,0)),0,VLOOKUP(A133,'Données projet'!$A$61:$I$81,4,0))</f>
        <v>22</v>
      </c>
      <c r="AR133" s="16">
        <f>IF(ISNA(VLOOKUP(A133,'Données projet'!$A$61:$I$81,5,0)),0%,VLOOKUP(A133,'Données projet'!$A$61:$I$81,5,0)*VLOOKUP('Données projet'!$B$10,Paramètres!$A$1:$I$89,7,0))</f>
        <v>0.25800000000000001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34.451807545999358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34.451807545999358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-6.7984728957526396E-14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376.5647919688821</v>
      </c>
      <c r="BJ133" s="59">
        <f t="shared" ref="BJ133:BJ196" si="146">$BJ$3</f>
        <v>340.34037344565581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54.805052782954725</v>
      </c>
      <c r="BQ133" s="21">
        <f>EXP(-LN(2)/25)*BQ132+(1-EXP(-LN(2)/25))/(LN(2)/25)*Calculateur!BL133*Calculateur!BN133*VLOOKUP('Données projet'!$B$11,Paramètres!$A$1:$I$89,3,0)*0.475*44/12</f>
        <v>17.271752262194166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72.076805045148888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1.7053025658242404E-13</v>
      </c>
      <c r="BZ133" s="13">
        <f>BY133*VLOOKUP('Données projet'!$B$12,Paramètres!$A$1:$I$89,3,0)*VLOOKUP('Données projet'!$B$12,Paramètres!$A$1:$I$89,5,0)</f>
        <v>1.72917680174578E-13</v>
      </c>
      <c r="CA133" s="13">
        <f t="shared" ref="CA133:CA153" si="147">EXP(-1.0587+0.8836*LN(BZ133)+0.284)</f>
        <v>2.4372886112056825E-12</v>
      </c>
      <c r="CB133" s="20">
        <f t="shared" si="118"/>
        <v>4.5461092908206203E-12</v>
      </c>
      <c r="CC133" s="59">
        <f t="shared" si="119"/>
        <v>313.5570742177552</v>
      </c>
      <c r="CD133" s="59">
        <f ca="1">AVERAGE(OFFSET($CC$3,0,0,'Données projet'!$E$12+1,1))-AVERAGE(OFFSET($H$3,0,0,'Données projet'!$E$12+1,1))</f>
        <v>473.09076714002885</v>
      </c>
      <c r="CE133" s="59">
        <f t="shared" ref="CE133:CE196" si="148">$CE$3</f>
        <v>311.6454557566534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101.57018429257714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101.57018429257714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-2.8421709430404007E-14</v>
      </c>
      <c r="CU133" s="17">
        <f>CT133*VLOOKUP('Données projet'!$B$13,Paramètres!$A$1:$I$89,3,0)*VLOOKUP('Données projet'!$B$13,Paramètres!$A$1:$I$89,5,0)</f>
        <v>-2.4829205358400945E-14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379.66247682099424</v>
      </c>
      <c r="CZ133" s="59">
        <f t="shared" ref="CZ133:CZ196" si="150">$CZ$3</f>
        <v>342.92507939604081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50.368233116441004</v>
      </c>
      <c r="DG133" s="21">
        <f>EXP(-LN(2)/25)*DG132+(1-EXP(-LN(2)/25))/(LN(2)/25)*Calculateur!DB133*Calculateur!DD133*VLOOKUP('Données projet'!$B$13,Paramètres!$A$1:$I$89,3,0)*0.475*44/12</f>
        <v>18.114765859402091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68.482998975843088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projet'!$A$165:$I$185,2,0)</f>
        <v>324</v>
      </c>
      <c r="DM133" s="12">
        <f>VLOOKUP(A133,'Données projet'!$A$165:$I$185,9,0)</f>
        <v>1.9</v>
      </c>
      <c r="DN133" s="12">
        <f t="array" ref="DN133">INDEX(DM:DM,MIN(IF(ISNUMBER(DM133:DM329),ROW(DM133:DM329),"")))</f>
        <v>1.9</v>
      </c>
      <c r="DO133" s="12">
        <f>IF('Données projet'!$A$166&gt;35,DO132+DN133-DW132,IF(A133&lt;'Données projet'!$A$166,$DL$205^A133,IF(A133='Données projet'!$A$166,'Données projet'!$B$166,DO132+DN133-DW132)))</f>
        <v>324.00000000000057</v>
      </c>
      <c r="DP133" s="17">
        <f>DO133*VLOOKUP('Données projet'!$B$14,Paramètres!$A$1:$I$89,3,0)*VLOOKUP('Données projet'!$B$14,Paramètres!$A$1:$I$89,5,0)</f>
        <v>308.31840000000057</v>
      </c>
      <c r="DQ133" s="13">
        <f t="shared" ref="DQ133:DQ153" si="151">EXP(-1.0587+0.8836*LN(DP133)+0.284)</f>
        <v>72.91753406629401</v>
      </c>
      <c r="DR133" s="20">
        <f t="shared" si="124"/>
        <v>663.98591849879631</v>
      </c>
      <c r="DS133" s="59">
        <f t="shared" si="125"/>
        <v>977.54299271654691</v>
      </c>
      <c r="DT133" s="59">
        <f ca="1">AVERAGE(OFFSET($DS$3,0,0,'Données projet'!$E$14+1,1))-AVERAGE(OFFSET($H$3,0,0,'Données projet'!$E$14+1,1))</f>
        <v>544.64394576312384</v>
      </c>
      <c r="DU133" s="59">
        <f t="shared" ref="DU133:DU196" si="152">$DU$3</f>
        <v>310.67291035925484</v>
      </c>
      <c r="DV133" s="15">
        <f>IF(ISNA(VLOOKUP(A133,'Données projet'!$A$165:$I$185,3,0)),0,VLOOKUP(A133,'Données projet'!$A$165:$I$185,3,0))</f>
        <v>18</v>
      </c>
      <c r="DW133" s="15">
        <f>IF(ISNA(VLOOKUP(A133,'Données projet'!$A$165:$I$185,4,0)),0,VLOOKUP(A133,'Données projet'!$A$165:$I$185,4,0))</f>
        <v>22</v>
      </c>
      <c r="DX133" s="16">
        <f>IF(ISNA(VLOOKUP(A133,'Données projet'!$A$165:$I$185,5,0)),0%,VLOOKUP(A133,'Données projet'!$A$165:$I$185,5,0)*VLOOKUP('Données projet'!$B$14,Paramètres!$A$1:$I$89,7,0))</f>
        <v>0.25800000000000001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36.233797591482073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36.233797591482073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-5.6843418860808015E-14</v>
      </c>
      <c r="EK133" s="17">
        <f>EJ133*VLOOKUP('Données projet'!$B$15,Paramètres!$A$1:$I$89,3,0)*VLOOKUP('Données projet'!$B$15,Paramètres!$A$1:$I$89,5,0)</f>
        <v>-5.4978954722173515E-14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276.72865583771579</v>
      </c>
      <c r="EP133" s="59">
        <f t="shared" ref="EP133:EP196" si="154">$EP$3</f>
        <v>174.3587092851154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53.186807484511405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53.186807484511405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75.515565695750169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4.25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15.583333333333334</v>
      </c>
      <c r="H134" s="67">
        <f t="shared" si="110"/>
        <v>222.56666666666669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341.11752883785607</v>
      </c>
      <c r="T134" s="59">
        <f t="shared" si="142"/>
        <v>423.15445896616234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28.370297635694119</v>
      </c>
      <c r="AA134" s="21">
        <f>EXP(-LN(2)/25)*AA133+(1-EXP(-LN(2)/25))/(LN(2)/25)*Calculateur!V134*Calculateur!X134*VLOOKUP('Données projet'!$B$9,Paramètres!$A$1:$I$89,3,0)*0.475*44/12</f>
        <v>10.171954748096013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38.542252383790128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1.8</v>
      </c>
      <c r="AI134" s="13">
        <f>IF('Données projet'!$A$62&gt;35,AI133+AH134-AQ133,IF(A134&lt;'Données projet'!$A$62,$AF$205^A134,IF(A134='Données projet'!$A$62,'Données projet'!$B$62,AI133+AH134-AQ133)))</f>
        <v>303.80000000000058</v>
      </c>
      <c r="AJ134" s="13">
        <f>AI134*VLOOKUP('Données projet'!$B$10,Paramètres!$A$1:$I$89,3,0)*VLOOKUP('Données projet'!$B$10,Paramètres!$A$1:$I$89,5,0)</f>
        <v>274.87824000000052</v>
      </c>
      <c r="AK134" s="13">
        <f t="shared" si="143"/>
        <v>65.883473548937147</v>
      </c>
      <c r="AL134" s="20">
        <f t="shared" si="112"/>
        <v>593.49331776439988</v>
      </c>
      <c r="AM134" s="59">
        <f t="shared" si="113"/>
        <v>907.18934050437315</v>
      </c>
      <c r="AN134" s="59">
        <f ca="1">AVERAGE(OFFSET($AM$3,0,0,'Données projet'!$E$10+1,1))-AVERAGE(OFFSET($H$3,0,0,'Données projet'!$E$10+1,1))</f>
        <v>521.72266623522626</v>
      </c>
      <c r="AO134" s="59">
        <f t="shared" si="144"/>
        <v>298.49205684341825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33.776228613550003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33.776228613550003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-6.7984728957526396E-14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376.5647919688821</v>
      </c>
      <c r="BJ134" s="59">
        <f t="shared" si="146"/>
        <v>340.34037344565581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53.73035912566246</v>
      </c>
      <c r="BQ134" s="21">
        <f>EXP(-LN(2)/25)*BQ133+(1-EXP(-LN(2)/25))/(LN(2)/25)*Calculateur!BL134*Calculateur!BN134*VLOOKUP('Données projet'!$B$11,Paramètres!$A$1:$I$89,3,0)*0.475*44/12</f>
        <v>16.799455288302489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70.529814413964942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1.7053025658242404E-13</v>
      </c>
      <c r="BZ134" s="13">
        <f>BY134*VLOOKUP('Données projet'!$B$12,Paramètres!$A$1:$I$89,3,0)*VLOOKUP('Données projet'!$B$12,Paramètres!$A$1:$I$89,5,0)</f>
        <v>1.72917680174578E-13</v>
      </c>
      <c r="CA134" s="13">
        <f t="shared" si="147"/>
        <v>2.4372886112056825E-12</v>
      </c>
      <c r="CB134" s="20">
        <f t="shared" si="118"/>
        <v>4.5461092908206203E-12</v>
      </c>
      <c r="CC134" s="59">
        <f t="shared" si="119"/>
        <v>313.69602273997776</v>
      </c>
      <c r="CD134" s="59">
        <f ca="1">AVERAGE(OFFSET($CC$3,0,0,'Données projet'!$E$12+1,1))-AVERAGE(OFFSET($H$3,0,0,'Données projet'!$E$12+1,1))</f>
        <v>473.09076714002885</v>
      </c>
      <c r="CE134" s="59">
        <f t="shared" si="148"/>
        <v>311.6454557566534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99.578454930294896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99.578454930294896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-2.8421709430404007E-14</v>
      </c>
      <c r="CU134" s="17">
        <f>CT134*VLOOKUP('Données projet'!$B$13,Paramètres!$A$1:$I$89,3,0)*VLOOKUP('Données projet'!$B$13,Paramètres!$A$1:$I$89,5,0)</f>
        <v>-2.4829205358400945E-14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379.66247682099424</v>
      </c>
      <c r="CZ134" s="59">
        <f t="shared" si="150"/>
        <v>342.92507939604081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49.380542786616296</v>
      </c>
      <c r="DG134" s="21">
        <f>EXP(-LN(2)/25)*DG133+(1-EXP(-LN(2)/25))/(LN(2)/25)*Calculateur!DB134*Calculateur!DD134*VLOOKUP('Données projet'!$B$13,Paramètres!$A$1:$I$89,3,0)*0.475*44/12</f>
        <v>17.619416634362604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66.999959420978897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1.8</v>
      </c>
      <c r="DO134" s="12">
        <f>IF('Données projet'!$A$166&gt;35,DO133+DN134-DW133,IF(A134&lt;'Données projet'!$A$166,$DL$205^A134,IF(A134='Données projet'!$A$166,'Données projet'!$B$166,DO133+DN134-DW133)))</f>
        <v>303.80000000000058</v>
      </c>
      <c r="DP134" s="17">
        <f>DO134*VLOOKUP('Données projet'!$B$14,Paramètres!$A$1:$I$89,3,0)*VLOOKUP('Données projet'!$B$14,Paramètres!$A$1:$I$89,5,0)</f>
        <v>289.09608000000054</v>
      </c>
      <c r="DQ134" s="13">
        <f t="shared" si="151"/>
        <v>68.885680868309834</v>
      </c>
      <c r="DR134" s="20">
        <f t="shared" si="124"/>
        <v>623.48490017897393</v>
      </c>
      <c r="DS134" s="59">
        <f t="shared" si="125"/>
        <v>937.18092291894709</v>
      </c>
      <c r="DT134" s="59">
        <f ca="1">AVERAGE(OFFSET($DS$3,0,0,'Données projet'!$E$14+1,1))-AVERAGE(OFFSET($H$3,0,0,'Données projet'!$E$14+1,1))</f>
        <v>544.64394576312384</v>
      </c>
      <c r="DU134" s="59">
        <f t="shared" si="152"/>
        <v>310.67291035925484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35.523274921147404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35.523274921147404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-5.6843418860808015E-14</v>
      </c>
      <c r="EK134" s="17">
        <f>EJ134*VLOOKUP('Données projet'!$B$15,Paramètres!$A$1:$I$89,3,0)*VLOOKUP('Données projet'!$B$15,Paramètres!$A$1:$I$89,5,0)</f>
        <v>-5.4978954722173515E-14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276.72865583771579</v>
      </c>
      <c r="EP134" s="59">
        <f t="shared" si="154"/>
        <v>174.3587092851154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52.143846630489442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52.143846630489442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75.553460747265419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4.25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15.583333333333334</v>
      </c>
      <c r="H135" s="67">
        <f t="shared" si="110"/>
        <v>222.56666666666669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341.11752883785607</v>
      </c>
      <c r="T135" s="59">
        <f t="shared" si="142"/>
        <v>423.15445896616234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27.813973403231071</v>
      </c>
      <c r="AA135" s="21">
        <f>EXP(-LN(2)/25)*AA134+(1-EXP(-LN(2)/25))/(LN(2)/25)*Calculateur!V135*Calculateur!X135*VLOOKUP('Données projet'!$B$9,Paramètres!$A$1:$I$89,3,0)*0.475*44/12</f>
        <v>9.8938021105894762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37.70777551382055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1.8</v>
      </c>
      <c r="AI135" s="13">
        <f>IF('Données projet'!$A$62&gt;35,AI134+AH135-AQ134,IF(A135&lt;'Données projet'!$A$62,$AF$205^A135,IF(A135='Données projet'!$A$62,'Données projet'!$B$62,AI134+AH135-AQ134)))</f>
        <v>305.60000000000059</v>
      </c>
      <c r="AJ135" s="13">
        <f>AI135*VLOOKUP('Données projet'!$B$10,Paramètres!$A$1:$I$89,3,0)*VLOOKUP('Données projet'!$B$10,Paramètres!$A$1:$I$89,5,0)</f>
        <v>276.50688000000054</v>
      </c>
      <c r="AK135" s="13">
        <f t="shared" si="143"/>
        <v>66.228273722513791</v>
      </c>
      <c r="AL135" s="20">
        <f t="shared" si="112"/>
        <v>596.93039273337911</v>
      </c>
      <c r="AM135" s="59">
        <f t="shared" si="113"/>
        <v>910.76295354935678</v>
      </c>
      <c r="AN135" s="59">
        <f ca="1">AVERAGE(OFFSET($AM$3,0,0,'Données projet'!$E$10+1,1))-AVERAGE(OFFSET($H$3,0,0,'Données projet'!$E$10+1,1))</f>
        <v>521.72266623522626</v>
      </c>
      <c r="AO135" s="59">
        <f t="shared" si="144"/>
        <v>298.49205684341825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33.113897371903519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33.113897371903519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-6.7984728957526396E-14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376.5647919688821</v>
      </c>
      <c r="BJ135" s="59">
        <f t="shared" si="146"/>
        <v>340.34037344565581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52.676739555491295</v>
      </c>
      <c r="BQ135" s="21">
        <f>EXP(-LN(2)/25)*BQ134+(1-EXP(-LN(2)/25))/(LN(2)/25)*Calculateur!BL135*Calculateur!BN135*VLOOKUP('Données projet'!$B$11,Paramètres!$A$1:$I$89,3,0)*0.475*44/12</f>
        <v>16.340073299998899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69.016812855490201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1.7053025658242404E-13</v>
      </c>
      <c r="BZ135" s="13">
        <f>BY135*VLOOKUP('Données projet'!$B$12,Paramètres!$A$1:$I$89,3,0)*VLOOKUP('Données projet'!$B$12,Paramètres!$A$1:$I$89,5,0)</f>
        <v>1.72917680174578E-13</v>
      </c>
      <c r="CA135" s="13">
        <f t="shared" si="147"/>
        <v>2.4372886112056825E-12</v>
      </c>
      <c r="CB135" s="20">
        <f t="shared" si="118"/>
        <v>4.5461092908206203E-12</v>
      </c>
      <c r="CC135" s="59">
        <f t="shared" si="119"/>
        <v>313.83256081598216</v>
      </c>
      <c r="CD135" s="59">
        <f ca="1">AVERAGE(OFFSET($CC$3,0,0,'Données projet'!$E$12+1,1))-AVERAGE(OFFSET($H$3,0,0,'Données projet'!$E$12+1,1))</f>
        <v>473.09076714002885</v>
      </c>
      <c r="CE135" s="59">
        <f t="shared" si="148"/>
        <v>311.6454557566534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97.625782165972055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97.625782165972055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-2.8421709430404007E-14</v>
      </c>
      <c r="CU135" s="17">
        <f>CT135*VLOOKUP('Données projet'!$B$13,Paramètres!$A$1:$I$89,3,0)*VLOOKUP('Données projet'!$B$13,Paramètres!$A$1:$I$89,5,0)</f>
        <v>-2.4829205358400945E-14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379.66247682099424</v>
      </c>
      <c r="CZ135" s="59">
        <f t="shared" si="150"/>
        <v>342.92507939604081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48.412220461727827</v>
      </c>
      <c r="DG135" s="21">
        <f>EXP(-LN(2)/25)*DG134+(1-EXP(-LN(2)/25))/(LN(2)/25)*Calculateur!DB135*Calculateur!DD135*VLOOKUP('Données projet'!$B$13,Paramètres!$A$1:$I$89,3,0)*0.475*44/12</f>
        <v>17.137612759931109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65.549833221658929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1.8</v>
      </c>
      <c r="DO135" s="12">
        <f>IF('Données projet'!$A$166&gt;35,DO134+DN135-DW134,IF(A135&lt;'Données projet'!$A$166,$DL$205^A135,IF(A135='Données projet'!$A$166,'Données projet'!$B$166,DO134+DN135-DW134)))</f>
        <v>305.60000000000059</v>
      </c>
      <c r="DP135" s="17">
        <f>DO135*VLOOKUP('Données projet'!$B$14,Paramètres!$A$1:$I$89,3,0)*VLOOKUP('Données projet'!$B$14,Paramètres!$A$1:$I$89,5,0)</f>
        <v>290.80896000000058</v>
      </c>
      <c r="DQ135" s="13">
        <f t="shared" si="151"/>
        <v>69.246193048996489</v>
      </c>
      <c r="DR135" s="20">
        <f t="shared" si="124"/>
        <v>627.09605822700314</v>
      </c>
      <c r="DS135" s="59">
        <f t="shared" si="125"/>
        <v>940.9286190429807</v>
      </c>
      <c r="DT135" s="59">
        <f ca="1">AVERAGE(OFFSET($DS$3,0,0,'Données projet'!$E$14+1,1))-AVERAGE(OFFSET($H$3,0,0,'Données projet'!$E$14+1,1))</f>
        <v>544.64394576312384</v>
      </c>
      <c r="DU135" s="59">
        <f t="shared" si="152"/>
        <v>310.67291035925484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34.826685167001962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34.826685167001962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-5.6843418860808015E-14</v>
      </c>
      <c r="EK135" s="17">
        <f>EJ135*VLOOKUP('Données projet'!$B$15,Paramètres!$A$1:$I$89,3,0)*VLOOKUP('Données projet'!$B$15,Paramètres!$A$1:$I$89,5,0)</f>
        <v>-5.4978954722173515E-14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276.72865583771579</v>
      </c>
      <c r="EP135" s="59">
        <f t="shared" si="154"/>
        <v>174.3587092851154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51.121337602671545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51.121337602671545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75.590698404357539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4.25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15.583333333333334</v>
      </c>
      <c r="H136" s="67">
        <f t="shared" si="110"/>
        <v>222.56666666666669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341.11752883785607</v>
      </c>
      <c r="T136" s="59">
        <f t="shared" si="142"/>
        <v>423.15445896616234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27.268558349642344</v>
      </c>
      <c r="AA136" s="21">
        <f>EXP(-LN(2)/25)*AA135+(1-EXP(-LN(2)/25))/(LN(2)/25)*Calculateur!V136*Calculateur!X136*VLOOKUP('Données projet'!$B$9,Paramètres!$A$1:$I$89,3,0)*0.475*44/12</f>
        <v>9.6232555715829662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36.891813921225307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1.8</v>
      </c>
      <c r="AI136" s="13">
        <f>IF('Données projet'!$A$62&gt;35,AI135+AH136-AQ135,IF(A136&lt;'Données projet'!$A$62,$AF$205^A136,IF(A136='Données projet'!$A$62,'Données projet'!$B$62,AI135+AH136-AQ135)))</f>
        <v>307.4000000000006</v>
      </c>
      <c r="AJ136" s="13">
        <f>AI136*VLOOKUP('Données projet'!$B$10,Paramètres!$A$1:$I$89,3,0)*VLOOKUP('Données projet'!$B$10,Paramètres!$A$1:$I$89,5,0)</f>
        <v>278.13552000000055</v>
      </c>
      <c r="AK136" s="13">
        <f t="shared" si="143"/>
        <v>66.572837579942046</v>
      </c>
      <c r="AL136" s="20">
        <f t="shared" si="112"/>
        <v>600.36705611839989</v>
      </c>
      <c r="AM136" s="59">
        <f t="shared" si="113"/>
        <v>914.33378638001659</v>
      </c>
      <c r="AN136" s="59">
        <f ca="1">AVERAGE(OFFSET($AM$3,0,0,'Données projet'!$E$10+1,1))-AVERAGE(OFFSET($H$3,0,0,'Données projet'!$E$10+1,1))</f>
        <v>521.72266623522626</v>
      </c>
      <c r="AO136" s="59">
        <f t="shared" si="144"/>
        <v>298.49205684341825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32.464554041923549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32.464554041923549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-6.7984728957526396E-14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376.5647919688821</v>
      </c>
      <c r="BJ136" s="59">
        <f t="shared" si="146"/>
        <v>340.34037344565581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51.643780822446701</v>
      </c>
      <c r="BQ136" s="21">
        <f>EXP(-LN(2)/25)*BQ135+(1-EXP(-LN(2)/25))/(LN(2)/25)*Calculateur!BL136*Calculateur!BN136*VLOOKUP('Données projet'!$B$11,Paramètres!$A$1:$I$89,3,0)*0.475*44/12</f>
        <v>15.89325313632332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67.537033958770024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1.7053025658242404E-13</v>
      </c>
      <c r="BZ136" s="13">
        <f>BY136*VLOOKUP('Données projet'!$B$12,Paramètres!$A$1:$I$89,3,0)*VLOOKUP('Données projet'!$B$12,Paramètres!$A$1:$I$89,5,0)</f>
        <v>1.72917680174578E-13</v>
      </c>
      <c r="CA136" s="13">
        <f t="shared" si="147"/>
        <v>2.4372886112056825E-12</v>
      </c>
      <c r="CB136" s="20">
        <f t="shared" si="118"/>
        <v>4.5461092908206203E-12</v>
      </c>
      <c r="CC136" s="59">
        <f t="shared" si="119"/>
        <v>313.96673026162131</v>
      </c>
      <c r="CD136" s="59">
        <f ca="1">AVERAGE(OFFSET($CC$3,0,0,'Données projet'!$E$12+1,1))-AVERAGE(OFFSET($H$3,0,0,'Données projet'!$E$12+1,1))</f>
        <v>473.09076714002885</v>
      </c>
      <c r="CE136" s="59">
        <f t="shared" si="148"/>
        <v>311.6454557566534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95.711400123544806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95.711400123544806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-2.8421709430404007E-14</v>
      </c>
      <c r="CU136" s="17">
        <f>CT136*VLOOKUP('Données projet'!$B$13,Paramètres!$A$1:$I$89,3,0)*VLOOKUP('Données projet'!$B$13,Paramètres!$A$1:$I$89,5,0)</f>
        <v>-2.4829205358400945E-14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379.66247682099424</v>
      </c>
      <c r="CZ136" s="59">
        <f t="shared" si="150"/>
        <v>342.92507939604081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47.462886347012123</v>
      </c>
      <c r="DG136" s="21">
        <f>EXP(-LN(2)/25)*DG135+(1-EXP(-LN(2)/25))/(LN(2)/25)*Calculateur!DB136*Calculateur!DD136*VLOOKUP('Données projet'!$B$13,Paramètres!$A$1:$I$89,3,0)*0.475*44/12</f>
        <v>16.668983837782907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64.131870184795034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1.8</v>
      </c>
      <c r="DO136" s="12">
        <f>IF('Données projet'!$A$166&gt;35,DO135+DN136-DW135,IF(A136&lt;'Données projet'!$A$166,$DL$205^A136,IF(A136='Données projet'!$A$166,'Données projet'!$B$166,DO135+DN136-DW135)))</f>
        <v>307.4000000000006</v>
      </c>
      <c r="DP136" s="17">
        <f>DO136*VLOOKUP('Données projet'!$B$14,Paramètres!$A$1:$I$89,3,0)*VLOOKUP('Données projet'!$B$14,Paramètres!$A$1:$I$89,5,0)</f>
        <v>292.52184000000057</v>
      </c>
      <c r="DQ136" s="13">
        <f t="shared" si="151"/>
        <v>69.606458144975832</v>
      </c>
      <c r="DR136" s="20">
        <f t="shared" si="124"/>
        <v>630.70678593583386</v>
      </c>
      <c r="DS136" s="59">
        <f t="shared" si="125"/>
        <v>944.67351619745068</v>
      </c>
      <c r="DT136" s="59">
        <f ca="1">AVERAGE(OFFSET($DS$3,0,0,'Données projet'!$E$14+1,1))-AVERAGE(OFFSET($H$3,0,0,'Données projet'!$E$14+1,1))</f>
        <v>544.64394576312384</v>
      </c>
      <c r="DU136" s="59">
        <f t="shared" si="152"/>
        <v>310.67291035925484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34.143755113057516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34.143755113057516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-5.6843418860808015E-14</v>
      </c>
      <c r="EK136" s="17">
        <f>EJ136*VLOOKUP('Données projet'!$B$15,Paramètres!$A$1:$I$89,3,0)*VLOOKUP('Données projet'!$B$15,Paramètres!$A$1:$I$89,5,0)</f>
        <v>-5.4978954722173515E-14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276.72865583771579</v>
      </c>
      <c r="EP136" s="59">
        <f t="shared" si="154"/>
        <v>174.3587092851154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50.11887935322023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50.11887935322023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75.627290071350018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4.25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15.583333333333334</v>
      </c>
      <c r="H137" s="67">
        <f t="shared" si="110"/>
        <v>222.56666666666669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341.11752883785607</v>
      </c>
      <c r="T137" s="59">
        <f t="shared" si="142"/>
        <v>423.15445896616234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26.73383855258416</v>
      </c>
      <c r="AA137" s="21">
        <f>EXP(-LN(2)/25)*AA136+(1-EXP(-LN(2)/25))/(LN(2)/25)*Calculateur!V137*Calculateur!X137*VLOOKUP('Données projet'!$B$9,Paramètres!$A$1:$I$89,3,0)*0.475*44/12</f>
        <v>9.360107141913014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36.093945694497172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1.8</v>
      </c>
      <c r="AI137" s="13">
        <f>IF('Données projet'!$A$62&gt;35,AI136+AH137-AQ136,IF(A137&lt;'Données projet'!$A$62,$AF$205^A137,IF(A137='Données projet'!$A$62,'Données projet'!$B$62,AI136+AH137-AQ136)))</f>
        <v>309.20000000000061</v>
      </c>
      <c r="AJ137" s="13">
        <f>AI137*VLOOKUP('Données projet'!$B$10,Paramètres!$A$1:$I$89,3,0)*VLOOKUP('Données projet'!$B$10,Paramètres!$A$1:$I$89,5,0)</f>
        <v>279.76416000000057</v>
      </c>
      <c r="AK137" s="13">
        <f t="shared" si="143"/>
        <v>66.917166665547512</v>
      </c>
      <c r="AL137" s="20">
        <f t="shared" si="112"/>
        <v>603.80331060916296</v>
      </c>
      <c r="AM137" s="59">
        <f t="shared" si="113"/>
        <v>917.90188277649486</v>
      </c>
      <c r="AN137" s="59">
        <f ca="1">AVERAGE(OFFSET($AM$3,0,0,'Données projet'!$E$10+1,1))-AVERAGE(OFFSET($H$3,0,0,'Données projet'!$E$10+1,1))</f>
        <v>521.72266623522626</v>
      </c>
      <c r="AO137" s="59">
        <f t="shared" si="144"/>
        <v>298.49205684341825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31.827943938584166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31.827943938584166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-6.7984728957526396E-14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376.5647919688821</v>
      </c>
      <c r="BJ137" s="59">
        <f t="shared" si="146"/>
        <v>340.34037344565581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50.631077780114495</v>
      </c>
      <c r="BQ137" s="21">
        <f>EXP(-LN(2)/25)*BQ136+(1-EXP(-LN(2)/25))/(LN(2)/25)*Calculateur!BL137*Calculateur!BN137*VLOOKUP('Données projet'!$B$11,Paramètres!$A$1:$I$89,3,0)*0.475*44/12</f>
        <v>15.458651293520701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66.089729073635198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1.7053025658242404E-13</v>
      </c>
      <c r="BZ137" s="13">
        <f>BY137*VLOOKUP('Données projet'!$B$12,Paramètres!$A$1:$I$89,3,0)*VLOOKUP('Données projet'!$B$12,Paramètres!$A$1:$I$89,5,0)</f>
        <v>1.72917680174578E-13</v>
      </c>
      <c r="CA137" s="13">
        <f t="shared" si="147"/>
        <v>2.4372886112056825E-12</v>
      </c>
      <c r="CB137" s="20">
        <f t="shared" si="118"/>
        <v>4.5461092908206203E-12</v>
      </c>
      <c r="CC137" s="59">
        <f t="shared" si="119"/>
        <v>314.0985721673365</v>
      </c>
      <c r="CD137" s="59">
        <f ca="1">AVERAGE(OFFSET($CC$3,0,0,'Données projet'!$E$12+1,1))-AVERAGE(OFFSET($H$3,0,0,'Données projet'!$E$12+1,1))</f>
        <v>473.09076714002885</v>
      </c>
      <c r="CE137" s="59">
        <f t="shared" si="148"/>
        <v>311.6454557566534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93.834557945311801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93.834557945311801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-2.8421709430404007E-14</v>
      </c>
      <c r="CU137" s="17">
        <f>CT137*VLOOKUP('Données projet'!$B$13,Paramètres!$A$1:$I$89,3,0)*VLOOKUP('Données projet'!$B$13,Paramètres!$A$1:$I$89,5,0)</f>
        <v>-2.4829205358400945E-14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379.66247682099424</v>
      </c>
      <c r="CZ137" s="59">
        <f t="shared" si="150"/>
        <v>342.92507939604081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46.532168095249361</v>
      </c>
      <c r="DG137" s="21">
        <f>EXP(-LN(2)/25)*DG136+(1-EXP(-LN(2)/25))/(LN(2)/25)*Calculateur!DB137*Calculateur!DD137*VLOOKUP('Données projet'!$B$13,Paramètres!$A$1:$I$89,3,0)*0.475*44/12</f>
        <v>16.21316959815497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62.745337693404331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1.8</v>
      </c>
      <c r="DO137" s="12">
        <f>IF('Données projet'!$A$166&gt;35,DO136+DN137-DW136,IF(A137&lt;'Données projet'!$A$166,$DL$205^A137,IF(A137='Données projet'!$A$166,'Données projet'!$B$166,DO136+DN137-DW136)))</f>
        <v>309.20000000000061</v>
      </c>
      <c r="DP137" s="17">
        <f>DO137*VLOOKUP('Données projet'!$B$14,Paramètres!$A$1:$I$89,3,0)*VLOOKUP('Données projet'!$B$14,Paramètres!$A$1:$I$89,5,0)</f>
        <v>294.23472000000055</v>
      </c>
      <c r="DQ137" s="13">
        <f t="shared" si="151"/>
        <v>69.966477770945815</v>
      </c>
      <c r="DR137" s="20">
        <f t="shared" si="124"/>
        <v>634.31708611773149</v>
      </c>
      <c r="DS137" s="59">
        <f t="shared" si="125"/>
        <v>948.4156582850635</v>
      </c>
      <c r="DT137" s="59">
        <f ca="1">AVERAGE(OFFSET($DS$3,0,0,'Données projet'!$E$14+1,1))-AVERAGE(OFFSET($H$3,0,0,'Données projet'!$E$14+1,1))</f>
        <v>544.64394576312384</v>
      </c>
      <c r="DU137" s="59">
        <f t="shared" si="152"/>
        <v>310.67291035925484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33.474216900924716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33.474216900924716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-5.6843418860808015E-14</v>
      </c>
      <c r="EK137" s="17">
        <f>EJ137*VLOOKUP('Données projet'!$B$15,Paramètres!$A$1:$I$89,3,0)*VLOOKUP('Données projet'!$B$15,Paramètres!$A$1:$I$89,5,0)</f>
        <v>-5.4978954722173515E-14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276.72865583771579</v>
      </c>
      <c r="EP137" s="59">
        <f t="shared" si="154"/>
        <v>174.3587092851154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49.136078698601501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49.136078698601501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75.663246954726901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4.25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15.583333333333334</v>
      </c>
      <c r="H138" s="67">
        <f t="shared" si="110"/>
        <v>222.56666666666669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341.11752883785607</v>
      </c>
      <c r="T138" s="59">
        <f t="shared" si="142"/>
        <v>423.15445896616234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26.209604284599415</v>
      </c>
      <c r="AA138" s="21">
        <f>EXP(-LN(2)/25)*AA137+(1-EXP(-LN(2)/25))/(LN(2)/25)*Calculateur!V138*Calculateur!X138*VLOOKUP('Données projet'!$B$9,Paramètres!$A$1:$I$89,3,0)*0.475*44/12</f>
        <v>9.104154519890761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35.313758804490178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1.8</v>
      </c>
      <c r="AI138" s="13">
        <f>IF('Données projet'!$A$62&gt;35,AI137+AH138-AQ137,IF(A138&lt;'Données projet'!$A$62,$AF$205^A138,IF(A138='Données projet'!$A$62,'Données projet'!$B$62,AI137+AH138-AQ137)))</f>
        <v>311.00000000000063</v>
      </c>
      <c r="AJ138" s="13">
        <f>AI138*VLOOKUP('Données projet'!$B$10,Paramètres!$A$1:$I$89,3,0)*VLOOKUP('Données projet'!$B$10,Paramètres!$A$1:$I$89,5,0)</f>
        <v>281.39280000000053</v>
      </c>
      <c r="AK138" s="13">
        <f t="shared" si="143"/>
        <v>67.261262504634828</v>
      </c>
      <c r="AL138" s="20">
        <f t="shared" si="112"/>
        <v>607.23915886223983</v>
      </c>
      <c r="AM138" s="59">
        <f t="shared" si="113"/>
        <v>921.46728577297722</v>
      </c>
      <c r="AN138" s="59">
        <f ca="1">AVERAGE(OFFSET($AM$3,0,0,'Données projet'!$E$10+1,1))-AVERAGE(OFFSET($H$3,0,0,'Données projet'!$E$10+1,1))</f>
        <v>521.72266623522626</v>
      </c>
      <c r="AO138" s="59">
        <f t="shared" si="144"/>
        <v>298.49205684341825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31.203817371077445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31.203817371077445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-6.7984728957526396E-14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376.5647919688821</v>
      </c>
      <c r="BJ138" s="59">
        <f t="shared" si="146"/>
        <v>340.34037344565581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49.638233226754558</v>
      </c>
      <c r="BQ138" s="21">
        <f>EXP(-LN(2)/25)*BQ137+(1-EXP(-LN(2)/25))/(LN(2)/25)*Calculateur!BL138*Calculateur!BN138*VLOOKUP('Données projet'!$B$11,Paramètres!$A$1:$I$89,3,0)*0.475*44/12</f>
        <v>15.035933660964236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64.674166887718798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1.7053025658242404E-13</v>
      </c>
      <c r="BZ138" s="13">
        <f>BY138*VLOOKUP('Données projet'!$B$12,Paramètres!$A$1:$I$89,3,0)*VLOOKUP('Données projet'!$B$12,Paramètres!$A$1:$I$89,5,0)</f>
        <v>1.72917680174578E-13</v>
      </c>
      <c r="CA138" s="13">
        <f t="shared" si="147"/>
        <v>2.4372886112056825E-12</v>
      </c>
      <c r="CB138" s="20">
        <f t="shared" si="118"/>
        <v>4.5461092908206203E-12</v>
      </c>
      <c r="CC138" s="59">
        <f t="shared" si="119"/>
        <v>314.22812691074193</v>
      </c>
      <c r="CD138" s="59">
        <f ca="1">AVERAGE(OFFSET($CC$3,0,0,'Données projet'!$E$12+1,1))-AVERAGE(OFFSET($H$3,0,0,'Données projet'!$E$12+1,1))</f>
        <v>473.09076714002885</v>
      </c>
      <c r="CE138" s="59">
        <f t="shared" si="148"/>
        <v>311.6454557566534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91.994519497433245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91.994519497433245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-2.8421709430404007E-14</v>
      </c>
      <c r="CU138" s="17">
        <f>CT138*VLOOKUP('Données projet'!$B$13,Paramètres!$A$1:$I$89,3,0)*VLOOKUP('Données projet'!$B$13,Paramètres!$A$1:$I$89,5,0)</f>
        <v>-2.4829205358400945E-14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379.66247682099424</v>
      </c>
      <c r="CZ138" s="59">
        <f t="shared" si="150"/>
        <v>342.92507939604081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45.619700660721584</v>
      </c>
      <c r="DG138" s="21">
        <f>EXP(-LN(2)/25)*DG137+(1-EXP(-LN(2)/25))/(LN(2)/25)*Calculateur!DB138*Calculateur!DD138*VLOOKUP('Données projet'!$B$13,Paramètres!$A$1:$I$89,3,0)*0.475*44/12</f>
        <v>15.769819622879888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61.38952028360147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1.8</v>
      </c>
      <c r="DO138" s="12">
        <f>IF('Données projet'!$A$166&gt;35,DO137+DN138-DW137,IF(A138&lt;'Données projet'!$A$166,$DL$205^A138,IF(A138='Données projet'!$A$166,'Données projet'!$B$166,DO137+DN138-DW137)))</f>
        <v>311.00000000000063</v>
      </c>
      <c r="DP138" s="17">
        <f>DO138*VLOOKUP('Données projet'!$B$14,Paramètres!$A$1:$I$89,3,0)*VLOOKUP('Données projet'!$B$14,Paramètres!$A$1:$I$89,5,0)</f>
        <v>295.94760000000059</v>
      </c>
      <c r="DQ138" s="13">
        <f t="shared" si="151"/>
        <v>70.326253521716936</v>
      </c>
      <c r="DR138" s="20">
        <f t="shared" si="124"/>
        <v>637.92696155032456</v>
      </c>
      <c r="DS138" s="59">
        <f t="shared" si="125"/>
        <v>952.15508846106195</v>
      </c>
      <c r="DT138" s="59">
        <f ca="1">AVERAGE(OFFSET($DS$3,0,0,'Données projet'!$E$14+1,1))-AVERAGE(OFFSET($H$3,0,0,'Données projet'!$E$14+1,1))</f>
        <v>544.64394576312384</v>
      </c>
      <c r="DU138" s="59">
        <f t="shared" si="152"/>
        <v>310.67291035925484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32.817807924753858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32.817807924753858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-5.6843418860808015E-14</v>
      </c>
      <c r="EK138" s="17">
        <f>EJ138*VLOOKUP('Données projet'!$B$15,Paramètres!$A$1:$I$89,3,0)*VLOOKUP('Données projet'!$B$15,Paramètres!$A$1:$I$89,5,0)</f>
        <v>-5.4978954722173515E-14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276.72865583771579</v>
      </c>
      <c r="EP138" s="59">
        <f t="shared" si="154"/>
        <v>174.3587092851154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48.172550165370637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48.172550165370637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75.698580066564745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4.25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15.583333333333334</v>
      </c>
      <c r="H139" s="67">
        <f t="shared" si="110"/>
        <v>222.56666666666669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341.11752883785607</v>
      </c>
      <c r="T139" s="59">
        <f t="shared" si="142"/>
        <v>423.15445896616234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25.695649930858519</v>
      </c>
      <c r="AA139" s="21">
        <f>EXP(-LN(2)/25)*AA138+(1-EXP(-LN(2)/25))/(LN(2)/25)*Calculateur!V139*Calculateur!X139*VLOOKUP('Données projet'!$B$9,Paramètres!$A$1:$I$89,3,0)*0.475*44/12</f>
        <v>8.8552009357776704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34.550850866636189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1.8</v>
      </c>
      <c r="AI139" s="13">
        <f>IF('Données projet'!$A$62&gt;35,AI138+AH139-AQ138,IF(A139&lt;'Données projet'!$A$62,$AF$205^A139,IF(A139='Données projet'!$A$62,'Données projet'!$B$62,AI138+AH139-AQ138)))</f>
        <v>312.80000000000064</v>
      </c>
      <c r="AJ139" s="13">
        <f>AI139*VLOOKUP('Données projet'!$B$10,Paramètres!$A$1:$I$89,3,0)*VLOOKUP('Données projet'!$B$10,Paramètres!$A$1:$I$89,5,0)</f>
        <v>283.02144000000055</v>
      </c>
      <c r="AK139" s="13">
        <f t="shared" si="143"/>
        <v>67.605126603830712</v>
      </c>
      <c r="AL139" s="20">
        <f t="shared" si="112"/>
        <v>610.67460350167278</v>
      </c>
      <c r="AM139" s="59">
        <f t="shared" si="113"/>
        <v>925.03003767065854</v>
      </c>
      <c r="AN139" s="59">
        <f ca="1">AVERAGE(OFFSET($AM$3,0,0,'Données projet'!$E$10+1,1))-AVERAGE(OFFSET($H$3,0,0,'Données projet'!$E$10+1,1))</f>
        <v>521.72266623522626</v>
      </c>
      <c r="AO139" s="59">
        <f t="shared" si="144"/>
        <v>298.49205684341825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30.591929544879914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30.591929544879914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-6.7984728957526396E-14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376.5647919688821</v>
      </c>
      <c r="BJ139" s="59">
        <f t="shared" si="146"/>
        <v>340.34037344565581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48.664857749510631</v>
      </c>
      <c r="BQ139" s="21">
        <f>EXP(-LN(2)/25)*BQ138+(1-EXP(-LN(2)/25))/(LN(2)/25)*Calculateur!BL139*Calculateur!BN139*VLOOKUP('Données projet'!$B$11,Paramètres!$A$1:$I$89,3,0)*0.475*44/12</f>
        <v>14.624775264299783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63.289633013810416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1.7053025658242404E-13</v>
      </c>
      <c r="BZ139" s="13">
        <f>BY139*VLOOKUP('Données projet'!$B$12,Paramètres!$A$1:$I$89,3,0)*VLOOKUP('Données projet'!$B$12,Paramètres!$A$1:$I$89,5,0)</f>
        <v>1.72917680174578E-13</v>
      </c>
      <c r="CA139" s="13">
        <f t="shared" si="147"/>
        <v>2.4372886112056825E-12</v>
      </c>
      <c r="CB139" s="20">
        <f t="shared" si="118"/>
        <v>4.5461092908206203E-12</v>
      </c>
      <c r="CC139" s="59">
        <f t="shared" si="119"/>
        <v>314.35543416899031</v>
      </c>
      <c r="CD139" s="59">
        <f ca="1">AVERAGE(OFFSET($CC$3,0,0,'Données projet'!$E$12+1,1))-AVERAGE(OFFSET($H$3,0,0,'Données projet'!$E$12+1,1))</f>
        <v>473.09076714002885</v>
      </c>
      <c r="CE139" s="59">
        <f t="shared" si="148"/>
        <v>311.6454557566534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90.190563081204957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90.190563081204957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-2.8421709430404007E-14</v>
      </c>
      <c r="CU139" s="17">
        <f>CT139*VLOOKUP('Données projet'!$B$13,Paramètres!$A$1:$I$89,3,0)*VLOOKUP('Données projet'!$B$13,Paramètres!$A$1:$I$89,5,0)</f>
        <v>-2.4829205358400945E-14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379.66247682099424</v>
      </c>
      <c r="CZ139" s="59">
        <f t="shared" si="150"/>
        <v>342.92507939604081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44.725126156034719</v>
      </c>
      <c r="DG139" s="21">
        <f>EXP(-LN(2)/25)*DG138+(1-EXP(-LN(2)/25))/(LN(2)/25)*Calculateur!DB139*Calculateur!DD139*VLOOKUP('Données projet'!$B$13,Paramètres!$A$1:$I$89,3,0)*0.475*44/12</f>
        <v>15.338593075993465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60.063719232028184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1.8</v>
      </c>
      <c r="DO139" s="12">
        <f>IF('Données projet'!$A$166&gt;35,DO138+DN139-DW138,IF(A139&lt;'Données projet'!$A$166,$DL$205^A139,IF(A139='Données projet'!$A$166,'Données projet'!$B$166,DO138+DN139-DW138)))</f>
        <v>312.80000000000064</v>
      </c>
      <c r="DP139" s="17">
        <f>DO139*VLOOKUP('Données projet'!$B$14,Paramètres!$A$1:$I$89,3,0)*VLOOKUP('Données projet'!$B$14,Paramètres!$A$1:$I$89,5,0)</f>
        <v>297.66048000000063</v>
      </c>
      <c r="DQ139" s="13">
        <f t="shared" si="151"/>
        <v>70.685786972570739</v>
      </c>
      <c r="DR139" s="20">
        <f t="shared" si="124"/>
        <v>641.53641497722845</v>
      </c>
      <c r="DS139" s="59">
        <f t="shared" si="125"/>
        <v>955.89184914621421</v>
      </c>
      <c r="DT139" s="59">
        <f ca="1">AVERAGE(OFFSET($DS$3,0,0,'Données projet'!$E$14+1,1))-AVERAGE(OFFSET($H$3,0,0,'Données projet'!$E$14+1,1))</f>
        <v>544.64394576312384</v>
      </c>
      <c r="DU139" s="59">
        <f t="shared" si="152"/>
        <v>310.67291035925484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32.174270728235769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32.174270728235769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-5.6843418860808015E-14</v>
      </c>
      <c r="EK139" s="17">
        <f>EJ139*VLOOKUP('Données projet'!$B$15,Paramètres!$A$1:$I$89,3,0)*VLOOKUP('Données projet'!$B$15,Paramètres!$A$1:$I$89,5,0)</f>
        <v>-5.4978954722173515E-14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276.72865583771579</v>
      </c>
      <c r="EP139" s="59">
        <f t="shared" si="154"/>
        <v>174.3587092851154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47.227915838982057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47.227915838982057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75.733300227905204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4.25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15.583333333333334</v>
      </c>
      <c r="H140" s="67">
        <f t="shared" si="110"/>
        <v>222.56666666666669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341.11752883785607</v>
      </c>
      <c r="T140" s="59">
        <f t="shared" si="142"/>
        <v>423.15445896616234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25.19177390851328</v>
      </c>
      <c r="AA140" s="21">
        <f>EXP(-LN(2)/25)*AA139+(1-EXP(-LN(2)/25))/(LN(2)/25)*Calculateur!V140*Calculateur!X140*VLOOKUP('Données projet'!$B$9,Paramètres!$A$1:$I$89,3,0)*0.475*44/12</f>
        <v>8.613055000514052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33.804828909027336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1.8</v>
      </c>
      <c r="AI140" s="13">
        <f>IF('Données projet'!$A$62&gt;35,AI139+AH140-AQ139,IF(A140&lt;'Données projet'!$A$62,$AF$205^A140,IF(A140='Données projet'!$A$62,'Données projet'!$B$62,AI139+AH140-AQ139)))</f>
        <v>314.60000000000065</v>
      </c>
      <c r="AJ140" s="13">
        <f>AI140*VLOOKUP('Données projet'!$B$10,Paramètres!$A$1:$I$89,3,0)*VLOOKUP('Données projet'!$B$10,Paramètres!$A$1:$I$89,5,0)</f>
        <v>284.65008000000057</v>
      </c>
      <c r="AK140" s="13">
        <f t="shared" si="143"/>
        <v>67.948760451419105</v>
      </c>
      <c r="AL140" s="20">
        <f t="shared" si="112"/>
        <v>614.10964711955592</v>
      </c>
      <c r="AM140" s="59">
        <f t="shared" si="113"/>
        <v>928.59018005047574</v>
      </c>
      <c r="AN140" s="59">
        <f ca="1">AVERAGE(OFFSET($AM$3,0,0,'Données projet'!$E$10+1,1))-AVERAGE(OFFSET($H$3,0,0,'Données projet'!$E$10+1,1))</f>
        <v>521.72266623522626</v>
      </c>
      <c r="AO140" s="59">
        <f t="shared" si="144"/>
        <v>298.49205684341825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29.992040465739397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29.992040465739397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-6.7984728957526396E-14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376.5647919688821</v>
      </c>
      <c r="BJ140" s="59">
        <f t="shared" si="146"/>
        <v>340.34037344565581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47.710569571675038</v>
      </c>
      <c r="BQ140" s="21">
        <f>EXP(-LN(2)/25)*BQ139+(1-EXP(-LN(2)/25))/(LN(2)/25)*Calculateur!BL140*Calculateur!BN140*VLOOKUP('Données projet'!$B$11,Paramètres!$A$1:$I$89,3,0)*0.475*44/12</f>
        <v>14.224860015614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61.935429587289036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1.7053025658242404E-13</v>
      </c>
      <c r="BZ140" s="13">
        <f>BY140*VLOOKUP('Données projet'!$B$12,Paramètres!$A$1:$I$89,3,0)*VLOOKUP('Données projet'!$B$12,Paramètres!$A$1:$I$89,5,0)</f>
        <v>1.72917680174578E-13</v>
      </c>
      <c r="CA140" s="13">
        <f t="shared" si="147"/>
        <v>2.4372886112056825E-12</v>
      </c>
      <c r="CB140" s="20">
        <f t="shared" si="118"/>
        <v>4.5461092908206203E-12</v>
      </c>
      <c r="CC140" s="59">
        <f t="shared" si="119"/>
        <v>314.48053293092443</v>
      </c>
      <c r="CD140" s="59">
        <f ca="1">AVERAGE(OFFSET($CC$3,0,0,'Données projet'!$E$12+1,1))-AVERAGE(OFFSET($H$3,0,0,'Données projet'!$E$12+1,1))</f>
        <v>473.09076714002885</v>
      </c>
      <c r="CE140" s="59">
        <f t="shared" si="148"/>
        <v>311.6454557566534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88.421981149994139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88.421981149994139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-2.8421709430404007E-14</v>
      </c>
      <c r="CU140" s="17">
        <f>CT140*VLOOKUP('Données projet'!$B$13,Paramètres!$A$1:$I$89,3,0)*VLOOKUP('Données projet'!$B$13,Paramètres!$A$1:$I$89,5,0)</f>
        <v>-2.4829205358400945E-14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379.66247682099424</v>
      </c>
      <c r="CZ140" s="59">
        <f t="shared" si="150"/>
        <v>342.92507939604081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43.848093711748191</v>
      </c>
      <c r="DG140" s="21">
        <f>EXP(-LN(2)/25)*DG139+(1-EXP(-LN(2)/25))/(LN(2)/25)*Calculateur!DB140*Calculateur!DD140*VLOOKUP('Données projet'!$B$13,Paramètres!$A$1:$I$89,3,0)*0.475*44/12</f>
        <v>14.919158441708872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58.767252153457065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1.8</v>
      </c>
      <c r="DO140" s="12">
        <f>IF('Données projet'!$A$166&gt;35,DO139+DN140-DW139,IF(A140&lt;'Données projet'!$A$166,$DL$205^A140,IF(A140='Données projet'!$A$166,'Données projet'!$B$166,DO139+DN140-DW139)))</f>
        <v>314.60000000000065</v>
      </c>
      <c r="DP140" s="17">
        <f>DO140*VLOOKUP('Données projet'!$B$14,Paramètres!$A$1:$I$89,3,0)*VLOOKUP('Données projet'!$B$14,Paramètres!$A$1:$I$89,5,0)</f>
        <v>299.37336000000062</v>
      </c>
      <c r="DQ140" s="13">
        <f t="shared" si="151"/>
        <v>71.045079679609586</v>
      </c>
      <c r="DR140" s="20">
        <f t="shared" si="124"/>
        <v>645.14544910865436</v>
      </c>
      <c r="DS140" s="59">
        <f t="shared" si="125"/>
        <v>959.62598203957418</v>
      </c>
      <c r="DT140" s="59">
        <f ca="1">AVERAGE(OFFSET($DS$3,0,0,'Données projet'!$E$14+1,1))-AVERAGE(OFFSET($H$3,0,0,'Données projet'!$E$14+1,1))</f>
        <v>544.64394576312384</v>
      </c>
      <c r="DU140" s="59">
        <f t="shared" si="152"/>
        <v>310.67291035925484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31.543352903622463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31.543352903622463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-5.6843418860808015E-14</v>
      </c>
      <c r="EK140" s="17">
        <f>EJ140*VLOOKUP('Données projet'!$B$15,Paramètres!$A$1:$I$89,3,0)*VLOOKUP('Données projet'!$B$15,Paramètres!$A$1:$I$89,5,0)</f>
        <v>-5.4978954722173515E-14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276.72865583771579</v>
      </c>
      <c r="EP140" s="59">
        <f t="shared" si="154"/>
        <v>174.3587092851154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46.301805215563903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46.301805215563903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75.767418072069063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4.25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15.583333333333334</v>
      </c>
      <c r="H141" s="67">
        <f t="shared" si="110"/>
        <v>222.56666666666669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341.11752883785607</v>
      </c>
      <c r="T141" s="59">
        <f t="shared" si="142"/>
        <v>423.15445896616234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24.697778587632204</v>
      </c>
      <c r="AA141" s="21">
        <f>EXP(-LN(2)/25)*AA140+(1-EXP(-LN(2)/25))/(LN(2)/25)*Calculateur!V141*Calculateur!X141*VLOOKUP('Données projet'!$B$9,Paramètres!$A$1:$I$89,3,0)*0.475*44/12</f>
        <v>8.3775305585841178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33.07530914621632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1.8</v>
      </c>
      <c r="AI141" s="13">
        <f>IF('Données projet'!$A$62&gt;35,AI140+AH141-AQ140,IF(A141&lt;'Données projet'!$A$62,$AF$205^A141,IF(A141='Données projet'!$A$62,'Données projet'!$B$62,AI140+AH141-AQ140)))</f>
        <v>316.40000000000066</v>
      </c>
      <c r="AJ141" s="13">
        <f>AI141*VLOOKUP('Données projet'!$B$10,Paramètres!$A$1:$I$89,3,0)*VLOOKUP('Données projet'!$B$10,Paramètres!$A$1:$I$89,5,0)</f>
        <v>286.27872000000059</v>
      </c>
      <c r="AK141" s="13">
        <f t="shared" si="143"/>
        <v>68.292165517667669</v>
      </c>
      <c r="AL141" s="20">
        <f t="shared" si="112"/>
        <v>617.54429227660546</v>
      </c>
      <c r="AM141" s="59">
        <f t="shared" si="113"/>
        <v>932.14775378561887</v>
      </c>
      <c r="AN141" s="59">
        <f ca="1">AVERAGE(OFFSET($AM$3,0,0,'Données projet'!$E$10+1,1))-AVERAGE(OFFSET($H$3,0,0,'Données projet'!$E$10+1,1))</f>
        <v>521.72266623522626</v>
      </c>
      <c r="AO141" s="59">
        <f t="shared" si="144"/>
        <v>298.49205684341825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29.403914845544612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29.403914845544612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-6.7984728957526396E-14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376.5647919688821</v>
      </c>
      <c r="BJ141" s="59">
        <f t="shared" si="146"/>
        <v>340.34037344565581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46.774994402948487</v>
      </c>
      <c r="BQ141" s="21">
        <f>EXP(-LN(2)/25)*BQ140+(1-EXP(-LN(2)/25))/(LN(2)/25)*Calculateur!BL141*Calculateur!BN141*VLOOKUP('Données projet'!$B$11,Paramètres!$A$1:$I$89,3,0)*0.475*44/12</f>
        <v>13.835880470434159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60.610874873382642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1.7053025658242404E-13</v>
      </c>
      <c r="BZ141" s="13">
        <f>BY141*VLOOKUP('Données projet'!$B$12,Paramètres!$A$1:$I$89,3,0)*VLOOKUP('Données projet'!$B$12,Paramètres!$A$1:$I$89,5,0)</f>
        <v>1.72917680174578E-13</v>
      </c>
      <c r="CA141" s="13">
        <f t="shared" si="147"/>
        <v>2.4372886112056825E-12</v>
      </c>
      <c r="CB141" s="20">
        <f t="shared" si="118"/>
        <v>4.5461092908206203E-12</v>
      </c>
      <c r="CC141" s="59">
        <f t="shared" si="119"/>
        <v>314.60346150901796</v>
      </c>
      <c r="CD141" s="59">
        <f ca="1">AVERAGE(OFFSET($CC$3,0,0,'Données projet'!$E$12+1,1))-AVERAGE(OFFSET($H$3,0,0,'Données projet'!$E$12+1,1))</f>
        <v>473.09076714002885</v>
      </c>
      <c r="CE141" s="59">
        <f t="shared" si="148"/>
        <v>311.6454557566534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86.688080031725903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86.688080031725903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-2.8421709430404007E-14</v>
      </c>
      <c r="CU141" s="17">
        <f>CT141*VLOOKUP('Données projet'!$B$13,Paramètres!$A$1:$I$89,3,0)*VLOOKUP('Données projet'!$B$13,Paramètres!$A$1:$I$89,5,0)</f>
        <v>-2.4829205358400945E-14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379.66247682099424</v>
      </c>
      <c r="CZ141" s="59">
        <f t="shared" si="150"/>
        <v>342.92507939604081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42.988259338757153</v>
      </c>
      <c r="DG141" s="21">
        <f>EXP(-LN(2)/25)*DG140+(1-EXP(-LN(2)/25))/(LN(2)/25)*Calculateur!DB141*Calculateur!DD141*VLOOKUP('Données projet'!$B$13,Paramètres!$A$1:$I$89,3,0)*0.475*44/12</f>
        <v>14.511193269555898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57.499452608313049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1.8</v>
      </c>
      <c r="DO141" s="12">
        <f>IF('Données projet'!$A$166&gt;35,DO140+DN141-DW140,IF(A141&lt;'Données projet'!$A$166,$DL$205^A141,IF(A141='Données projet'!$A$166,'Données projet'!$B$166,DO140+DN141-DW140)))</f>
        <v>316.40000000000066</v>
      </c>
      <c r="DP141" s="17">
        <f>DO141*VLOOKUP('Données projet'!$B$14,Paramètres!$A$1:$I$89,3,0)*VLOOKUP('Données projet'!$B$14,Paramètres!$A$1:$I$89,5,0)</f>
        <v>301.0862400000006</v>
      </c>
      <c r="DQ141" s="13">
        <f t="shared" si="151"/>
        <v>71.404133180099237</v>
      </c>
      <c r="DR141" s="20">
        <f t="shared" si="124"/>
        <v>648.75406662200714</v>
      </c>
      <c r="DS141" s="59">
        <f t="shared" si="125"/>
        <v>963.35752813102056</v>
      </c>
      <c r="DT141" s="59">
        <f ca="1">AVERAGE(OFFSET($DS$3,0,0,'Données projet'!$E$14+1,1))-AVERAGE(OFFSET($H$3,0,0,'Données projet'!$E$14+1,1))</f>
        <v>544.64394576312384</v>
      </c>
      <c r="DU141" s="59">
        <f t="shared" si="152"/>
        <v>310.67291035925484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30.924806992727952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30.924806992727952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-5.6843418860808015E-14</v>
      </c>
      <c r="EK141" s="17">
        <f>EJ141*VLOOKUP('Données projet'!$B$15,Paramètres!$A$1:$I$89,3,0)*VLOOKUP('Données projet'!$B$15,Paramètres!$A$1:$I$89,5,0)</f>
        <v>-5.4978954722173515E-14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276.72865583771579</v>
      </c>
      <c r="EP141" s="59">
        <f t="shared" si="154"/>
        <v>174.3587092851154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45.393855056599278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45.393855056599278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75.800944047912751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4.25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15.583333333333334</v>
      </c>
      <c r="H142" s="67">
        <f t="shared" si="110"/>
        <v>222.56666666666669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341.11752883785607</v>
      </c>
      <c r="T142" s="59">
        <f t="shared" si="142"/>
        <v>423.15445896616234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24.213470213686211</v>
      </c>
      <c r="AA142" s="21">
        <f>EXP(-LN(2)/25)*AA141+(1-EXP(-LN(2)/25))/(LN(2)/25)*Calculateur!V142*Calculateur!X142*VLOOKUP('Données projet'!$B$9,Paramètres!$A$1:$I$89,3,0)*0.475*44/12</f>
        <v>8.1484465449044503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32.36191675859066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1.8</v>
      </c>
      <c r="AI142" s="13">
        <f>IF('Données projet'!$A$62&gt;35,AI141+AH142-AQ141,IF(A142&lt;'Données projet'!$A$62,$AF$205^A142,IF(A142='Données projet'!$A$62,'Données projet'!$B$62,AI141+AH142-AQ141)))</f>
        <v>318.20000000000067</v>
      </c>
      <c r="AJ142" s="13">
        <f>AI142*VLOOKUP('Données projet'!$B$10,Paramètres!$A$1:$I$89,3,0)*VLOOKUP('Données projet'!$B$10,Paramètres!$A$1:$I$89,5,0)</f>
        <v>287.90736000000061</v>
      </c>
      <c r="AK142" s="13">
        <f t="shared" si="143"/>
        <v>68.635343255147433</v>
      </c>
      <c r="AL142" s="20">
        <f t="shared" si="112"/>
        <v>620.9785415027161</v>
      </c>
      <c r="AM142" s="59">
        <f t="shared" si="113"/>
        <v>935.70279905382017</v>
      </c>
      <c r="AN142" s="59">
        <f ca="1">AVERAGE(OFFSET($AM$3,0,0,'Données projet'!$E$10+1,1))-AVERAGE(OFFSET($H$3,0,0,'Données projet'!$E$10+1,1))</f>
        <v>521.72266623522626</v>
      </c>
      <c r="AO142" s="59">
        <f t="shared" si="144"/>
        <v>298.49205684341825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28.827322010040643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28.827322010040643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-6.7984728957526396E-14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376.5647919688821</v>
      </c>
      <c r="BJ142" s="59">
        <f t="shared" si="146"/>
        <v>340.34037344565581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45.857765292636159</v>
      </c>
      <c r="BQ142" s="21">
        <f>EXP(-LN(2)/25)*BQ141+(1-EXP(-LN(2)/25))/(LN(2)/25)*Calculateur!BL142*Calculateur!BN142*VLOOKUP('Données projet'!$B$11,Paramètres!$A$1:$I$89,3,0)*0.475*44/12</f>
        <v>13.457537591372805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59.315302884008965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1.7053025658242404E-13</v>
      </c>
      <c r="BZ142" s="13">
        <f>BY142*VLOOKUP('Données projet'!$B$12,Paramètres!$A$1:$I$89,3,0)*VLOOKUP('Données projet'!$B$12,Paramètres!$A$1:$I$89,5,0)</f>
        <v>1.72917680174578E-13</v>
      </c>
      <c r="CA142" s="13">
        <f t="shared" si="147"/>
        <v>2.4372886112056825E-12</v>
      </c>
      <c r="CB142" s="20">
        <f t="shared" si="118"/>
        <v>4.5461092908206203E-12</v>
      </c>
      <c r="CC142" s="59">
        <f t="shared" si="119"/>
        <v>314.72425755110868</v>
      </c>
      <c r="CD142" s="59">
        <f ca="1">AVERAGE(OFFSET($CC$3,0,0,'Données projet'!$E$12+1,1))-AVERAGE(OFFSET($H$3,0,0,'Données projet'!$E$12+1,1))</f>
        <v>473.09076714002885</v>
      </c>
      <c r="CE142" s="59">
        <f t="shared" si="148"/>
        <v>311.6454557566534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84.988179656811653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84.988179656811653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-2.8421709430404007E-14</v>
      </c>
      <c r="CU142" s="17">
        <f>CT142*VLOOKUP('Données projet'!$B$13,Paramètres!$A$1:$I$89,3,0)*VLOOKUP('Données projet'!$B$13,Paramètres!$A$1:$I$89,5,0)</f>
        <v>-2.4829205358400945E-14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379.66247682099424</v>
      </c>
      <c r="CZ142" s="59">
        <f t="shared" si="150"/>
        <v>342.92507939604081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42.14528579337329</v>
      </c>
      <c r="DG142" s="21">
        <f>EXP(-LN(2)/25)*DG141+(1-EXP(-LN(2)/25))/(LN(2)/25)*Calculateur!DB142*Calculateur!DD142*VLOOKUP('Données projet'!$B$13,Paramètres!$A$1:$I$89,3,0)*0.475*44/12</f>
        <v>14.114383926489404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56.259669719862693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1.8</v>
      </c>
      <c r="DO142" s="12">
        <f>IF('Données projet'!$A$166&gt;35,DO141+DN142-DW141,IF(A142&lt;'Données projet'!$A$166,$DL$205^A142,IF(A142='Données projet'!$A$166,'Données projet'!$B$166,DO141+DN142-DW141)))</f>
        <v>318.20000000000067</v>
      </c>
      <c r="DP142" s="17">
        <f>DO142*VLOOKUP('Données projet'!$B$14,Paramètres!$A$1:$I$89,3,0)*VLOOKUP('Données projet'!$B$14,Paramètres!$A$1:$I$89,5,0)</f>
        <v>302.79912000000064</v>
      </c>
      <c r="DQ142" s="13">
        <f t="shared" si="151"/>
        <v>71.762948992801881</v>
      </c>
      <c r="DR142" s="20">
        <f t="shared" si="124"/>
        <v>652.36227016246448</v>
      </c>
      <c r="DS142" s="59">
        <f t="shared" si="125"/>
        <v>967.08652771356856</v>
      </c>
      <c r="DT142" s="59">
        <f ca="1">AVERAGE(OFFSET($DS$3,0,0,'Données projet'!$E$14+1,1))-AVERAGE(OFFSET($H$3,0,0,'Données projet'!$E$14+1,1))</f>
        <v>544.64394576312384</v>
      </c>
      <c r="DU142" s="59">
        <f t="shared" si="152"/>
        <v>310.67291035925484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30.318390389870327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30.318390389870327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-5.6843418860808015E-14</v>
      </c>
      <c r="EK142" s="17">
        <f>EJ142*VLOOKUP('Données projet'!$B$15,Paramètres!$A$1:$I$89,3,0)*VLOOKUP('Données projet'!$B$15,Paramètres!$A$1:$I$89,5,0)</f>
        <v>-5.4978954722173515E-14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276.72865583771579</v>
      </c>
      <c r="EP142" s="59">
        <f t="shared" si="154"/>
        <v>174.3587092851154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44.503709246457035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44.503709246457035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75.833888423028398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4.25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15.583333333333334</v>
      </c>
      <c r="H143" s="67">
        <f t="shared" si="110"/>
        <v>222.56666666666669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341.11752883785607</v>
      </c>
      <c r="T143" s="59">
        <f t="shared" si="142"/>
        <v>423.15445896616234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23.738658831554361</v>
      </c>
      <c r="AA143" s="21">
        <f>EXP(-LN(2)/25)*AA142+(1-EXP(-LN(2)/25))/(LN(2)/25)*Calculateur!V143*Calculateur!X143*VLOOKUP('Données projet'!$B$9,Paramètres!$A$1:$I$89,3,0)*0.475*44/12</f>
        <v>7.9256268456258576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31.664285677180217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320</v>
      </c>
      <c r="AG143" s="12">
        <f>VLOOKUP(A143,'Données projet'!$A$61:$I$81,9,0)</f>
        <v>1.8</v>
      </c>
      <c r="AH143" s="12">
        <f t="array" ref="AH143">INDEX(AG:AG,MIN(IF(ISNUMBER(AG143:AG339),ROW(AG143:AG339),"")))</f>
        <v>1.8</v>
      </c>
      <c r="AI143" s="13">
        <f>IF('Données projet'!$A$62&gt;35,AI142+AH143-AQ142,IF(A143&lt;'Données projet'!$A$62,$AF$205^A143,IF(A143='Données projet'!$A$62,'Données projet'!$B$62,AI142+AH143-AQ142)))</f>
        <v>320.00000000000068</v>
      </c>
      <c r="AJ143" s="13">
        <f>AI143*VLOOKUP('Données projet'!$B$10,Paramètres!$A$1:$I$89,3,0)*VLOOKUP('Données projet'!$B$10,Paramètres!$A$1:$I$89,5,0)</f>
        <v>289.53600000000063</v>
      </c>
      <c r="AK143" s="13">
        <f t="shared" si="143"/>
        <v>68.978295099044473</v>
      </c>
      <c r="AL143" s="20">
        <f t="shared" si="112"/>
        <v>624.41239729750362</v>
      </c>
      <c r="AM143" s="59">
        <f t="shared" si="113"/>
        <v>939.25535534942765</v>
      </c>
      <c r="AN143" s="59">
        <f ca="1">AVERAGE(OFFSET($AM$3,0,0,'Données projet'!$E$10+1,1))-AVERAGE(OFFSET($H$3,0,0,'Données projet'!$E$10+1,1))</f>
        <v>521.72266623522626</v>
      </c>
      <c r="AO143" s="59">
        <f t="shared" si="144"/>
        <v>298.49205684341825</v>
      </c>
      <c r="AP143" s="15">
        <f>IF(ISNA(VLOOKUP(A143,'Données projet'!$A$61:$I$81,3,0)),0,VLOOKUP(A143,'Données projet'!$A$61:$I$81,3,0))</f>
        <v>19</v>
      </c>
      <c r="AQ143" s="15">
        <f>IF(ISNA(VLOOKUP(A143,'Données projet'!$A$61:$I$81,4,0)),0,VLOOKUP(A143,'Données projet'!$A$61:$I$81,4,0))</f>
        <v>20</v>
      </c>
      <c r="AR143" s="16">
        <f>IF(ISNA(VLOOKUP(A143,'Données projet'!$A$61:$I$81,5,0)),0%,VLOOKUP(A143,'Données projet'!$A$61:$I$81,5,0)*VLOOKUP('Données projet'!$B$10,Paramètres!$A$1:$I$89,7,0))</f>
        <v>0.25800000000000001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33.423220541265295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33.423220541265295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-6.7984728957526396E-14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376.5647919688821</v>
      </c>
      <c r="BJ143" s="59">
        <f t="shared" si="146"/>
        <v>340.34037344565581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44.95852248572254</v>
      </c>
      <c r="BQ143" s="21">
        <f>EXP(-LN(2)/25)*BQ142+(1-EXP(-LN(2)/25))/(LN(2)/25)*Calculateur!BL143*Calculateur!BN143*VLOOKUP('Données projet'!$B$11,Paramètres!$A$1:$I$89,3,0)*0.475*44/12</f>
        <v>13.089540518235571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58.048063003958113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1.7053025658242404E-13</v>
      </c>
      <c r="BZ143" s="13">
        <f>BY143*VLOOKUP('Données projet'!$B$12,Paramètres!$A$1:$I$89,3,0)*VLOOKUP('Données projet'!$B$12,Paramètres!$A$1:$I$89,5,0)</f>
        <v>1.72917680174578E-13</v>
      </c>
      <c r="CA143" s="13">
        <f t="shared" si="147"/>
        <v>2.4372886112056825E-12</v>
      </c>
      <c r="CB143" s="20">
        <f t="shared" si="118"/>
        <v>4.5461092908206203E-12</v>
      </c>
      <c r="CC143" s="59">
        <f t="shared" si="119"/>
        <v>314.84295805192858</v>
      </c>
      <c r="CD143" s="59">
        <f ca="1">AVERAGE(OFFSET($CC$3,0,0,'Données projet'!$E$12+1,1))-AVERAGE(OFFSET($H$3,0,0,'Données projet'!$E$12+1,1))</f>
        <v>473.09076714002885</v>
      </c>
      <c r="CE143" s="59">
        <f t="shared" si="148"/>
        <v>311.6454557566534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83.321613291412618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83.321613291412618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-2.8421709430404007E-14</v>
      </c>
      <c r="CU143" s="17">
        <f>CT143*VLOOKUP('Données projet'!$B$13,Paramètres!$A$1:$I$89,3,0)*VLOOKUP('Données projet'!$B$13,Paramètres!$A$1:$I$89,5,0)</f>
        <v>-2.4829205358400945E-14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379.66247682099424</v>
      </c>
      <c r="CZ143" s="59">
        <f t="shared" si="150"/>
        <v>342.92507939604081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41.31884244505131</v>
      </c>
      <c r="DG143" s="21">
        <f>EXP(-LN(2)/25)*DG142+(1-EXP(-LN(2)/25))/(LN(2)/25)*Calculateur!DB143*Calculateur!DD143*VLOOKUP('Données projet'!$B$13,Paramètres!$A$1:$I$89,3,0)*0.475*44/12</f>
        <v>13.728425355776359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55.047267800827669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>
        <f>VLOOKUP(A143,'Données projet'!$A$165:$I$185,2,0)</f>
        <v>320</v>
      </c>
      <c r="DM143" s="12">
        <f>VLOOKUP(A143,'Données projet'!$A$165:$I$185,9,0)</f>
        <v>1.8</v>
      </c>
      <c r="DN143" s="12">
        <f t="array" ref="DN143">INDEX(DM:DM,MIN(IF(ISNUMBER(DM143:DM339),ROW(DM143:DM339),"")))</f>
        <v>1.8</v>
      </c>
      <c r="DO143" s="12">
        <f>IF('Données projet'!$A$166&gt;35,DO142+DN143-DW142,IF(A143&lt;'Données projet'!$A$166,$DL$205^A143,IF(A143='Données projet'!$A$166,'Données projet'!$B$166,DO142+DN143-DW142)))</f>
        <v>320.00000000000068</v>
      </c>
      <c r="DP143" s="17">
        <f>DO143*VLOOKUP('Données projet'!$B$14,Paramètres!$A$1:$I$89,3,0)*VLOOKUP('Données projet'!$B$14,Paramètres!$A$1:$I$89,5,0)</f>
        <v>304.51200000000068</v>
      </c>
      <c r="DQ143" s="13">
        <f t="shared" si="151"/>
        <v>72.12152861830306</v>
      </c>
      <c r="DR143" s="20">
        <f t="shared" si="124"/>
        <v>655.97006234354569</v>
      </c>
      <c r="DS143" s="59">
        <f t="shared" si="125"/>
        <v>970.81302039546972</v>
      </c>
      <c r="DT143" s="59">
        <f ca="1">AVERAGE(OFFSET($DS$3,0,0,'Données projet'!$E$14+1,1))-AVERAGE(OFFSET($H$3,0,0,'Données projet'!$E$14+1,1))</f>
        <v>544.64394576312384</v>
      </c>
      <c r="DU143" s="59">
        <f t="shared" si="152"/>
        <v>310.67291035925484</v>
      </c>
      <c r="DV143" s="15">
        <f>IF(ISNA(VLOOKUP(A143,'Données projet'!$A$165:$I$185,3,0)),0,VLOOKUP(A143,'Données projet'!$A$165:$I$185,3,0))</f>
        <v>19</v>
      </c>
      <c r="DW143" s="15">
        <f>IF(ISNA(VLOOKUP(A143,'Données projet'!$A$165:$I$185,4,0)),0,VLOOKUP(A143,'Données projet'!$A$165:$I$185,4,0))</f>
        <v>20</v>
      </c>
      <c r="DX143" s="16">
        <f>IF(ISNA(VLOOKUP(A143,'Données projet'!$A$165:$I$185,5,0)),0%,VLOOKUP(A143,'Données projet'!$A$165:$I$185,5,0)*VLOOKUP('Données projet'!$B$14,Paramètres!$A$1:$I$89,7,0))</f>
        <v>0.25800000000000001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35.152007810641081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35.152007810641081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-5.6843418860808015E-14</v>
      </c>
      <c r="EK143" s="17">
        <f>EJ143*VLOOKUP('Données projet'!$B$15,Paramètres!$A$1:$I$89,3,0)*VLOOKUP('Données projet'!$B$15,Paramètres!$A$1:$I$89,5,0)</f>
        <v>-5.4978954722173515E-14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276.72865583771579</v>
      </c>
      <c r="EP143" s="59">
        <f t="shared" si="154"/>
        <v>174.3587092851154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43.631018652716349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43.631018652716349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75.866261286888374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4.25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15.583333333333334</v>
      </c>
      <c r="H144" s="67">
        <f t="shared" si="110"/>
        <v>222.56666666666669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341.11752883785607</v>
      </c>
      <c r="T144" s="59">
        <f t="shared" si="142"/>
        <v>423.15445896616234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23.273158211019769</v>
      </c>
      <c r="AA144" s="21">
        <f>EXP(-LN(2)/25)*AA143+(1-EXP(-LN(2)/25))/(LN(2)/25)*Calculateur!V144*Calculateur!X144*VLOOKUP('Données projet'!$B$9,Paramètres!$A$1:$I$89,3,0)*0.475*44/12</f>
        <v>7.7089001627416174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30.982058373761387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1.6</v>
      </c>
      <c r="AI144" s="13">
        <f>IF('Données projet'!$A$62&gt;35,AI143+AH144-AQ143,IF(A144&lt;'Données projet'!$A$62,$AF$205^A144,IF(A144='Données projet'!$A$62,'Données projet'!$B$62,AI143+AH144-AQ143)))</f>
        <v>301.6000000000007</v>
      </c>
      <c r="AJ144" s="13">
        <f>AI144*VLOOKUP('Données projet'!$B$10,Paramètres!$A$1:$I$89,3,0)*VLOOKUP('Données projet'!$B$10,Paramètres!$A$1:$I$89,5,0)</f>
        <v>272.88768000000061</v>
      </c>
      <c r="AK144" s="13">
        <f t="shared" si="143"/>
        <v>65.461727908967532</v>
      </c>
      <c r="AL144" s="20">
        <f t="shared" si="112"/>
        <v>589.29188544145279</v>
      </c>
      <c r="AM144" s="59">
        <f t="shared" si="113"/>
        <v>904.25148480588211</v>
      </c>
      <c r="AN144" s="59">
        <f ca="1">AVERAGE(OFFSET($AM$3,0,0,'Données projet'!$E$10+1,1))-AVERAGE(OFFSET($H$3,0,0,'Données projet'!$E$10+1,1))</f>
        <v>521.72266623522626</v>
      </c>
      <c r="AO144" s="59">
        <f t="shared" si="144"/>
        <v>298.49205684341825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32.767811572602646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32.767811572602646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-6.7984728957526396E-14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376.5647919688821</v>
      </c>
      <c r="BJ144" s="59">
        <f t="shared" si="146"/>
        <v>340.34037344565581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44.07691328176854</v>
      </c>
      <c r="BQ144" s="21">
        <f>EXP(-LN(2)/25)*BQ143+(1-EXP(-LN(2)/25))/(LN(2)/25)*Calculateur!BL144*Calculateur!BN144*VLOOKUP('Données projet'!$B$11,Paramètres!$A$1:$I$89,3,0)*0.475*44/12</f>
        <v>12.7316063444154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56.808519626183937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1.7053025658242404E-13</v>
      </c>
      <c r="BZ144" s="13">
        <f>BY144*VLOOKUP('Données projet'!$B$12,Paramètres!$A$1:$I$89,3,0)*VLOOKUP('Données projet'!$B$12,Paramètres!$A$1:$I$89,5,0)</f>
        <v>1.72917680174578E-13</v>
      </c>
      <c r="CA144" s="13">
        <f t="shared" si="147"/>
        <v>2.4372886112056825E-12</v>
      </c>
      <c r="CB144" s="20">
        <f t="shared" si="118"/>
        <v>4.5461092908206203E-12</v>
      </c>
      <c r="CC144" s="59">
        <f t="shared" si="119"/>
        <v>314.95959936443387</v>
      </c>
      <c r="CD144" s="59">
        <f ca="1">AVERAGE(OFFSET($CC$3,0,0,'Données projet'!$E$12+1,1))-AVERAGE(OFFSET($H$3,0,0,'Données projet'!$E$12+1,1))</f>
        <v>473.09076714002885</v>
      </c>
      <c r="CE144" s="59">
        <f t="shared" si="148"/>
        <v>311.6454557566534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81.687727275933952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81.687727275933952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-2.8421709430404007E-14</v>
      </c>
      <c r="CU144" s="17">
        <f>CT144*VLOOKUP('Données projet'!$B$13,Paramètres!$A$1:$I$89,3,0)*VLOOKUP('Données projet'!$B$13,Paramètres!$A$1:$I$89,5,0)</f>
        <v>-2.4829205358400945E-14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379.66247682099424</v>
      </c>
      <c r="CZ144" s="59">
        <f t="shared" si="150"/>
        <v>342.92507939604081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40.50860514670925</v>
      </c>
      <c r="DG144" s="21">
        <f>EXP(-LN(2)/25)*DG143+(1-EXP(-LN(2)/25))/(LN(2)/25)*Calculateur!DB144*Calculateur!DD144*VLOOKUP('Données projet'!$B$13,Paramètres!$A$1:$I$89,3,0)*0.475*44/12</f>
        <v>13.353020842476141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53.861625989185391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1.6</v>
      </c>
      <c r="DO144" s="12">
        <f>IF('Données projet'!$A$166&gt;35,DO143+DN144-DW143,IF(A144&lt;'Données projet'!$A$166,$DL$205^A144,IF(A144='Données projet'!$A$166,'Données projet'!$B$166,DO143+DN144-DW143)))</f>
        <v>301.6000000000007</v>
      </c>
      <c r="DP144" s="17">
        <f>DO144*VLOOKUP('Données projet'!$B$14,Paramètres!$A$1:$I$89,3,0)*VLOOKUP('Données projet'!$B$14,Paramètres!$A$1:$I$89,5,0)</f>
        <v>287.0025600000007</v>
      </c>
      <c r="DQ144" s="13">
        <f t="shared" si="151"/>
        <v>68.444716936118738</v>
      </c>
      <c r="DR144" s="20">
        <f t="shared" si="124"/>
        <v>619.07067399707466</v>
      </c>
      <c r="DS144" s="59">
        <f t="shared" si="125"/>
        <v>934.03027336150399</v>
      </c>
      <c r="DT144" s="59">
        <f ca="1">AVERAGE(OFFSET($DS$3,0,0,'Données projet'!$E$14+1,1))-AVERAGE(OFFSET($H$3,0,0,'Données projet'!$E$14+1,1))</f>
        <v>544.64394576312384</v>
      </c>
      <c r="DU144" s="59">
        <f t="shared" si="152"/>
        <v>310.67291035925484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34.462698378082088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34.462698378082088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-5.6843418860808015E-14</v>
      </c>
      <c r="EK144" s="17">
        <f>EJ144*VLOOKUP('Données projet'!$B$15,Paramètres!$A$1:$I$89,3,0)*VLOOKUP('Données projet'!$B$15,Paramètres!$A$1:$I$89,5,0)</f>
        <v>-5.4978954722173515E-14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276.72865583771579</v>
      </c>
      <c r="EP144" s="59">
        <f t="shared" si="154"/>
        <v>174.3587092851154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42.775440989230212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42.775440989230212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75.898072553935265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4.25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15.583333333333334</v>
      </c>
      <c r="H145" s="67">
        <f t="shared" si="110"/>
        <v>222.56666666666669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341.11752883785607</v>
      </c>
      <c r="T145" s="59">
        <f t="shared" si="142"/>
        <v>423.15445896616234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22.816785773726519</v>
      </c>
      <c r="AA145" s="21">
        <f>EXP(-LN(2)/25)*AA144+(1-EXP(-LN(2)/25))/(LN(2)/25)*Calculateur!V145*Calculateur!X145*VLOOKUP('Données projet'!$B$9,Paramètres!$A$1:$I$89,3,0)*0.475*44/12</f>
        <v>7.498099882398007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30.314885656124524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1.6</v>
      </c>
      <c r="AI145" s="13">
        <f>IF('Données projet'!$A$62&gt;35,AI144+AH145-AQ144,IF(A145&lt;'Données projet'!$A$62,$AF$205^A145,IF(A145='Données projet'!$A$62,'Données projet'!$B$62,AI144+AH145-AQ144)))</f>
        <v>303.20000000000073</v>
      </c>
      <c r="AJ145" s="13">
        <f>AI145*VLOOKUP('Données projet'!$B$10,Paramètres!$A$1:$I$89,3,0)*VLOOKUP('Données projet'!$B$10,Paramètres!$A$1:$I$89,5,0)</f>
        <v>274.33536000000066</v>
      </c>
      <c r="AK145" s="13">
        <f t="shared" si="143"/>
        <v>65.768487373341472</v>
      </c>
      <c r="AL145" s="20">
        <f t="shared" si="112"/>
        <v>592.34753417523757</v>
      </c>
      <c r="AM145" s="59">
        <f t="shared" si="113"/>
        <v>907.42175138617108</v>
      </c>
      <c r="AN145" s="59">
        <f ca="1">AVERAGE(OFFSET($AM$3,0,0,'Données projet'!$E$10+1,1))-AVERAGE(OFFSET($H$3,0,0,'Données projet'!$E$10+1,1))</f>
        <v>521.72266623522626</v>
      </c>
      <c r="AO145" s="59">
        <f t="shared" si="144"/>
        <v>298.49205684341825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32.125254774055477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32.125254774055477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-6.7984728957526396E-14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376.5647919688821</v>
      </c>
      <c r="BJ145" s="59">
        <f t="shared" si="146"/>
        <v>340.34037344565581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43.21259189657556</v>
      </c>
      <c r="BQ145" s="21">
        <f>EXP(-LN(2)/25)*BQ144+(1-EXP(-LN(2)/25))/(LN(2)/25)*Calculateur!BL145*Calculateur!BN145*VLOOKUP('Données projet'!$B$11,Paramètres!$A$1:$I$89,3,0)*0.475*44/12</f>
        <v>12.383459899401283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55.596051795976841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1.7053025658242404E-13</v>
      </c>
      <c r="BZ145" s="13">
        <f>BY145*VLOOKUP('Données projet'!$B$12,Paramètres!$A$1:$I$89,3,0)*VLOOKUP('Données projet'!$B$12,Paramètres!$A$1:$I$89,5,0)</f>
        <v>1.72917680174578E-13</v>
      </c>
      <c r="CA145" s="13">
        <f t="shared" si="147"/>
        <v>2.4372886112056825E-12</v>
      </c>
      <c r="CB145" s="20">
        <f t="shared" si="118"/>
        <v>4.5461092908206203E-12</v>
      </c>
      <c r="CC145" s="59">
        <f t="shared" si="119"/>
        <v>315.07421721093806</v>
      </c>
      <c r="CD145" s="59">
        <f ca="1">AVERAGE(OFFSET($CC$3,0,0,'Données projet'!$E$12+1,1))-AVERAGE(OFFSET($H$3,0,0,'Données projet'!$E$12+1,1))</f>
        <v>473.09076714002885</v>
      </c>
      <c r="CE145" s="59">
        <f t="shared" si="148"/>
        <v>311.6454557566534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80.08588076864676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80.08588076864676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-2.8421709430404007E-14</v>
      </c>
      <c r="CU145" s="17">
        <f>CT145*VLOOKUP('Données projet'!$B$13,Paramètres!$A$1:$I$89,3,0)*VLOOKUP('Données projet'!$B$13,Paramètres!$A$1:$I$89,5,0)</f>
        <v>-2.4829205358400945E-14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379.66247682099424</v>
      </c>
      <c r="CZ145" s="59">
        <f t="shared" si="150"/>
        <v>342.92507939604081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39.71425610759173</v>
      </c>
      <c r="DG145" s="21">
        <f>EXP(-LN(2)/25)*DG144+(1-EXP(-LN(2)/25))/(LN(2)/25)*Calculateur!DB145*Calculateur!DD145*VLOOKUP('Données projet'!$B$13,Paramètres!$A$1:$I$89,3,0)*0.475*44/12</f>
        <v>12.987881785333784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52.702137892925514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1.6</v>
      </c>
      <c r="DO145" s="12">
        <f>IF('Données projet'!$A$166&gt;35,DO144+DN145-DW144,IF(A145&lt;'Données projet'!$A$166,$DL$205^A145,IF(A145='Données projet'!$A$166,'Données projet'!$B$166,DO144+DN145-DW144)))</f>
        <v>303.20000000000073</v>
      </c>
      <c r="DP145" s="17">
        <f>DO145*VLOOKUP('Données projet'!$B$14,Paramètres!$A$1:$I$89,3,0)*VLOOKUP('Données projet'!$B$14,Paramètres!$A$1:$I$89,5,0)</f>
        <v>288.5251200000007</v>
      </c>
      <c r="DQ145" s="13">
        <f t="shared" si="151"/>
        <v>68.765454951707795</v>
      </c>
      <c r="DR145" s="20">
        <f t="shared" si="124"/>
        <v>622.28108470755899</v>
      </c>
      <c r="DS145" s="59">
        <f t="shared" si="125"/>
        <v>937.3553019184925</v>
      </c>
      <c r="DT145" s="59">
        <f ca="1">AVERAGE(OFFSET($DS$3,0,0,'Données projet'!$E$14+1,1))-AVERAGE(OFFSET($H$3,0,0,'Données projet'!$E$14+1,1))</f>
        <v>544.64394576312384</v>
      </c>
      <c r="DU145" s="59">
        <f t="shared" si="152"/>
        <v>310.67291035925484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33.786905883058338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33.786905883058338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-5.6843418860808015E-14</v>
      </c>
      <c r="EK145" s="17">
        <f>EJ145*VLOOKUP('Données projet'!$B$15,Paramètres!$A$1:$I$89,3,0)*VLOOKUP('Données projet'!$B$15,Paramètres!$A$1:$I$89,5,0)</f>
        <v>-5.4978954722173515E-14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276.72865583771579</v>
      </c>
      <c r="EP145" s="59">
        <f t="shared" si="154"/>
        <v>174.3587092851154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41.936640681874195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41.936640681874195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75.929331966618236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4.25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15.583333333333334</v>
      </c>
      <c r="H146" s="67">
        <f t="shared" si="110"/>
        <v>222.56666666666669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341.11752883785607</v>
      </c>
      <c r="T146" s="59">
        <f t="shared" si="142"/>
        <v>423.15445896616234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22.369362521568888</v>
      </c>
      <c r="AA146" s="21">
        <f>EXP(-LN(2)/25)*AA145+(1-EXP(-LN(2)/25))/(LN(2)/25)*Calculateur!V146*Calculateur!X146*VLOOKUP('Données projet'!$B$9,Paramètres!$A$1:$I$89,3,0)*0.475*44/12</f>
        <v>7.2930639468058978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29.662426468374786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1.6</v>
      </c>
      <c r="AI146" s="13">
        <f>IF('Données projet'!$A$62&gt;35,AI145+AH146-AQ145,IF(A146&lt;'Données projet'!$A$62,$AF$205^A146,IF(A146='Données projet'!$A$62,'Données projet'!$B$62,AI145+AH146-AQ145)))</f>
        <v>304.80000000000075</v>
      </c>
      <c r="AJ146" s="13">
        <f>AI146*VLOOKUP('Données projet'!$B$10,Paramètres!$A$1:$I$89,3,0)*VLOOKUP('Données projet'!$B$10,Paramètres!$A$1:$I$89,5,0)</f>
        <v>275.78304000000065</v>
      </c>
      <c r="AK146" s="13">
        <f t="shared" si="143"/>
        <v>66.075058468255065</v>
      </c>
      <c r="AL146" s="20">
        <f t="shared" si="112"/>
        <v>595.40285483221203</v>
      </c>
      <c r="AM146" s="59">
        <f t="shared" si="113"/>
        <v>910.58970152626011</v>
      </c>
      <c r="AN146" s="59">
        <f ca="1">AVERAGE(OFFSET($AM$3,0,0,'Données projet'!$E$10+1,1))-AVERAGE(OFFSET($H$3,0,0,'Données projet'!$E$10+1,1))</f>
        <v>521.72266623522626</v>
      </c>
      <c r="AO146" s="59">
        <f t="shared" si="144"/>
        <v>298.49205684341825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31.495298122406869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31.495298122406869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-6.7984728957526396E-14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376.5647919688821</v>
      </c>
      <c r="BJ146" s="59">
        <f t="shared" si="146"/>
        <v>340.34037344565581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42.365219326562226</v>
      </c>
      <c r="BQ146" s="21">
        <f>EXP(-LN(2)/25)*BQ145+(1-EXP(-LN(2)/25))/(LN(2)/25)*Calculateur!BL146*Calculateur!BN146*VLOOKUP('Données projet'!$B$11,Paramètres!$A$1:$I$89,3,0)*0.475*44/12</f>
        <v>12.0448335372343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54.410052863796523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1.7053025658242404E-13</v>
      </c>
      <c r="BZ146" s="13">
        <f>BY146*VLOOKUP('Données projet'!$B$12,Paramètres!$A$1:$I$89,3,0)*VLOOKUP('Données projet'!$B$12,Paramètres!$A$1:$I$89,5,0)</f>
        <v>1.72917680174578E-13</v>
      </c>
      <c r="CA146" s="13">
        <f t="shared" si="147"/>
        <v>2.4372886112056825E-12</v>
      </c>
      <c r="CB146" s="20">
        <f t="shared" si="118"/>
        <v>4.5461092908206203E-12</v>
      </c>
      <c r="CC146" s="59">
        <f t="shared" si="119"/>
        <v>315.18684669405258</v>
      </c>
      <c r="CD146" s="59">
        <f ca="1">AVERAGE(OFFSET($CC$3,0,0,'Données projet'!$E$12+1,1))-AVERAGE(OFFSET($H$3,0,0,'Données projet'!$E$12+1,1))</f>
        <v>473.09076714002885</v>
      </c>
      <c r="CE146" s="59">
        <f t="shared" si="148"/>
        <v>311.6454557566534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78.51544549433757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78.51544549433757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-2.8421709430404007E-14</v>
      </c>
      <c r="CU146" s="17">
        <f>CT146*VLOOKUP('Données projet'!$B$13,Paramètres!$A$1:$I$89,3,0)*VLOOKUP('Données projet'!$B$13,Paramètres!$A$1:$I$89,5,0)</f>
        <v>-2.4829205358400945E-14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379.66247682099424</v>
      </c>
      <c r="CZ146" s="59">
        <f t="shared" si="150"/>
        <v>342.92507939604081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38.935483768626227</v>
      </c>
      <c r="DG146" s="21">
        <f>EXP(-LN(2)/25)*DG145+(1-EXP(-LN(2)/25))/(LN(2)/25)*Calculateur!DB146*Calculateur!DD146*VLOOKUP('Données projet'!$B$13,Paramètres!$A$1:$I$89,3,0)*0.475*44/12</f>
        <v>12.632727474910812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51.568211243537036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1.6</v>
      </c>
      <c r="DO146" s="12">
        <f>IF('Données projet'!$A$166&gt;35,DO145+DN146-DW145,IF(A146&lt;'Données projet'!$A$166,$DL$205^A146,IF(A146='Données projet'!$A$166,'Données projet'!$B$166,DO145+DN146-DW145)))</f>
        <v>304.80000000000075</v>
      </c>
      <c r="DP146" s="17">
        <f>DO146*VLOOKUP('Données projet'!$B$14,Paramètres!$A$1:$I$89,3,0)*VLOOKUP('Données projet'!$B$14,Paramètres!$A$1:$I$89,5,0)</f>
        <v>290.0476800000007</v>
      </c>
      <c r="DQ146" s="13">
        <f t="shared" si="151"/>
        <v>69.085996014133357</v>
      </c>
      <c r="DR146" s="20">
        <f t="shared" si="124"/>
        <v>625.49115239128344</v>
      </c>
      <c r="DS146" s="59">
        <f t="shared" si="125"/>
        <v>940.67799908533152</v>
      </c>
      <c r="DT146" s="59">
        <f ca="1">AVERAGE(OFFSET($DS$3,0,0,'Données projet'!$E$14+1,1))-AVERAGE(OFFSET($H$3,0,0,'Données projet'!$E$14+1,1))</f>
        <v>544.64394576312384</v>
      </c>
      <c r="DU146" s="59">
        <f t="shared" si="152"/>
        <v>310.67291035925484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33.124365266669287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33.124365266669287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-5.6843418860808015E-14</v>
      </c>
      <c r="EK146" s="17">
        <f>EJ146*VLOOKUP('Données projet'!$B$15,Paramètres!$A$1:$I$89,3,0)*VLOOKUP('Données projet'!$B$15,Paramètres!$A$1:$I$89,5,0)</f>
        <v>-5.4978954722173515E-14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276.72865583771579</v>
      </c>
      <c r="EP146" s="59">
        <f t="shared" si="154"/>
        <v>174.3587092851154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41.114288736927762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41.114288736927762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75.960049098376729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4.25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15.583333333333334</v>
      </c>
      <c r="H147" s="67">
        <f t="shared" si="110"/>
        <v>222.56666666666669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341.11752883785607</v>
      </c>
      <c r="T147" s="59">
        <f t="shared" si="142"/>
        <v>423.15445896616234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21.93071296648483</v>
      </c>
      <c r="AA147" s="21">
        <f>EXP(-LN(2)/25)*AA146+(1-EXP(-LN(2)/25))/(LN(2)/25)*Calculateur!V147*Calculateur!X147*VLOOKUP('Données projet'!$B$9,Paramètres!$A$1:$I$89,3,0)*0.475*44/12</f>
        <v>7.0936347296549265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29.024347696139756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1.6</v>
      </c>
      <c r="AI147" s="13">
        <f>IF('Données projet'!$A$62&gt;35,AI146+AH147-AQ146,IF(A147&lt;'Données projet'!$A$62,$AF$205^A147,IF(A147='Données projet'!$A$62,'Données projet'!$B$62,AI146+AH147-AQ146)))</f>
        <v>306.40000000000077</v>
      </c>
      <c r="AJ147" s="13">
        <f>AI147*VLOOKUP('Données projet'!$B$10,Paramètres!$A$1:$I$89,3,0)*VLOOKUP('Données projet'!$B$10,Paramètres!$A$1:$I$89,5,0)</f>
        <v>277.2307200000007</v>
      </c>
      <c r="AK147" s="13">
        <f t="shared" si="143"/>
        <v>66.381442297295422</v>
      </c>
      <c r="AL147" s="20">
        <f t="shared" si="112"/>
        <v>598.45784933445736</v>
      </c>
      <c r="AM147" s="59">
        <f t="shared" si="113"/>
        <v>913.75537164188961</v>
      </c>
      <c r="AN147" s="59">
        <f ca="1">AVERAGE(OFFSET($AM$3,0,0,'Données projet'!$E$10+1,1))-AVERAGE(OFFSET($H$3,0,0,'Données projet'!$E$10+1,1))</f>
        <v>521.72266623522626</v>
      </c>
      <c r="AO147" s="59">
        <f t="shared" si="144"/>
        <v>298.49205684341825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30.877694536461473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30.877694536461473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-6.7984728957526396E-14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376.5647919688821</v>
      </c>
      <c r="BJ147" s="59">
        <f t="shared" si="146"/>
        <v>340.34037344565581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41.534463215800621</v>
      </c>
      <c r="BQ147" s="21">
        <f>EXP(-LN(2)/25)*BQ146+(1-EXP(-LN(2)/25))/(LN(2)/25)*Calculateur!BL147*Calculateur!BN147*VLOOKUP('Données projet'!$B$11,Paramètres!$A$1:$I$89,3,0)*0.475*44/12</f>
        <v>11.715466930748361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53.249930146548984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1.7053025658242404E-13</v>
      </c>
      <c r="BZ147" s="13">
        <f>BY147*VLOOKUP('Données projet'!$B$12,Paramètres!$A$1:$I$89,3,0)*VLOOKUP('Données projet'!$B$12,Paramètres!$A$1:$I$89,5,0)</f>
        <v>1.72917680174578E-13</v>
      </c>
      <c r="CA147" s="13">
        <f t="shared" si="147"/>
        <v>2.4372886112056825E-12</v>
      </c>
      <c r="CB147" s="20">
        <f t="shared" si="118"/>
        <v>4.5461092908206203E-12</v>
      </c>
      <c r="CC147" s="59">
        <f t="shared" si="119"/>
        <v>315.29752230743679</v>
      </c>
      <c r="CD147" s="59">
        <f ca="1">AVERAGE(OFFSET($CC$3,0,0,'Données projet'!$E$12+1,1))-AVERAGE(OFFSET($H$3,0,0,'Données projet'!$E$12+1,1))</f>
        <v>473.09076714002885</v>
      </c>
      <c r="CE147" s="59">
        <f t="shared" si="148"/>
        <v>311.6454557566534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76.975805497886654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76.975805497886654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-2.8421709430404007E-14</v>
      </c>
      <c r="CU147" s="17">
        <f>CT147*VLOOKUP('Données projet'!$B$13,Paramètres!$A$1:$I$89,3,0)*VLOOKUP('Données projet'!$B$13,Paramètres!$A$1:$I$89,5,0)</f>
        <v>-2.4829205358400945E-14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379.66247682099424</v>
      </c>
      <c r="CZ147" s="59">
        <f t="shared" si="150"/>
        <v>342.92507939604081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38.171982680223614</v>
      </c>
      <c r="DG147" s="21">
        <f>EXP(-LN(2)/25)*DG146+(1-EXP(-LN(2)/25))/(LN(2)/25)*Calculateur!DB147*Calculateur!DD147*VLOOKUP('Données projet'!$B$13,Paramètres!$A$1:$I$89,3,0)*0.475*44/12</f>
        <v>12.28728487778311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50.459267558006722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1.6</v>
      </c>
      <c r="DO147" s="12">
        <f>IF('Données projet'!$A$166&gt;35,DO146+DN147-DW146,IF(A147&lt;'Données projet'!$A$166,$DL$205^A147,IF(A147='Données projet'!$A$166,'Données projet'!$B$166,DO146+DN147-DW146)))</f>
        <v>306.40000000000077</v>
      </c>
      <c r="DP147" s="17">
        <f>DO147*VLOOKUP('Données projet'!$B$14,Paramètres!$A$1:$I$89,3,0)*VLOOKUP('Données projet'!$B$14,Paramètres!$A$1:$I$89,5,0)</f>
        <v>291.57024000000075</v>
      </c>
      <c r="DQ147" s="13">
        <f t="shared" si="151"/>
        <v>69.406341277271494</v>
      </c>
      <c r="DR147" s="20">
        <f t="shared" si="124"/>
        <v>628.70087905791581</v>
      </c>
      <c r="DS147" s="59">
        <f t="shared" si="125"/>
        <v>943.99840136534806</v>
      </c>
      <c r="DT147" s="59">
        <f ca="1">AVERAGE(OFFSET($DS$3,0,0,'Données projet'!$E$14+1,1))-AVERAGE(OFFSET($H$3,0,0,'Données projet'!$E$14+1,1))</f>
        <v>544.64394576312384</v>
      </c>
      <c r="DU147" s="59">
        <f t="shared" si="152"/>
        <v>310.67291035925484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32.474816667657748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32.474816667657748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-5.6843418860808015E-14</v>
      </c>
      <c r="EK147" s="17">
        <f>EJ147*VLOOKUP('Données projet'!$B$15,Paramètres!$A$1:$I$89,3,0)*VLOOKUP('Données projet'!$B$15,Paramètres!$A$1:$I$89,5,0)</f>
        <v>-5.4978954722173515E-14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276.72865583771579</v>
      </c>
      <c r="EP147" s="59">
        <f t="shared" si="154"/>
        <v>174.3587092851154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40.308062612036565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40.308062612036565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75.990233356572432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4.25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15.583333333333334</v>
      </c>
      <c r="H148" s="67">
        <f t="shared" si="110"/>
        <v>222.56666666666669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341.11752883785607</v>
      </c>
      <c r="T148" s="59">
        <f t="shared" si="142"/>
        <v>423.15445896616234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21.500665061626162</v>
      </c>
      <c r="AA148" s="21">
        <f>EXP(-LN(2)/25)*AA147+(1-EXP(-LN(2)/25))/(LN(2)/25)*Calculateur!V148*Calculateur!X148*VLOOKUP('Données projet'!$B$9,Paramètres!$A$1:$I$89,3,0)*0.475*44/12</f>
        <v>6.8996589149344745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28.400323976560635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1.6</v>
      </c>
      <c r="AI148" s="13">
        <f>IF('Données projet'!$A$62&gt;35,AI147+AH148-AQ147,IF(A148&lt;'Données projet'!$A$62,$AF$205^A148,IF(A148='Données projet'!$A$62,'Données projet'!$B$62,AI147+AH148-AQ147)))</f>
        <v>308.0000000000008</v>
      </c>
      <c r="AJ148" s="13">
        <f>AI148*VLOOKUP('Données projet'!$B$10,Paramètres!$A$1:$I$89,3,0)*VLOOKUP('Données projet'!$B$10,Paramètres!$A$1:$I$89,5,0)</f>
        <v>278.67840000000069</v>
      </c>
      <c r="AK148" s="13">
        <f t="shared" si="143"/>
        <v>66.687639951856923</v>
      </c>
      <c r="AL148" s="20">
        <f t="shared" si="112"/>
        <v>601.51251958281853</v>
      </c>
      <c r="AM148" s="59">
        <f t="shared" si="113"/>
        <v>916.91879752917635</v>
      </c>
      <c r="AN148" s="59">
        <f ca="1">AVERAGE(OFFSET($AM$3,0,0,'Données projet'!$E$10+1,1))-AVERAGE(OFFSET($H$3,0,0,'Données projet'!$E$10+1,1))</f>
        <v>521.72266623522626</v>
      </c>
      <c r="AO148" s="59">
        <f t="shared" si="144"/>
        <v>298.49205684341825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30.272201780135472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30.272201780135472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-6.7984728957526396E-14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376.5647919688821</v>
      </c>
      <c r="BJ148" s="59">
        <f t="shared" si="146"/>
        <v>340.34037344565581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40.719997725659852</v>
      </c>
      <c r="BQ148" s="21">
        <f>EXP(-LN(2)/25)*BQ147+(1-EXP(-LN(2)/25))/(LN(2)/25)*Calculateur!BL148*Calculateur!BN148*VLOOKUP('Données projet'!$B$11,Paramètres!$A$1:$I$89,3,0)*0.475*44/12</f>
        <v>11.395106871437417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52.115104597097272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1.7053025658242404E-13</v>
      </c>
      <c r="BZ148" s="13">
        <f>BY148*VLOOKUP('Données projet'!$B$12,Paramètres!$A$1:$I$89,3,0)*VLOOKUP('Données projet'!$B$12,Paramètres!$A$1:$I$89,5,0)</f>
        <v>1.72917680174578E-13</v>
      </c>
      <c r="CA148" s="13">
        <f t="shared" si="147"/>
        <v>2.4372886112056825E-12</v>
      </c>
      <c r="CB148" s="20">
        <f t="shared" si="118"/>
        <v>4.5461092908206203E-12</v>
      </c>
      <c r="CC148" s="59">
        <f t="shared" si="119"/>
        <v>315.40627794636242</v>
      </c>
      <c r="CD148" s="59">
        <f ca="1">AVERAGE(OFFSET($CC$3,0,0,'Données projet'!$E$12+1,1))-AVERAGE(OFFSET($H$3,0,0,'Données projet'!$E$12+1,1))</f>
        <v>473.09076714002885</v>
      </c>
      <c r="CE148" s="59">
        <f t="shared" si="148"/>
        <v>311.6454557566534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75.46635690267847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75.46635690267847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-2.8421709430404007E-14</v>
      </c>
      <c r="CU148" s="17">
        <f>CT148*VLOOKUP('Données projet'!$B$13,Paramètres!$A$1:$I$89,3,0)*VLOOKUP('Données projet'!$B$13,Paramètres!$A$1:$I$89,5,0)</f>
        <v>-2.4829205358400945E-14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379.66247682099424</v>
      </c>
      <c r="CZ148" s="59">
        <f t="shared" si="150"/>
        <v>342.92507939604081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37.423453382474897</v>
      </c>
      <c r="DG148" s="21">
        <f>EXP(-LN(2)/25)*DG147+(1-EXP(-LN(2)/25))/(LN(2)/25)*Calculateur!DB148*Calculateur!DD148*VLOOKUP('Données projet'!$B$13,Paramètres!$A$1:$I$89,3,0)*0.475*44/12</f>
        <v>11.951288426639902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49.374741809114795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1.6</v>
      </c>
      <c r="DO148" s="12">
        <f>IF('Données projet'!$A$166&gt;35,DO147+DN148-DW147,IF(A148&lt;'Données projet'!$A$166,$DL$205^A148,IF(A148='Données projet'!$A$166,'Données projet'!$B$166,DO147+DN148-DW147)))</f>
        <v>308.0000000000008</v>
      </c>
      <c r="DP148" s="17">
        <f>DO148*VLOOKUP('Données projet'!$B$14,Paramètres!$A$1:$I$89,3,0)*VLOOKUP('Données projet'!$B$14,Paramètres!$A$1:$I$89,5,0)</f>
        <v>293.09280000000075</v>
      </c>
      <c r="DQ148" s="13">
        <f t="shared" si="151"/>
        <v>69.726491882249491</v>
      </c>
      <c r="DR148" s="20">
        <f t="shared" si="124"/>
        <v>631.91026669491919</v>
      </c>
      <c r="DS148" s="59">
        <f t="shared" si="125"/>
        <v>947.31654464127701</v>
      </c>
      <c r="DT148" s="59">
        <f ca="1">AVERAGE(OFFSET($DS$3,0,0,'Données projet'!$E$14+1,1))-AVERAGE(OFFSET($H$3,0,0,'Données projet'!$E$14+1,1))</f>
        <v>544.64394576312384</v>
      </c>
      <c r="DU148" s="59">
        <f t="shared" si="152"/>
        <v>310.67291035925484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31.838005320487301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31.838005320487301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-5.6843418860808015E-14</v>
      </c>
      <c r="EK148" s="17">
        <f>EJ148*VLOOKUP('Données projet'!$B$15,Paramètres!$A$1:$I$89,3,0)*VLOOKUP('Données projet'!$B$15,Paramètres!$A$1:$I$89,5,0)</f>
        <v>-5.4978954722173515E-14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276.72865583771579</v>
      </c>
      <c r="EP148" s="59">
        <f t="shared" si="154"/>
        <v>174.3587092851154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39.517646089705103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39.517646089705103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76.019893985370331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4.25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15.583333333333334</v>
      </c>
      <c r="H149" s="67">
        <f t="shared" si="110"/>
        <v>222.56666666666669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341.11752883785607</v>
      </c>
      <c r="T149" s="59">
        <f t="shared" si="142"/>
        <v>423.15445896616234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21.07905013387845</v>
      </c>
      <c r="AA149" s="21">
        <f>EXP(-LN(2)/25)*AA148+(1-EXP(-LN(2)/25))/(LN(2)/25)*Calculateur!V149*Calculateur!X149*VLOOKUP('Données projet'!$B$9,Paramètres!$A$1:$I$89,3,0)*0.475*44/12</f>
        <v>6.7109873790682979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27.790037512946746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1.6</v>
      </c>
      <c r="AI149" s="13">
        <f>IF('Données projet'!$A$62&gt;35,AI148+AH149-AQ148,IF(A149&lt;'Données projet'!$A$62,$AF$205^A149,IF(A149='Données projet'!$A$62,'Données projet'!$B$62,AI148+AH149-AQ148)))</f>
        <v>309.60000000000082</v>
      </c>
      <c r="AJ149" s="13">
        <f>AI149*VLOOKUP('Données projet'!$B$10,Paramètres!$A$1:$I$89,3,0)*VLOOKUP('Données projet'!$B$10,Paramètres!$A$1:$I$89,5,0)</f>
        <v>280.12608000000074</v>
      </c>
      <c r="AK149" s="13">
        <f t="shared" si="143"/>
        <v>66.993652511338183</v>
      </c>
      <c r="AL149" s="20">
        <f t="shared" si="112"/>
        <v>604.56686745724858</v>
      </c>
      <c r="AM149" s="59">
        <f t="shared" si="113"/>
        <v>920.0800143753379</v>
      </c>
      <c r="AN149" s="59">
        <f ca="1">AVERAGE(OFFSET($AM$3,0,0,'Données projet'!$E$10+1,1))-AVERAGE(OFFSET($H$3,0,0,'Données projet'!$E$10+1,1))</f>
        <v>521.72266623522626</v>
      </c>
      <c r="AO149" s="59">
        <f t="shared" si="144"/>
        <v>298.49205684341825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29.678582367446911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29.678582367446911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-6.7984728957526396E-14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376.5647919688821</v>
      </c>
      <c r="BJ149" s="59">
        <f t="shared" si="146"/>
        <v>340.34037344565581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39.921503407005851</v>
      </c>
      <c r="BQ149" s="21">
        <f>EXP(-LN(2)/25)*BQ148+(1-EXP(-LN(2)/25))/(LN(2)/25)*Calculateur!BL149*Calculateur!BN149*VLOOKUP('Données projet'!$B$11,Paramètres!$A$1:$I$89,3,0)*0.475*44/12</f>
        <v>11.083507074795333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51.005010481801186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1.7053025658242404E-13</v>
      </c>
      <c r="BZ149" s="13">
        <f>BY149*VLOOKUP('Données projet'!$B$12,Paramètres!$A$1:$I$89,3,0)*VLOOKUP('Données projet'!$B$12,Paramètres!$A$1:$I$89,5,0)</f>
        <v>1.72917680174578E-13</v>
      </c>
      <c r="CA149" s="13">
        <f t="shared" si="147"/>
        <v>2.4372886112056825E-12</v>
      </c>
      <c r="CB149" s="20">
        <f t="shared" si="118"/>
        <v>4.5461092908206203E-12</v>
      </c>
      <c r="CC149" s="59">
        <f t="shared" si="119"/>
        <v>315.51314691809392</v>
      </c>
      <c r="CD149" s="59">
        <f ca="1">AVERAGE(OFFSET($CC$3,0,0,'Données projet'!$E$12+1,1))-AVERAGE(OFFSET($H$3,0,0,'Données projet'!$E$12+1,1))</f>
        <v>473.09076714002885</v>
      </c>
      <c r="CE149" s="59">
        <f t="shared" si="148"/>
        <v>311.6454557566534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73.986507673749571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73.986507673749571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-2.8421709430404007E-14</v>
      </c>
      <c r="CU149" s="17">
        <f>CT149*VLOOKUP('Données projet'!$B$13,Paramètres!$A$1:$I$89,3,0)*VLOOKUP('Données projet'!$B$13,Paramètres!$A$1:$I$89,5,0)</f>
        <v>-2.4829205358400945E-14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379.66247682099424</v>
      </c>
      <c r="CZ149" s="59">
        <f t="shared" si="150"/>
        <v>342.92507939604081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36.689602287697241</v>
      </c>
      <c r="DG149" s="21">
        <f>EXP(-LN(2)/25)*DG148+(1-EXP(-LN(2)/25))/(LN(2)/25)*Calculateur!DB149*Calculateur!DD149*VLOOKUP('Données projet'!$B$13,Paramètres!$A$1:$I$89,3,0)*0.475*44/12</f>
        <v>11.624479816122491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48.314082103819729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1.6</v>
      </c>
      <c r="DO149" s="12">
        <f>IF('Données projet'!$A$166&gt;35,DO148+DN149-DW148,IF(A149&lt;'Données projet'!$A$166,$DL$205^A149,IF(A149='Données projet'!$A$166,'Données projet'!$B$166,DO148+DN149-DW148)))</f>
        <v>309.60000000000082</v>
      </c>
      <c r="DP149" s="17">
        <f>DO149*VLOOKUP('Données projet'!$B$14,Paramètres!$A$1:$I$89,3,0)*VLOOKUP('Données projet'!$B$14,Paramètres!$A$1:$I$89,5,0)</f>
        <v>294.61536000000081</v>
      </c>
      <c r="DQ149" s="13">
        <f t="shared" si="151"/>
        <v>70.046448957652672</v>
      </c>
      <c r="DR149" s="20">
        <f t="shared" si="124"/>
        <v>635.11931726791306</v>
      </c>
      <c r="DS149" s="59">
        <f t="shared" si="125"/>
        <v>950.63246418600238</v>
      </c>
      <c r="DT149" s="59">
        <f ca="1">AVERAGE(OFFSET($DS$3,0,0,'Données projet'!$E$14+1,1))-AVERAGE(OFFSET($H$3,0,0,'Données projet'!$E$14+1,1))</f>
        <v>544.64394576312384</v>
      </c>
      <c r="DU149" s="59">
        <f t="shared" si="152"/>
        <v>310.67291035925484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31.213681455418296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31.213681455418296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-5.6843418860808015E-14</v>
      </c>
      <c r="EK149" s="17">
        <f>EJ149*VLOOKUP('Données projet'!$B$15,Paramètres!$A$1:$I$89,3,0)*VLOOKUP('Données projet'!$B$15,Paramètres!$A$1:$I$89,5,0)</f>
        <v>-5.4978954722173515E-14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276.72865583771579</v>
      </c>
      <c r="EP149" s="59">
        <f t="shared" si="154"/>
        <v>174.3587092851154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38.742729153270091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38.742729153270091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76.049040068569823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4.25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15.583333333333334</v>
      </c>
      <c r="H150" s="67">
        <f t="shared" si="110"/>
        <v>222.56666666666669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341.11752883785607</v>
      </c>
      <c r="T150" s="59">
        <f t="shared" si="142"/>
        <v>423.15445896616234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20.665702817704158</v>
      </c>
      <c r="AA150" s="21">
        <f>EXP(-LN(2)/25)*AA149+(1-EXP(-LN(2)/25))/(LN(2)/25)*Calculateur!V150*Calculateur!X150*VLOOKUP('Données projet'!$B$9,Paramètres!$A$1:$I$89,3,0)*0.475*44/12</f>
        <v>6.5274750762721876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27.193177893976348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1.6</v>
      </c>
      <c r="AI150" s="13">
        <f>IF('Données projet'!$A$62&gt;35,AI149+AH150-AQ149,IF(A150&lt;'Données projet'!$A$62,$AF$205^A150,IF(A150='Données projet'!$A$62,'Données projet'!$B$62,AI149+AH150-AQ149)))</f>
        <v>311.20000000000084</v>
      </c>
      <c r="AJ150" s="13">
        <f>AI150*VLOOKUP('Données projet'!$B$10,Paramètres!$A$1:$I$89,3,0)*VLOOKUP('Données projet'!$B$10,Paramètres!$A$1:$I$89,5,0)</f>
        <v>281.57376000000073</v>
      </c>
      <c r="AK150" s="13">
        <f t="shared" si="143"/>
        <v>67.299481043335234</v>
      </c>
      <c r="AL150" s="20">
        <f t="shared" si="112"/>
        <v>607.62089481714338</v>
      </c>
      <c r="AM150" s="59">
        <f t="shared" si="113"/>
        <v>923.23905676922789</v>
      </c>
      <c r="AN150" s="59">
        <f ca="1">AVERAGE(OFFSET($AM$3,0,0,'Données projet'!$E$10+1,1))-AVERAGE(OFFSET($H$3,0,0,'Données projet'!$E$10+1,1))</f>
        <v>521.72266623522626</v>
      </c>
      <c r="AO150" s="59">
        <f t="shared" si="144"/>
        <v>298.49205684341825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29.096603469369082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29.096603469369082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-6.7984728957526396E-14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376.5647919688821</v>
      </c>
      <c r="BJ150" s="59">
        <f t="shared" si="146"/>
        <v>340.34037344565581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39.138667074907211</v>
      </c>
      <c r="BQ150" s="21">
        <f>EXP(-LN(2)/25)*BQ149+(1-EXP(-LN(2)/25))/(LN(2)/25)*Calculateur!BL150*Calculateur!BN150*VLOOKUP('Données projet'!$B$11,Paramètres!$A$1:$I$89,3,0)*0.475*44/12</f>
        <v>10.780427990978749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49.919095065885962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1.7053025658242404E-13</v>
      </c>
      <c r="BZ150" s="13">
        <f>BY150*VLOOKUP('Données projet'!$B$12,Paramètres!$A$1:$I$89,3,0)*VLOOKUP('Données projet'!$B$12,Paramètres!$A$1:$I$89,5,0)</f>
        <v>1.72917680174578E-13</v>
      </c>
      <c r="CA150" s="13">
        <f t="shared" si="147"/>
        <v>2.4372886112056825E-12</v>
      </c>
      <c r="CB150" s="20">
        <f t="shared" si="118"/>
        <v>4.5461092908206203E-12</v>
      </c>
      <c r="CC150" s="59">
        <f t="shared" si="119"/>
        <v>315.61816195208905</v>
      </c>
      <c r="CD150" s="59">
        <f ca="1">AVERAGE(OFFSET($CC$3,0,0,'Données projet'!$E$12+1,1))-AVERAGE(OFFSET($H$3,0,0,'Données projet'!$E$12+1,1))</f>
        <v>473.09076714002885</v>
      </c>
      <c r="CE150" s="59">
        <f t="shared" si="148"/>
        <v>311.6454557566534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72.535677385581067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72.535677385581067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-2.8421709430404007E-14</v>
      </c>
      <c r="CU150" s="17">
        <f>CT150*VLOOKUP('Données projet'!$B$13,Paramètres!$A$1:$I$89,3,0)*VLOOKUP('Données projet'!$B$13,Paramètres!$A$1:$I$89,5,0)</f>
        <v>-2.4829205358400945E-14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379.66247682099424</v>
      </c>
      <c r="CZ150" s="59">
        <f t="shared" si="150"/>
        <v>342.92507939604081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35.970141565283207</v>
      </c>
      <c r="DG150" s="21">
        <f>EXP(-LN(2)/25)*DG149+(1-EXP(-LN(2)/25))/(LN(2)/25)*Calculateur!DB150*Calculateur!DD150*VLOOKUP('Données projet'!$B$13,Paramètres!$A$1:$I$89,3,0)*0.475*44/12</f>
        <v>11.306607804245797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47.276749369529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1.6</v>
      </c>
      <c r="DO150" s="12">
        <f>IF('Données projet'!$A$166&gt;35,DO149+DN150-DW149,IF(A150&lt;'Données projet'!$A$166,$DL$205^A150,IF(A150='Données projet'!$A$166,'Données projet'!$B$166,DO149+DN150-DW149)))</f>
        <v>311.20000000000084</v>
      </c>
      <c r="DP150" s="17">
        <f>DO150*VLOOKUP('Données projet'!$B$14,Paramètres!$A$1:$I$89,3,0)*VLOOKUP('Données projet'!$B$14,Paramètres!$A$1:$I$89,5,0)</f>
        <v>296.1379200000008</v>
      </c>
      <c r="DQ150" s="13">
        <f t="shared" si="151"/>
        <v>70.366213619725627</v>
      </c>
      <c r="DR150" s="20">
        <f t="shared" si="124"/>
        <v>638.32803272102342</v>
      </c>
      <c r="DS150" s="59">
        <f t="shared" si="125"/>
        <v>953.94619467310793</v>
      </c>
      <c r="DT150" s="59">
        <f ca="1">AVERAGE(OFFSET($DS$3,0,0,'Données projet'!$E$14+1,1))-AVERAGE(OFFSET($H$3,0,0,'Données projet'!$E$14+1,1))</f>
        <v>544.64394576312384</v>
      </c>
      <c r="DU150" s="59">
        <f t="shared" si="152"/>
        <v>310.67291035925484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30.601600200543338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30.601600200543338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-5.6843418860808015E-14</v>
      </c>
      <c r="EK150" s="17">
        <f>EJ150*VLOOKUP('Données projet'!$B$15,Paramètres!$A$1:$I$89,3,0)*VLOOKUP('Données projet'!$B$15,Paramètres!$A$1:$I$89,5,0)</f>
        <v>-5.4978954722173515E-14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276.72865583771579</v>
      </c>
      <c r="EP150" s="59">
        <f t="shared" si="154"/>
        <v>174.3587092851154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37.983007865305908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37.983007865305908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76.07768053238668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4.25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15.583333333333334</v>
      </c>
      <c r="H151" s="67">
        <f t="shared" si="110"/>
        <v>222.56666666666669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341.11752883785607</v>
      </c>
      <c r="T151" s="59">
        <f t="shared" si="142"/>
        <v>423.15445896616234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20.260460990283075</v>
      </c>
      <c r="AA151" s="21">
        <f>EXP(-LN(2)/25)*AA150+(1-EXP(-LN(2)/25))/(LN(2)/25)*Calculateur!V151*Calculateur!X151*VLOOKUP('Données projet'!$B$9,Paramètres!$A$1:$I$89,3,0)*0.475*44/12</f>
        <v>6.3489809270465294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26.609441917329605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1.6</v>
      </c>
      <c r="AI151" s="13">
        <f>IF('Données projet'!$A$62&gt;35,AI150+AH151-AQ150,IF(A151&lt;'Données projet'!$A$62,$AF$205^A151,IF(A151='Données projet'!$A$62,'Données projet'!$B$62,AI150+AH151-AQ150)))</f>
        <v>312.80000000000086</v>
      </c>
      <c r="AJ151" s="13">
        <f>AI151*VLOOKUP('Données projet'!$B$10,Paramètres!$A$1:$I$89,3,0)*VLOOKUP('Données projet'!$B$10,Paramètres!$A$1:$I$89,5,0)</f>
        <v>283.02144000000078</v>
      </c>
      <c r="AK151" s="13">
        <f t="shared" si="143"/>
        <v>67.605126603830769</v>
      </c>
      <c r="AL151" s="20">
        <f t="shared" si="112"/>
        <v>610.67460350167323</v>
      </c>
      <c r="AM151" s="59">
        <f t="shared" si="113"/>
        <v>926.39595871169149</v>
      </c>
      <c r="AN151" s="59">
        <f ca="1">AVERAGE(OFFSET($AM$3,0,0,'Données projet'!$E$10+1,1))-AVERAGE(OFFSET($H$3,0,0,'Données projet'!$E$10+1,1))</f>
        <v>521.72266623522626</v>
      </c>
      <c r="AO151" s="59">
        <f t="shared" si="144"/>
        <v>298.49205684341825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28.526036822510484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28.526036822510484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-6.7984728957526396E-14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376.5647919688821</v>
      </c>
      <c r="BJ151" s="59">
        <f t="shared" si="146"/>
        <v>340.34037344565581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38.371181685798007</v>
      </c>
      <c r="BQ151" s="21">
        <f>EXP(-LN(2)/25)*BQ150+(1-EXP(-LN(2)/25))/(LN(2)/25)*Calculateur!BL151*Calculateur!BN151*VLOOKUP('Données projet'!$B$11,Paramètres!$A$1:$I$89,3,0)*0.475*44/12</f>
        <v>10.485636620647366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48.856818306445376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1.7053025658242404E-13</v>
      </c>
      <c r="BZ151" s="13">
        <f>BY151*VLOOKUP('Données projet'!$B$12,Paramètres!$A$1:$I$89,3,0)*VLOOKUP('Données projet'!$B$12,Paramètres!$A$1:$I$89,5,0)</f>
        <v>1.72917680174578E-13</v>
      </c>
      <c r="CA151" s="13">
        <f t="shared" si="147"/>
        <v>2.4372886112056825E-12</v>
      </c>
      <c r="CB151" s="20">
        <f t="shared" si="118"/>
        <v>4.5461092908206203E-12</v>
      </c>
      <c r="CC151" s="59">
        <f t="shared" si="119"/>
        <v>315.72135521002281</v>
      </c>
      <c r="CD151" s="59">
        <f ca="1">AVERAGE(OFFSET($CC$3,0,0,'Données projet'!$E$12+1,1))-AVERAGE(OFFSET($H$3,0,0,'Données projet'!$E$12+1,1))</f>
        <v>473.09076714002885</v>
      </c>
      <c r="CE151" s="59">
        <f t="shared" si="148"/>
        <v>311.6454557566534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71.113296994444454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71.113296994444454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-2.8421709430404007E-14</v>
      </c>
      <c r="CU151" s="17">
        <f>CT151*VLOOKUP('Données projet'!$B$13,Paramètres!$A$1:$I$89,3,0)*VLOOKUP('Données projet'!$B$13,Paramètres!$A$1:$I$89,5,0)</f>
        <v>-2.4829205358400945E-14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379.66247682099424</v>
      </c>
      <c r="CZ151" s="59">
        <f t="shared" si="150"/>
        <v>342.92507939604081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35.264789028808003</v>
      </c>
      <c r="DG151" s="21">
        <f>EXP(-LN(2)/25)*DG150+(1-EXP(-LN(2)/25))/(LN(2)/25)*Calculateur!DB151*Calculateur!DD151*VLOOKUP('Données projet'!$B$13,Paramètres!$A$1:$I$89,3,0)*0.475*44/12</f>
        <v>10.997428019250032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46.262217048058034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1.6</v>
      </c>
      <c r="DO151" s="12">
        <f>IF('Données projet'!$A$166&gt;35,DO150+DN151-DW150,IF(A151&lt;'Données projet'!$A$166,$DL$205^A151,IF(A151='Données projet'!$A$166,'Données projet'!$B$166,DO150+DN151-DW150)))</f>
        <v>312.80000000000086</v>
      </c>
      <c r="DP151" s="17">
        <f>DO151*VLOOKUP('Données projet'!$B$14,Paramètres!$A$1:$I$89,3,0)*VLOOKUP('Données projet'!$B$14,Paramètres!$A$1:$I$89,5,0)</f>
        <v>297.66048000000086</v>
      </c>
      <c r="DQ151" s="13">
        <f t="shared" si="151"/>
        <v>70.685786972570739</v>
      </c>
      <c r="DR151" s="20">
        <f t="shared" si="124"/>
        <v>641.5364149772289</v>
      </c>
      <c r="DS151" s="59">
        <f t="shared" si="125"/>
        <v>957.25777018724716</v>
      </c>
      <c r="DT151" s="59">
        <f ca="1">AVERAGE(OFFSET($DS$3,0,0,'Données projet'!$E$14+1,1))-AVERAGE(OFFSET($H$3,0,0,'Données projet'!$E$14+1,1))</f>
        <v>544.64394576312384</v>
      </c>
      <c r="DU151" s="59">
        <f t="shared" si="152"/>
        <v>310.67291035925484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30.001521485743776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30.001521485743776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-5.6843418860808015E-14</v>
      </c>
      <c r="EK151" s="17">
        <f>EJ151*VLOOKUP('Données projet'!$B$15,Paramètres!$A$1:$I$89,3,0)*VLOOKUP('Données projet'!$B$15,Paramètres!$A$1:$I$89,5,0)</f>
        <v>-5.4978954722173515E-14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276.72865583771579</v>
      </c>
      <c r="EP151" s="59">
        <f t="shared" si="154"/>
        <v>174.3587092851154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37.23818424841447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37.23818424841447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76.105824148186798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4.25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15.583333333333334</v>
      </c>
      <c r="H152" s="67">
        <f t="shared" si="110"/>
        <v>222.56666666666669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341.11752883785607</v>
      </c>
      <c r="T152" s="59">
        <f t="shared" si="142"/>
        <v>423.15445896616234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19.863165707924612</v>
      </c>
      <c r="AA152" s="21">
        <f>EXP(-LN(2)/25)*AA151+(1-EXP(-LN(2)/25))/(LN(2)/25)*Calculateur!V152*Calculateur!X152*VLOOKUP('Données projet'!$B$9,Paramètres!$A$1:$I$89,3,0)*0.475*44/12</f>
        <v>6.1753677097180457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26.038533417642657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1.6</v>
      </c>
      <c r="AI152" s="13">
        <f>IF('Données projet'!$A$62&gt;35,AI151+AH152-AQ151,IF(A152&lt;'Données projet'!$A$62,$AF$205^A152,IF(A152='Données projet'!$A$62,'Données projet'!$B$62,AI151+AH152-AQ151)))</f>
        <v>314.40000000000089</v>
      </c>
      <c r="AJ152" s="13">
        <f>AI152*VLOOKUP('Données projet'!$B$10,Paramètres!$A$1:$I$89,3,0)*VLOOKUP('Données projet'!$B$10,Paramètres!$A$1:$I$89,5,0)</f>
        <v>284.46912000000083</v>
      </c>
      <c r="AK152" s="13">
        <f t="shared" si="143"/>
        <v>67.910590237379225</v>
      </c>
      <c r="AL152" s="20">
        <f t="shared" si="112"/>
        <v>613.72799533010345</v>
      </c>
      <c r="AM152" s="59">
        <f t="shared" si="113"/>
        <v>929.55075362573598</v>
      </c>
      <c r="AN152" s="59">
        <f ca="1">AVERAGE(OFFSET($AM$3,0,0,'Données projet'!$E$10+1,1))-AVERAGE(OFFSET($H$3,0,0,'Données projet'!$E$10+1,1))</f>
        <v>521.72266623522626</v>
      </c>
      <c r="AO152" s="59">
        <f t="shared" si="144"/>
        <v>298.49205684341825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27.966658639585489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27.966658639585489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-6.7984728957526396E-14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376.5647919688821</v>
      </c>
      <c r="BJ152" s="59">
        <f t="shared" si="146"/>
        <v>340.34037344565581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37.61874621704937</v>
      </c>
      <c r="BQ152" s="21">
        <f>EXP(-LN(2)/25)*BQ151+(1-EXP(-LN(2)/25))/(LN(2)/25)*Calculateur!BL152*Calculateur!BN152*VLOOKUP('Données projet'!$B$11,Paramètres!$A$1:$I$89,3,0)*0.475*44/12</f>
        <v>10.1989063358401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47.81765255288947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1.7053025658242404E-13</v>
      </c>
      <c r="BZ152" s="13">
        <f>BY152*VLOOKUP('Données projet'!$B$12,Paramètres!$A$1:$I$89,3,0)*VLOOKUP('Données projet'!$B$12,Paramètres!$A$1:$I$89,5,0)</f>
        <v>1.72917680174578E-13</v>
      </c>
      <c r="CA152" s="13">
        <f t="shared" si="147"/>
        <v>2.4372886112056825E-12</v>
      </c>
      <c r="CB152" s="20">
        <f t="shared" si="118"/>
        <v>4.5461092908206203E-12</v>
      </c>
      <c r="CC152" s="59">
        <f t="shared" si="119"/>
        <v>315.82275829563702</v>
      </c>
      <c r="CD152" s="59">
        <f ca="1">AVERAGE(OFFSET($CC$3,0,0,'Données projet'!$E$12+1,1))-AVERAGE(OFFSET($H$3,0,0,'Données projet'!$E$12+1,1))</f>
        <v>473.09076714002885</v>
      </c>
      <c r="CE152" s="59">
        <f t="shared" si="148"/>
        <v>311.6454557566534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69.718808615211657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69.718808615211657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-2.8421709430404007E-14</v>
      </c>
      <c r="CU152" s="17">
        <f>CT152*VLOOKUP('Données projet'!$B$13,Paramètres!$A$1:$I$89,3,0)*VLOOKUP('Données projet'!$B$13,Paramètres!$A$1:$I$89,5,0)</f>
        <v>-2.4829205358400945E-14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379.66247682099424</v>
      </c>
      <c r="CZ152" s="59">
        <f t="shared" si="150"/>
        <v>342.92507939604081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34.573268025350508</v>
      </c>
      <c r="DG152" s="21">
        <f>EXP(-LN(2)/25)*DG151+(1-EXP(-LN(2)/25))/(LN(2)/25)*Calculateur!DB152*Calculateur!DD152*VLOOKUP('Données projet'!$B$13,Paramètres!$A$1:$I$89,3,0)*0.475*44/12</f>
        <v>10.696702771734035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45.26997079708454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1.6</v>
      </c>
      <c r="DO152" s="12">
        <f>IF('Données projet'!$A$166&gt;35,DO151+DN152-DW151,IF(A152&lt;'Données projet'!$A$166,$DL$205^A152,IF(A152='Données projet'!$A$166,'Données projet'!$B$166,DO151+DN152-DW151)))</f>
        <v>314.40000000000089</v>
      </c>
      <c r="DP152" s="17">
        <f>DO152*VLOOKUP('Données projet'!$B$14,Paramètres!$A$1:$I$89,3,0)*VLOOKUP('Données projet'!$B$14,Paramètres!$A$1:$I$89,5,0)</f>
        <v>299.18304000000086</v>
      </c>
      <c r="DQ152" s="13">
        <f t="shared" si="151"/>
        <v>71.005170108340948</v>
      </c>
      <c r="DR152" s="20">
        <f t="shared" si="124"/>
        <v>644.74446593869527</v>
      </c>
      <c r="DS152" s="59">
        <f t="shared" si="125"/>
        <v>960.5672242343278</v>
      </c>
      <c r="DT152" s="59">
        <f ca="1">AVERAGE(OFFSET($DS$3,0,0,'Données projet'!$E$14+1,1))-AVERAGE(OFFSET($H$3,0,0,'Données projet'!$E$14+1,1))</f>
        <v>544.64394576312384</v>
      </c>
      <c r="DU152" s="59">
        <f t="shared" si="152"/>
        <v>310.67291035925484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29.413209948529559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29.413209948529559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-5.6843418860808015E-14</v>
      </c>
      <c r="EK152" s="17">
        <f>EJ152*VLOOKUP('Données projet'!$B$15,Paramètres!$A$1:$I$89,3,0)*VLOOKUP('Données projet'!$B$15,Paramètres!$A$1:$I$89,5,0)</f>
        <v>-5.4978954722173515E-14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276.72865583771579</v>
      </c>
      <c r="EP152" s="59">
        <f t="shared" si="154"/>
        <v>174.3587092851154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36.507966168352723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36.507966168352723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76.133479535172484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4.25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15.583333333333334</v>
      </c>
      <c r="H153" s="67">
        <f t="shared" si="110"/>
        <v>222.56666666666669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341.11752883785607</v>
      </c>
      <c r="T153" s="59">
        <f t="shared" si="142"/>
        <v>423.15445896616234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19.473661143727004</v>
      </c>
      <c r="AA153" s="21">
        <f>EXP(-LN(2)/25)*AA152+(1-EXP(-LN(2)/25))/(LN(2)/25)*Calculateur!V153*Calculateur!X153*VLOOKUP('Données projet'!$B$9,Paramètres!$A$1:$I$89,3,0)*0.475*44/12</f>
        <v>6.006501954947332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25.480163098674335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316</v>
      </c>
      <c r="AG153" s="12">
        <f>VLOOKUP(A153,'Données projet'!$A$61:$I$81,9,0)</f>
        <v>1.6</v>
      </c>
      <c r="AH153" s="12">
        <f t="array" ref="AH153">INDEX(AG:AG,MIN(IF(ISNUMBER(AG153:AG349),ROW(AG153:AG349),"")))</f>
        <v>1.6</v>
      </c>
      <c r="AI153" s="13">
        <f>IF('Données projet'!$A$62&gt;35,AI152+AH153-AQ152,IF(A153&lt;'Données projet'!$A$62,$AF$205^A153,IF(A153='Données projet'!$A$62,'Données projet'!$B$62,AI152+AH153-AQ152)))</f>
        <v>316.00000000000091</v>
      </c>
      <c r="AJ153" s="13">
        <f>AI153*VLOOKUP('Données projet'!$B$10,Paramètres!$A$1:$I$89,3,0)*VLOOKUP('Données projet'!$B$10,Paramètres!$A$1:$I$89,5,0)</f>
        <v>285.91680000000082</v>
      </c>
      <c r="AK153" s="13">
        <f t="shared" si="143"/>
        <v>68.21587297728766</v>
      </c>
      <c r="AL153" s="20">
        <f t="shared" si="112"/>
        <v>616.78107210211078</v>
      </c>
      <c r="AM153" s="59">
        <f t="shared" si="113"/>
        <v>932.70347436652537</v>
      </c>
      <c r="AN153" s="59">
        <f ca="1">AVERAGE(OFFSET($AM$3,0,0,'Données projet'!$E$10+1,1))-AVERAGE(OFFSET($H$3,0,0,'Données projet'!$E$10+1,1))</f>
        <v>521.72266623522626</v>
      </c>
      <c r="AO153" s="59">
        <f t="shared" si="144"/>
        <v>298.49205684341825</v>
      </c>
      <c r="AP153" s="15">
        <f>IF(ISNA(VLOOKUP(A153,'Données projet'!$A$61:$I$81,3,0)),0,VLOOKUP(A153,'Données projet'!$A$61:$I$81,3,0))</f>
        <v>20</v>
      </c>
      <c r="AQ153" s="15">
        <f>IF(ISNA(VLOOKUP(A153,'Données projet'!$A$61:$I$81,4,0)),0,VLOOKUP(A153,'Données projet'!$A$61:$I$81,4,0))</f>
        <v>316</v>
      </c>
      <c r="AR153" s="16">
        <f>IF(ISNA(VLOOKUP(A153,'Données projet'!$A$61:$I$81,5,0)),0%,VLOOKUP(A153,'Données projet'!$A$61:$I$81,5,0)*VLOOKUP('Données projet'!$B$10,Paramètres!$A$1:$I$89,7,0))</f>
        <v>0.25800000000000001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108.96496830163906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108.96496830163906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-6.7984728957526396E-14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376.5647919688821</v>
      </c>
      <c r="BJ153" s="59">
        <f t="shared" si="146"/>
        <v>340.34037344565581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36.881065548902576</v>
      </c>
      <c r="BQ153" s="21">
        <f>EXP(-LN(2)/25)*BQ152+(1-EXP(-LN(2)/25))/(LN(2)/25)*Calculateur!BL153*Calculateur!BN153*VLOOKUP('Données projet'!$B$11,Paramètres!$A$1:$I$89,3,0)*0.475*44/12</f>
        <v>9.9200167057493776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46.801082254651952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1.7053025658242404E-13</v>
      </c>
      <c r="BZ153" s="13">
        <f>BY153*VLOOKUP('Données projet'!$B$12,Paramètres!$A$1:$I$89,3,0)*VLOOKUP('Données projet'!$B$12,Paramètres!$A$1:$I$89,5,0)</f>
        <v>1.72917680174578E-13</v>
      </c>
      <c r="CA153" s="13">
        <f t="shared" si="147"/>
        <v>2.4372886112056825E-12</v>
      </c>
      <c r="CB153" s="20">
        <f t="shared" si="118"/>
        <v>4.5461092908206203E-12</v>
      </c>
      <c r="CC153" s="59">
        <f t="shared" si="119"/>
        <v>315.92240226441913</v>
      </c>
      <c r="CD153" s="59">
        <f ca="1">AVERAGE(OFFSET($CC$3,0,0,'Données projet'!$E$12+1,1))-AVERAGE(OFFSET($H$3,0,0,'Données projet'!$E$12+1,1))</f>
        <v>473.09076714002885</v>
      </c>
      <c r="CE153" s="59">
        <f t="shared" si="148"/>
        <v>311.6454557566534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68.35166530254169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68.35166530254169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-2.8421709430404007E-14</v>
      </c>
      <c r="CU153" s="17">
        <f>CT153*VLOOKUP('Données projet'!$B$13,Paramètres!$A$1:$I$89,3,0)*VLOOKUP('Données projet'!$B$13,Paramètres!$A$1:$I$89,5,0)</f>
        <v>-2.4829205358400945E-14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379.66247682099424</v>
      </c>
      <c r="CZ153" s="59">
        <f t="shared" si="150"/>
        <v>342.92507939604081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33.89530732698465</v>
      </c>
      <c r="DG153" s="21">
        <f>EXP(-LN(2)/25)*DG152+(1-EXP(-LN(2)/25))/(LN(2)/25)*Calculateur!DB153*Calculateur!DD153*VLOOKUP('Données projet'!$B$13,Paramètres!$A$1:$I$89,3,0)*0.475*44/12</f>
        <v>10.404200871925816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44.299508198910466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>
        <f>VLOOKUP(A153,'Données projet'!$A$165:$I$185,2,0)</f>
        <v>316</v>
      </c>
      <c r="DM153" s="12">
        <f>VLOOKUP(A153,'Données projet'!$A$165:$I$185,9,0)</f>
        <v>1.6</v>
      </c>
      <c r="DN153" s="12">
        <f t="array" ref="DN153">INDEX(DM:DM,MIN(IF(ISNUMBER(DM153:DM349),ROW(DM153:DM349),"")))</f>
        <v>1.6</v>
      </c>
      <c r="DO153" s="12">
        <f>IF('Données projet'!$A$166&gt;35,DO152+DN153-DW152,IF(A153&lt;'Données projet'!$A$166,$DL$205^A153,IF(A153='Données projet'!$A$166,'Données projet'!$B$166,DO152+DN153-DW152)))</f>
        <v>316.00000000000091</v>
      </c>
      <c r="DP153" s="17">
        <f>DO153*VLOOKUP('Données projet'!$B$14,Paramètres!$A$1:$I$89,3,0)*VLOOKUP('Données projet'!$B$14,Paramètres!$A$1:$I$89,5,0)</f>
        <v>300.70560000000086</v>
      </c>
      <c r="DQ153" s="13">
        <f t="shared" si="151"/>
        <v>71.324364107429645</v>
      </c>
      <c r="DR153" s="20">
        <f t="shared" si="124"/>
        <v>647.95218748710806</v>
      </c>
      <c r="DS153" s="59">
        <f t="shared" si="125"/>
        <v>963.87458975152265</v>
      </c>
      <c r="DT153" s="59">
        <f ca="1">AVERAGE(OFFSET($DS$3,0,0,'Données projet'!$E$14+1,1))-AVERAGE(OFFSET($H$3,0,0,'Données projet'!$E$14+1,1))</f>
        <v>544.64394576312384</v>
      </c>
      <c r="DU153" s="59">
        <f t="shared" si="152"/>
        <v>310.67291035925484</v>
      </c>
      <c r="DV153" s="15">
        <f>IF(ISNA(VLOOKUP(A153,'Données projet'!$A$165:$I$185,3,0)),0,VLOOKUP(A153,'Données projet'!$A$165:$I$185,3,0))</f>
        <v>20</v>
      </c>
      <c r="DW153" s="15">
        <f>IF(ISNA(VLOOKUP(A153,'Données projet'!$A$165:$I$185,4,0)),0,VLOOKUP(A153,'Données projet'!$A$165:$I$185,4,0))</f>
        <v>316</v>
      </c>
      <c r="DX153" s="16">
        <f>IF(ISNA(VLOOKUP(A153,'Données projet'!$A$165:$I$185,5,0)),0%,VLOOKUP(A153,'Données projet'!$A$165:$I$185,5,0)*VLOOKUP('Données projet'!$B$14,Paramètres!$A$1:$I$89,7,0))</f>
        <v>0.25800000000000001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114.60108735172386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114.60108735172386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-5.6843418860808015E-14</v>
      </c>
      <c r="EK153" s="17">
        <f>EJ153*VLOOKUP('Données projet'!$B$15,Paramètres!$A$1:$I$89,3,0)*VLOOKUP('Données projet'!$B$15,Paramètres!$A$1:$I$89,5,0)</f>
        <v>-5.4978954722173515E-14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276.72865583771579</v>
      </c>
      <c r="EP153" s="59">
        <f t="shared" si="154"/>
        <v>174.3587092851154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35.792067219451937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35.792067219451937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76.160655163022156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4.25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15.583333333333334</v>
      </c>
      <c r="H154" s="67">
        <f t="shared" si="110"/>
        <v>222.56666666666669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341.11752883785607</v>
      </c>
      <c r="T154" s="59">
        <f t="shared" si="142"/>
        <v>423.15445896616234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19.091794526458983</v>
      </c>
      <c r="AA154" s="21">
        <f>EXP(-LN(2)/25)*AA153+(1-EXP(-LN(2)/25))/(LN(2)/25)*Calculateur!V154*Calculateur!X154*VLOOKUP('Données projet'!$B$9,Paramètres!$A$1:$I$89,3,0)*0.475*44/12</f>
        <v>5.8422538431210871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24.934048369580069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9.0949470177292824E-13</v>
      </c>
      <c r="AJ154" s="13">
        <f>AI154*VLOOKUP('Données projet'!$B$10,Paramètres!$A$1:$I$89,3,0)*VLOOKUP('Données projet'!$B$10,Paramètres!$A$1:$I$89,5,0)</f>
        <v>8.2291080616414541E-13</v>
      </c>
      <c r="AK154" s="13">
        <f t="shared" ref="AK154:AK203" si="164">EXP(-1.0587+0.8836*LN(AJ154)+0.284)</f>
        <v>9.6729238395839706E-12</v>
      </c>
      <c r="AL154" s="20">
        <f t="shared" ref="AL154:AL203" si="165">(AJ154+AK154)*0.475*44/12</f>
        <v>1.8280245341344636E-11</v>
      </c>
      <c r="AM154" s="59">
        <f t="shared" si="113"/>
        <v>316.02031763312715</v>
      </c>
      <c r="AN154" s="59">
        <f ca="1">AVERAGE(OFFSET($AM$3,0,0,'Données projet'!$E$10+1,1))-AVERAGE(OFFSET($H$3,0,0,'Données projet'!$E$10+1,1))</f>
        <v>521.72266623522626</v>
      </c>
      <c r="AO154" s="59">
        <f t="shared" si="144"/>
        <v>298.49205684341825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106.828231735312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106.828231735312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-6.7984728957526396E-14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376.5647919688821</v>
      </c>
      <c r="BJ154" s="59">
        <f t="shared" si="146"/>
        <v>340.34037344565581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36.157850348717361</v>
      </c>
      <c r="BQ154" s="21">
        <f>EXP(-LN(2)/25)*BQ153+(1-EXP(-LN(2)/25))/(LN(2)/25)*Calculateur!BL154*Calculateur!BN154*VLOOKUP('Données projet'!$B$11,Paramètres!$A$1:$I$89,3,0)*0.475*44/12</f>
        <v>9.6487533272596551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45.806603675977016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1.7053025658242404E-13</v>
      </c>
      <c r="BZ154" s="13">
        <f>BY154*VLOOKUP('Données projet'!$B$12,Paramètres!$A$1:$I$89,3,0)*VLOOKUP('Données projet'!$B$12,Paramètres!$A$1:$I$89,5,0)</f>
        <v>1.72917680174578E-13</v>
      </c>
      <c r="CA154" s="13">
        <f t="shared" ref="CA154:CA203" si="170">EXP(-1.0587+0.8836*LN(BZ154)+0.284)</f>
        <v>2.4372886112056825E-12</v>
      </c>
      <c r="CB154" s="20">
        <f t="shared" ref="CB154:CB203" si="171">(BZ154+CA154)*0.475*44/12</f>
        <v>4.5461092908206203E-12</v>
      </c>
      <c r="CC154" s="59">
        <f t="shared" si="119"/>
        <v>316.02031763311339</v>
      </c>
      <c r="CD154" s="59">
        <f ca="1">AVERAGE(OFFSET($CC$3,0,0,'Données projet'!$E$12+1,1))-AVERAGE(OFFSET($H$3,0,0,'Données projet'!$E$12+1,1))</f>
        <v>473.09076714002885</v>
      </c>
      <c r="CE154" s="59">
        <f t="shared" si="148"/>
        <v>311.6454557566534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67.011330836358098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67.011330836358098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-2.8421709430404007E-14</v>
      </c>
      <c r="CU154" s="17">
        <f>CT154*VLOOKUP('Données projet'!$B$13,Paramètres!$A$1:$I$89,3,0)*VLOOKUP('Données projet'!$B$13,Paramètres!$A$1:$I$89,5,0)</f>
        <v>-2.4829205358400945E-14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379.66247682099424</v>
      </c>
      <c r="CZ154" s="59">
        <f t="shared" si="150"/>
        <v>342.92507939604081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33.230641024398551</v>
      </c>
      <c r="DG154" s="21">
        <f>EXP(-LN(2)/25)*DG153+(1-EXP(-LN(2)/25))/(LN(2)/25)*Calculateur!DB154*Calculateur!DD154*VLOOKUP('Données projet'!$B$13,Paramètres!$A$1:$I$89,3,0)*0.475*44/12</f>
        <v>10.119697451949861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43.350338476348412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9.0949470177292824E-13</v>
      </c>
      <c r="DP154" s="17">
        <f>DO154*VLOOKUP('Données projet'!$B$14,Paramètres!$A$1:$I$89,3,0)*VLOOKUP('Données projet'!$B$14,Paramètres!$A$1:$I$89,5,0)</f>
        <v>8.6547515820711851E-13</v>
      </c>
      <c r="DQ154" s="13">
        <f t="shared" ref="DQ154:DQ203" si="176">EXP(-1.0587+0.8836*LN(DP154)+0.284)</f>
        <v>1.0113703919726002E-11</v>
      </c>
      <c r="DR154" s="20">
        <f t="shared" ref="DR154:DR203" si="177">(DP154+DQ154)*0.475*44/12</f>
        <v>1.9122070227400184E-11</v>
      </c>
      <c r="DS154" s="59">
        <f t="shared" si="125"/>
        <v>316.02031763312795</v>
      </c>
      <c r="DT154" s="59">
        <f ca="1">AVERAGE(OFFSET($DS$3,0,0,'Données projet'!$E$14+1,1))-AVERAGE(OFFSET($H$3,0,0,'Données projet'!$E$14+1,1))</f>
        <v>544.64394576312384</v>
      </c>
      <c r="DU154" s="59">
        <f t="shared" si="152"/>
        <v>310.67291035925484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112.35382992851781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112.35382992851781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-5.6843418860808015E-14</v>
      </c>
      <c r="EK154" s="17">
        <f>EJ154*VLOOKUP('Données projet'!$B$15,Paramètres!$A$1:$I$89,3,0)*VLOOKUP('Données projet'!$B$15,Paramètres!$A$1:$I$89,5,0)</f>
        <v>-5.4978954722173515E-14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276.72865583771579</v>
      </c>
      <c r="EP154" s="59">
        <f t="shared" si="154"/>
        <v>174.3587092851154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35.090206612283858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35.090206612283858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76.187359354484229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4.25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15.583333333333334</v>
      </c>
      <c r="H155" s="67">
        <f t="shared" si="110"/>
        <v>222.56666666666669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341.11752883785607</v>
      </c>
      <c r="T155" s="59">
        <f t="shared" si="142"/>
        <v>423.15445896616234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18.71741608063995</v>
      </c>
      <c r="AA155" s="21">
        <f>EXP(-LN(2)/25)*AA154+(1-EXP(-LN(2)/25))/(LN(2)/25)*Calculateur!V155*Calculateur!X155*VLOOKUP('Données projet'!$B$9,Paramètres!$A$1:$I$89,3,0)*0.475*44/12</f>
        <v>5.6824971045501638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24.399913185190115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9.0949470177292824E-13</v>
      </c>
      <c r="AJ155" s="13">
        <f>AI155*VLOOKUP('Données projet'!$B$10,Paramètres!$A$1:$I$89,3,0)*VLOOKUP('Données projet'!$B$10,Paramètres!$A$1:$I$89,5,0)</f>
        <v>8.2291080616414541E-13</v>
      </c>
      <c r="AK155" s="13">
        <f t="shared" si="164"/>
        <v>9.6729238395839706E-12</v>
      </c>
      <c r="AL155" s="20">
        <f t="shared" si="165"/>
        <v>1.8280245341344636E-11</v>
      </c>
      <c r="AM155" s="59">
        <f t="shared" si="113"/>
        <v>316.11653438908053</v>
      </c>
      <c r="AN155" s="59">
        <f ca="1">AVERAGE(OFFSET($AM$3,0,0,'Données projet'!$E$10+1,1))-AVERAGE(OFFSET($H$3,0,0,'Données projet'!$E$10+1,1))</f>
        <v>521.72266623522626</v>
      </c>
      <c r="AO155" s="59">
        <f t="shared" si="144"/>
        <v>298.49205684341825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104.73339526977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104.73339526977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-6.7984728957526396E-14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376.5647919688821</v>
      </c>
      <c r="BJ155" s="59">
        <f t="shared" si="146"/>
        <v>340.34037344565581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35.448816957490067</v>
      </c>
      <c r="BQ155" s="21">
        <f>EXP(-LN(2)/25)*BQ154+(1-EXP(-LN(2)/25))/(LN(2)/25)*Calculateur!BL155*Calculateur!BN155*VLOOKUP('Données projet'!$B$11,Paramètres!$A$1:$I$89,3,0)*0.475*44/12</f>
        <v>9.384907660119854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44.833724617609917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1.7053025658242404E-13</v>
      </c>
      <c r="BZ155" s="13">
        <f>BY155*VLOOKUP('Données projet'!$B$12,Paramètres!$A$1:$I$89,3,0)*VLOOKUP('Données projet'!$B$12,Paramètres!$A$1:$I$89,5,0)</f>
        <v>1.72917680174578E-13</v>
      </c>
      <c r="CA155" s="13">
        <f t="shared" si="170"/>
        <v>2.4372886112056825E-12</v>
      </c>
      <c r="CB155" s="20">
        <f t="shared" si="171"/>
        <v>4.5461092908206203E-12</v>
      </c>
      <c r="CC155" s="59">
        <f t="shared" si="119"/>
        <v>316.11653438906677</v>
      </c>
      <c r="CD155" s="59">
        <f ca="1">AVERAGE(OFFSET($CC$3,0,0,'Données projet'!$E$12+1,1))-AVERAGE(OFFSET($H$3,0,0,'Données projet'!$E$12+1,1))</f>
        <v>473.09076714002885</v>
      </c>
      <c r="CE155" s="59">
        <f t="shared" si="148"/>
        <v>311.6454557566534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65.697279511533068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65.697279511533068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-2.8421709430404007E-14</v>
      </c>
      <c r="CU155" s="17">
        <f>CT155*VLOOKUP('Données projet'!$B$13,Paramètres!$A$1:$I$89,3,0)*VLOOKUP('Données projet'!$B$13,Paramètres!$A$1:$I$89,5,0)</f>
        <v>-2.4829205358400945E-14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379.66247682099424</v>
      </c>
      <c r="CZ155" s="59">
        <f t="shared" si="150"/>
        <v>342.92507939604081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32.579008422599756</v>
      </c>
      <c r="DG155" s="21">
        <f>EXP(-LN(2)/25)*DG154+(1-EXP(-LN(2)/25))/(LN(2)/25)*Calculateur!DB155*Calculateur!DD155*VLOOKUP('Données projet'!$B$13,Paramètres!$A$1:$I$89,3,0)*0.475*44/12</f>
        <v>9.8429737929545311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42.421982215554287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9.0949470177292824E-13</v>
      </c>
      <c r="DP155" s="17">
        <f>DO155*VLOOKUP('Données projet'!$B$14,Paramètres!$A$1:$I$89,3,0)*VLOOKUP('Données projet'!$B$14,Paramètres!$A$1:$I$89,5,0)</f>
        <v>8.6547515820711851E-13</v>
      </c>
      <c r="DQ155" s="13">
        <f t="shared" si="176"/>
        <v>1.0113703919726002E-11</v>
      </c>
      <c r="DR155" s="20">
        <f t="shared" si="177"/>
        <v>1.9122070227400184E-11</v>
      </c>
      <c r="DS155" s="59">
        <f t="shared" si="125"/>
        <v>316.11653438908132</v>
      </c>
      <c r="DT155" s="59">
        <f ca="1">AVERAGE(OFFSET($DS$3,0,0,'Données projet'!$E$14+1,1))-AVERAGE(OFFSET($H$3,0,0,'Données projet'!$E$14+1,1))</f>
        <v>544.64394576312384</v>
      </c>
      <c r="DU155" s="59">
        <f t="shared" si="152"/>
        <v>310.67291035925484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110.15063985268915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110.15063985268915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-5.6843418860808015E-14</v>
      </c>
      <c r="EK155" s="17">
        <f>EJ155*VLOOKUP('Données projet'!$B$15,Paramètres!$A$1:$I$89,3,0)*VLOOKUP('Données projet'!$B$15,Paramètres!$A$1:$I$89,5,0)</f>
        <v>-5.4978954722173515E-14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276.72865583771579</v>
      </c>
      <c r="EP155" s="59">
        <f t="shared" si="154"/>
        <v>174.3587092851154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34.402109063529643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34.402109063529643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76.21360028792607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4.25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15.583333333333334</v>
      </c>
      <c r="H156" s="67">
        <f t="shared" si="110"/>
        <v>222.56666666666669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341.11752883785607</v>
      </c>
      <c r="T156" s="59">
        <f t="shared" si="142"/>
        <v>423.15445896616234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18.350378967795123</v>
      </c>
      <c r="AA156" s="21">
        <f>EXP(-LN(2)/25)*AA155+(1-EXP(-LN(2)/25))/(LN(2)/25)*Calculateur!V156*Calculateur!X156*VLOOKUP('Données projet'!$B$9,Paramètres!$A$1:$I$89,3,0)*0.475*44/12</f>
        <v>5.527108922396704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23.877487890191826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9.0949470177292824E-13</v>
      </c>
      <c r="AJ156" s="13">
        <f>AI156*VLOOKUP('Données projet'!$B$10,Paramètres!$A$1:$I$89,3,0)*VLOOKUP('Données projet'!$B$10,Paramètres!$A$1:$I$89,5,0)</f>
        <v>8.2291080616414541E-13</v>
      </c>
      <c r="AK156" s="13">
        <f t="shared" si="164"/>
        <v>9.6729238395839706E-12</v>
      </c>
      <c r="AL156" s="20">
        <f t="shared" si="165"/>
        <v>1.8280245341344636E-11</v>
      </c>
      <c r="AM156" s="59">
        <f t="shared" si="113"/>
        <v>316.21108199942665</v>
      </c>
      <c r="AN156" s="59">
        <f ca="1">AVERAGE(OFFSET($AM$3,0,0,'Données projet'!$E$10+1,1))-AVERAGE(OFFSET($H$3,0,0,'Données projet'!$E$10+1,1))</f>
        <v>521.72266623522626</v>
      </c>
      <c r="AO156" s="59">
        <f t="shared" si="144"/>
        <v>298.49205684341825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102.6796372695932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102.6796372695932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-6.7984728957526396E-14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376.5647919688821</v>
      </c>
      <c r="BJ156" s="59">
        <f t="shared" si="146"/>
        <v>340.34037344565581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34.75368727859707</v>
      </c>
      <c r="BQ156" s="21">
        <f>EXP(-LN(2)/25)*BQ155+(1-EXP(-LN(2)/25))/(LN(2)/25)*Calculateur!BL156*Calculateur!BN156*VLOOKUP('Données projet'!$B$11,Paramètres!$A$1:$I$89,3,0)*0.475*44/12</f>
        <v>9.1282768666230325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43.881964145220103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1.7053025658242404E-13</v>
      </c>
      <c r="BZ156" s="13">
        <f>BY156*VLOOKUP('Données projet'!$B$12,Paramètres!$A$1:$I$89,3,0)*VLOOKUP('Données projet'!$B$12,Paramètres!$A$1:$I$89,5,0)</f>
        <v>1.72917680174578E-13</v>
      </c>
      <c r="CA156" s="13">
        <f t="shared" si="170"/>
        <v>2.4372886112056825E-12</v>
      </c>
      <c r="CB156" s="20">
        <f t="shared" si="171"/>
        <v>4.5461092908206203E-12</v>
      </c>
      <c r="CC156" s="59">
        <f t="shared" si="119"/>
        <v>316.2110819994129</v>
      </c>
      <c r="CD156" s="59">
        <f ca="1">AVERAGE(OFFSET($CC$3,0,0,'Données projet'!$E$12+1,1))-AVERAGE(OFFSET($H$3,0,0,'Données projet'!$E$12+1,1))</f>
        <v>473.09076714002885</v>
      </c>
      <c r="CE156" s="59">
        <f t="shared" si="148"/>
        <v>311.6454557566534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64.408995931695685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64.408995931695685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-2.8421709430404007E-14</v>
      </c>
      <c r="CU156" s="17">
        <f>CT156*VLOOKUP('Données projet'!$B$13,Paramètres!$A$1:$I$89,3,0)*VLOOKUP('Données projet'!$B$13,Paramètres!$A$1:$I$89,5,0)</f>
        <v>-2.4829205358400945E-14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379.66247682099424</v>
      </c>
      <c r="CZ156" s="59">
        <f t="shared" si="150"/>
        <v>342.92507939604081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31.940153938665592</v>
      </c>
      <c r="DG156" s="21">
        <f>EXP(-LN(2)/25)*DG155+(1-EXP(-LN(2)/25))/(LN(2)/25)*Calculateur!DB156*Calculateur!DD156*VLOOKUP('Données projet'!$B$13,Paramètres!$A$1:$I$89,3,0)*0.475*44/12</f>
        <v>9.5738171569666939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41.513971095632286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9.0949470177292824E-13</v>
      </c>
      <c r="DP156" s="17">
        <f>DO156*VLOOKUP('Données projet'!$B$14,Paramètres!$A$1:$I$89,3,0)*VLOOKUP('Données projet'!$B$14,Paramètres!$A$1:$I$89,5,0)</f>
        <v>8.6547515820711851E-13</v>
      </c>
      <c r="DQ156" s="13">
        <f t="shared" si="176"/>
        <v>1.0113703919726002E-11</v>
      </c>
      <c r="DR156" s="20">
        <f t="shared" si="177"/>
        <v>1.9122070227400184E-11</v>
      </c>
      <c r="DS156" s="59">
        <f t="shared" si="125"/>
        <v>316.21108199942745</v>
      </c>
      <c r="DT156" s="59">
        <f ca="1">AVERAGE(OFFSET($DS$3,0,0,'Données projet'!$E$14+1,1))-AVERAGE(OFFSET($H$3,0,0,'Données projet'!$E$14+1,1))</f>
        <v>544.64394576312384</v>
      </c>
      <c r="DU156" s="59">
        <f t="shared" si="152"/>
        <v>310.67291035925484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107.99065299043424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107.99065299043424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-5.6843418860808015E-14</v>
      </c>
      <c r="EK156" s="17">
        <f>EJ156*VLOOKUP('Données projet'!$B$15,Paramètres!$A$1:$I$89,3,0)*VLOOKUP('Données projet'!$B$15,Paramètres!$A$1:$I$89,5,0)</f>
        <v>-5.4978954722173515E-14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276.72865583771579</v>
      </c>
      <c r="EP156" s="59">
        <f t="shared" si="154"/>
        <v>174.3587092851154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33.727504688008437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33.727504688008437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76.239385999838632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4.25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15.583333333333334</v>
      </c>
      <c r="H157" s="67">
        <f t="shared" si="110"/>
        <v>222.56666666666669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341.11752883785607</v>
      </c>
      <c r="T157" s="59">
        <f t="shared" si="142"/>
        <v>423.15445896616234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17.990539228862652</v>
      </c>
      <c r="AA157" s="21">
        <f>EXP(-LN(2)/25)*AA156+(1-EXP(-LN(2)/25))/(LN(2)/25)*Calculateur!V157*Calculateur!X157*VLOOKUP('Données projet'!$B$9,Paramètres!$A$1:$I$89,3,0)*0.475*44/12</f>
        <v>5.3759698382557399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23.366509067118393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9.0949470177292824E-13</v>
      </c>
      <c r="AJ157" s="13">
        <f>AI157*VLOOKUP('Données projet'!$B$10,Paramètres!$A$1:$I$89,3,0)*VLOOKUP('Données projet'!$B$10,Paramètres!$A$1:$I$89,5,0)</f>
        <v>8.2291080616414541E-13</v>
      </c>
      <c r="AK157" s="13">
        <f t="shared" si="164"/>
        <v>9.6729238395839706E-12</v>
      </c>
      <c r="AL157" s="20">
        <f t="shared" si="165"/>
        <v>1.8280245341344636E-11</v>
      </c>
      <c r="AM157" s="59">
        <f t="shared" si="113"/>
        <v>316.30398942010999</v>
      </c>
      <c r="AN157" s="59">
        <f ca="1">AVERAGE(OFFSET($AM$3,0,0,'Données projet'!$E$10+1,1))-AVERAGE(OFFSET($H$3,0,0,'Données projet'!$E$10+1,1))</f>
        <v>521.72266623522626</v>
      </c>
      <c r="AO157" s="59">
        <f t="shared" si="144"/>
        <v>298.49205684341825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100.66615221113118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100.66615221113118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-6.7984728957526396E-14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376.5647919688821</v>
      </c>
      <c r="BJ157" s="59">
        <f t="shared" si="146"/>
        <v>340.34037344565581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34.072188668719924</v>
      </c>
      <c r="BQ157" s="21">
        <f>EXP(-LN(2)/25)*BQ156+(1-EXP(-LN(2)/25))/(LN(2)/25)*Calculateur!BL157*Calculateur!BN157*VLOOKUP('Données projet'!$B$11,Paramètres!$A$1:$I$89,3,0)*0.475*44/12</f>
        <v>8.8786636556700085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42.950852324389935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1.7053025658242404E-13</v>
      </c>
      <c r="BZ157" s="13">
        <f>BY157*VLOOKUP('Données projet'!$B$12,Paramètres!$A$1:$I$89,3,0)*VLOOKUP('Données projet'!$B$12,Paramètres!$A$1:$I$89,5,0)</f>
        <v>1.72917680174578E-13</v>
      </c>
      <c r="CA157" s="13">
        <f t="shared" si="170"/>
        <v>2.4372886112056825E-12</v>
      </c>
      <c r="CB157" s="20">
        <f t="shared" si="171"/>
        <v>4.5461092908206203E-12</v>
      </c>
      <c r="CC157" s="59">
        <f t="shared" si="119"/>
        <v>316.30398942009623</v>
      </c>
      <c r="CD157" s="59">
        <f ca="1">AVERAGE(OFFSET($CC$3,0,0,'Données projet'!$E$12+1,1))-AVERAGE(OFFSET($H$3,0,0,'Données projet'!$E$12+1,1))</f>
        <v>473.09076714002885</v>
      </c>
      <c r="CE157" s="59">
        <f t="shared" si="148"/>
        <v>311.6454557566534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63.145974807083519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63.145974807083519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-2.8421709430404007E-14</v>
      </c>
      <c r="CU157" s="17">
        <f>CT157*VLOOKUP('Données projet'!$B$13,Paramètres!$A$1:$I$89,3,0)*VLOOKUP('Données projet'!$B$13,Paramètres!$A$1:$I$89,5,0)</f>
        <v>-2.4829205358400945E-14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379.66247682099424</v>
      </c>
      <c r="CZ157" s="59">
        <f t="shared" si="150"/>
        <v>342.92507939604081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31.313827001498616</v>
      </c>
      <c r="DG157" s="21">
        <f>EXP(-LN(2)/25)*DG156+(1-EXP(-LN(2)/25))/(LN(2)/25)*Calculateur!DB157*Calculateur!DD157*VLOOKUP('Données projet'!$B$13,Paramètres!$A$1:$I$89,3,0)*0.475*44/12</f>
        <v>9.3120206233442762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40.625847624842891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9.0949470177292824E-13</v>
      </c>
      <c r="DP157" s="17">
        <f>DO157*VLOOKUP('Données projet'!$B$14,Paramètres!$A$1:$I$89,3,0)*VLOOKUP('Données projet'!$B$14,Paramètres!$A$1:$I$89,5,0)</f>
        <v>8.6547515820711851E-13</v>
      </c>
      <c r="DQ157" s="13">
        <f t="shared" si="176"/>
        <v>1.0113703919726002E-11</v>
      </c>
      <c r="DR157" s="20">
        <f t="shared" si="177"/>
        <v>1.9122070227400184E-11</v>
      </c>
      <c r="DS157" s="59">
        <f t="shared" si="125"/>
        <v>316.30398942011078</v>
      </c>
      <c r="DT157" s="59">
        <f ca="1">AVERAGE(OFFSET($DS$3,0,0,'Données projet'!$E$14+1,1))-AVERAGE(OFFSET($H$3,0,0,'Données projet'!$E$14+1,1))</f>
        <v>544.64394576312384</v>
      </c>
      <c r="DU157" s="59">
        <f t="shared" si="152"/>
        <v>310.67291035925484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105.87302215308624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105.87302215308624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-5.4978954722173515E-14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276.72865583771579</v>
      </c>
      <c r="EP157" s="59">
        <f t="shared" si="154"/>
        <v>174.3587092851154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33.066128892823158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33.066128892823158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76.264724387297733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4.25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15.583333333333334</v>
      </c>
      <c r="H158" s="67">
        <f t="shared" si="110"/>
        <v>222.56666666666669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341.11752883785607</v>
      </c>
      <c r="T158" s="59">
        <f t="shared" si="142"/>
        <v>423.15445896616234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17.637755727730077</v>
      </c>
      <c r="AA158" s="21">
        <f>EXP(-LN(2)/25)*AA157+(1-EXP(-LN(2)/25))/(LN(2)/25)*Calculateur!V158*Calculateur!X158*VLOOKUP('Données projet'!$B$9,Paramètres!$A$1:$I$89,3,0)*0.475*44/12</f>
        <v>5.2289636603186702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22.866719388048747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9.0949470177292824E-13</v>
      </c>
      <c r="AJ158" s="13">
        <f>AI158*VLOOKUP('Données projet'!$B$10,Paramètres!$A$1:$I$89,3,0)*VLOOKUP('Données projet'!$B$10,Paramètres!$A$1:$I$89,5,0)</f>
        <v>8.2291080616414541E-13</v>
      </c>
      <c r="AK158" s="13">
        <f t="shared" si="164"/>
        <v>9.6729238395839706E-12</v>
      </c>
      <c r="AL158" s="20">
        <f t="shared" si="165"/>
        <v>1.8280245341344636E-11</v>
      </c>
      <c r="AM158" s="59">
        <f t="shared" si="113"/>
        <v>316.39528510475435</v>
      </c>
      <c r="AN158" s="59">
        <f ca="1">AVERAGE(OFFSET($AM$3,0,0,'Données projet'!$E$10+1,1))-AVERAGE(OFFSET($H$3,0,0,'Données projet'!$E$10+1,1))</f>
        <v>521.72266623522626</v>
      </c>
      <c r="AO158" s="59">
        <f t="shared" si="144"/>
        <v>298.49205684341825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98.692150366560966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98.692150366560966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-6.7984728957526396E-14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376.5647919688821</v>
      </c>
      <c r="BJ158" s="59">
        <f t="shared" si="146"/>
        <v>340.34037344565581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33.404053830909362</v>
      </c>
      <c r="BQ158" s="21">
        <f>EXP(-LN(2)/25)*BQ157+(1-EXP(-LN(2)/25))/(LN(2)/25)*Calculateur!BL158*Calculateur!BN158*VLOOKUP('Données projet'!$B$11,Paramètres!$A$1:$I$89,3,0)*0.475*44/12</f>
        <v>8.6358761310970831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42.039929962006447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1.7053025658242404E-13</v>
      </c>
      <c r="BZ158" s="13">
        <f>BY158*VLOOKUP('Données projet'!$B$12,Paramètres!$A$1:$I$89,3,0)*VLOOKUP('Données projet'!$B$12,Paramètres!$A$1:$I$89,5,0)</f>
        <v>1.72917680174578E-13</v>
      </c>
      <c r="CA158" s="13">
        <f t="shared" si="170"/>
        <v>2.4372886112056825E-12</v>
      </c>
      <c r="CB158" s="20">
        <f t="shared" si="171"/>
        <v>4.5461092908206203E-12</v>
      </c>
      <c r="CC158" s="59">
        <f t="shared" si="119"/>
        <v>316.39528510474059</v>
      </c>
      <c r="CD158" s="59">
        <f ca="1">AVERAGE(OFFSET($CC$3,0,0,'Données projet'!$E$12+1,1))-AVERAGE(OFFSET($H$3,0,0,'Données projet'!$E$12+1,1))</f>
        <v>473.09076714002885</v>
      </c>
      <c r="CE158" s="59">
        <f t="shared" si="148"/>
        <v>311.6454557566534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61.907720756358181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61.907720756358181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-2.8421709430404007E-14</v>
      </c>
      <c r="CU158" s="17">
        <f>CT158*VLOOKUP('Données projet'!$B$13,Paramètres!$A$1:$I$89,3,0)*VLOOKUP('Données projet'!$B$13,Paramètres!$A$1:$I$89,5,0)</f>
        <v>-2.4829205358400945E-14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379.66247682099424</v>
      </c>
      <c r="CZ158" s="59">
        <f t="shared" si="150"/>
        <v>342.92507939604081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30.699781953547774</v>
      </c>
      <c r="DG158" s="21">
        <f>EXP(-LN(2)/25)*DG157+(1-EXP(-LN(2)/25))/(LN(2)/25)*Calculateur!DB158*Calculateur!DD158*VLOOKUP('Données projet'!$B$13,Paramètres!$A$1:$I$89,3,0)*0.475*44/12</f>
        <v>9.0573829297010455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39.757164883248819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9.0949470177292824E-13</v>
      </c>
      <c r="DP158" s="17">
        <f>DO158*VLOOKUP('Données projet'!$B$14,Paramètres!$A$1:$I$89,3,0)*VLOOKUP('Données projet'!$B$14,Paramètres!$A$1:$I$89,5,0)</f>
        <v>8.6547515820711851E-13</v>
      </c>
      <c r="DQ158" s="13">
        <f t="shared" si="176"/>
        <v>1.0113703919726002E-11</v>
      </c>
      <c r="DR158" s="20">
        <f t="shared" si="177"/>
        <v>1.9122070227400184E-11</v>
      </c>
      <c r="DS158" s="59">
        <f t="shared" si="125"/>
        <v>316.39528510475515</v>
      </c>
      <c r="DT158" s="59">
        <f ca="1">AVERAGE(OFFSET($DS$3,0,0,'Données projet'!$E$14+1,1))-AVERAGE(OFFSET($H$3,0,0,'Données projet'!$E$14+1,1))</f>
        <v>544.64394576312384</v>
      </c>
      <c r="DU158" s="59">
        <f t="shared" si="152"/>
        <v>310.67291035925484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103.79691676483137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103.79691676483137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-5.4978954722173515E-14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276.72865583771579</v>
      </c>
      <c r="EP158" s="59">
        <f t="shared" si="154"/>
        <v>174.3587092851154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32.417722273582065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32.417722273582065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76.289623210382558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4.25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15.583333333333334</v>
      </c>
      <c r="H159" s="67">
        <f t="shared" si="110"/>
        <v>222.56666666666669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341.11752883785607</v>
      </c>
      <c r="T159" s="59">
        <f t="shared" si="142"/>
        <v>423.15445896616234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17.291890095878024</v>
      </c>
      <c r="AA159" s="21">
        <f>EXP(-LN(2)/25)*AA158+(1-EXP(-LN(2)/25))/(LN(2)/25)*Calculateur!V159*Calculateur!X159*VLOOKUP('Données projet'!$B$9,Paramètres!$A$1:$I$89,3,0)*0.475*44/12</f>
        <v>5.0859773740480083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22.377867469926031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9.0949470177292824E-13</v>
      </c>
      <c r="AJ159" s="13">
        <f>AI159*VLOOKUP('Données projet'!$B$10,Paramètres!$A$1:$I$89,3,0)*VLOOKUP('Données projet'!$B$10,Paramètres!$A$1:$I$89,5,0)</f>
        <v>8.2291080616414541E-13</v>
      </c>
      <c r="AK159" s="13">
        <f t="shared" si="164"/>
        <v>9.6729238395839706E-12</v>
      </c>
      <c r="AL159" s="20">
        <f t="shared" si="165"/>
        <v>1.8280245341344636E-11</v>
      </c>
      <c r="AM159" s="59">
        <f t="shared" si="113"/>
        <v>316.4849970133767</v>
      </c>
      <c r="AN159" s="59">
        <f ca="1">AVERAGE(OFFSET($AM$3,0,0,'Données projet'!$E$10+1,1))-AVERAGE(OFFSET($H$3,0,0,'Données projet'!$E$10+1,1))</f>
        <v>521.72266623522626</v>
      </c>
      <c r="AO159" s="59">
        <f t="shared" si="144"/>
        <v>298.49205684341825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96.756857494140547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96.756857494140547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-6.7984728957526396E-14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376.5647919688821</v>
      </c>
      <c r="BJ159" s="59">
        <f t="shared" si="146"/>
        <v>340.34037344565581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32.749020709746254</v>
      </c>
      <c r="BQ159" s="21">
        <f>EXP(-LN(2)/25)*BQ158+(1-EXP(-LN(2)/25))/(LN(2)/25)*Calculateur!BL159*Calculateur!BN159*VLOOKUP('Données projet'!$B$11,Paramètres!$A$1:$I$89,3,0)*0.475*44/12</f>
        <v>8.3997276441512447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41.148748353897503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1.7053025658242404E-13</v>
      </c>
      <c r="BZ159" s="13">
        <f>BY159*VLOOKUP('Données projet'!$B$12,Paramètres!$A$1:$I$89,3,0)*VLOOKUP('Données projet'!$B$12,Paramètres!$A$1:$I$89,5,0)</f>
        <v>1.72917680174578E-13</v>
      </c>
      <c r="CA159" s="13">
        <f t="shared" si="170"/>
        <v>2.4372886112056825E-12</v>
      </c>
      <c r="CB159" s="20">
        <f t="shared" si="171"/>
        <v>4.5461092908206203E-12</v>
      </c>
      <c r="CC159" s="59">
        <f t="shared" si="119"/>
        <v>316.48499701336294</v>
      </c>
      <c r="CD159" s="59">
        <f ca="1">AVERAGE(OFFSET($CC$3,0,0,'Données projet'!$E$12+1,1))-AVERAGE(OFFSET($H$3,0,0,'Données projet'!$E$12+1,1))</f>
        <v>473.09076714002885</v>
      </c>
      <c r="CE159" s="59">
        <f t="shared" si="148"/>
        <v>311.6454557566534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60.693748112307169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60.693748112307169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-2.8421709430404007E-14</v>
      </c>
      <c r="CU159" s="17">
        <f>CT159*VLOOKUP('Données projet'!$B$13,Paramètres!$A$1:$I$89,3,0)*VLOOKUP('Données projet'!$B$13,Paramètres!$A$1:$I$89,5,0)</f>
        <v>-2.4829205358400945E-14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379.66247682099424</v>
      </c>
      <c r="CZ159" s="59">
        <f t="shared" si="150"/>
        <v>342.92507939604081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30.097777954456753</v>
      </c>
      <c r="DG159" s="21">
        <f>EXP(-LN(2)/25)*DG158+(1-EXP(-LN(2)/25))/(LN(2)/25)*Calculateur!DB159*Calculateur!DD159*VLOOKUP('Données projet'!$B$13,Paramètres!$A$1:$I$89,3,0)*0.475*44/12</f>
        <v>8.8097083171813022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38.907486271638057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9.0949470177292824E-13</v>
      </c>
      <c r="DP159" s="17">
        <f>DO159*VLOOKUP('Données projet'!$B$14,Paramètres!$A$1:$I$89,3,0)*VLOOKUP('Données projet'!$B$14,Paramètres!$A$1:$I$89,5,0)</f>
        <v>8.6547515820711851E-13</v>
      </c>
      <c r="DQ159" s="13">
        <f t="shared" si="176"/>
        <v>1.0113703919726002E-11</v>
      </c>
      <c r="DR159" s="20">
        <f t="shared" si="177"/>
        <v>1.9122070227400184E-11</v>
      </c>
      <c r="DS159" s="59">
        <f t="shared" si="125"/>
        <v>316.48499701337749</v>
      </c>
      <c r="DT159" s="59">
        <f ca="1">AVERAGE(OFFSET($DS$3,0,0,'Données projet'!$E$14+1,1))-AVERAGE(OFFSET($H$3,0,0,'Données projet'!$E$14+1,1))</f>
        <v>544.64394576312384</v>
      </c>
      <c r="DU159" s="59">
        <f t="shared" si="152"/>
        <v>310.67291035925484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101.76152253694092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101.76152253694092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-5.4978954722173515E-14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276.72865583771579</v>
      </c>
      <c r="EP159" s="59">
        <f t="shared" si="154"/>
        <v>174.3587092851154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31.7820305126553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31.7820305126553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76.314090094552284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4.25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15.583333333333334</v>
      </c>
      <c r="H160" s="67">
        <f t="shared" si="110"/>
        <v>222.56666666666669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341.11752883785607</v>
      </c>
      <c r="T160" s="59">
        <f t="shared" si="142"/>
        <v>423.15445896616234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16.952806678109383</v>
      </c>
      <c r="AA160" s="21">
        <f>EXP(-LN(2)/25)*AA159+(1-EXP(-LN(2)/25))/(LN(2)/25)*Calculateur!V160*Calculateur!X160*VLOOKUP('Données projet'!$B$9,Paramètres!$A$1:$I$89,3,0)*0.475*44/12</f>
        <v>4.9469010552947399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21.899707733404121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9.0949470177292824E-13</v>
      </c>
      <c r="AJ160" s="13">
        <f>AI160*VLOOKUP('Données projet'!$B$10,Paramètres!$A$1:$I$89,3,0)*VLOOKUP('Données projet'!$B$10,Paramètres!$A$1:$I$89,5,0)</f>
        <v>8.2291080616414541E-13</v>
      </c>
      <c r="AK160" s="13">
        <f t="shared" si="164"/>
        <v>9.6729238395839706E-12</v>
      </c>
      <c r="AL160" s="20">
        <f t="shared" si="165"/>
        <v>1.8280245341344636E-11</v>
      </c>
      <c r="AM160" s="59">
        <f t="shared" si="113"/>
        <v>316.57315262095022</v>
      </c>
      <c r="AN160" s="59">
        <f ca="1">AVERAGE(OFFSET($AM$3,0,0,'Données projet'!$E$10+1,1))-AVERAGE(OFFSET($H$3,0,0,'Données projet'!$E$10+1,1))</f>
        <v>521.72266623522626</v>
      </c>
      <c r="AO160" s="59">
        <f t="shared" si="144"/>
        <v>298.49205684341825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94.859514534536189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94.859514534536189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-6.7984728957526396E-14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376.5647919688821</v>
      </c>
      <c r="BJ160" s="59">
        <f t="shared" si="146"/>
        <v>340.34037344565581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32.106832388558402</v>
      </c>
      <c r="BQ160" s="21">
        <f>EXP(-LN(2)/25)*BQ159+(1-EXP(-LN(2)/25))/(LN(2)/25)*Calculateur!BL160*Calculateur!BN160*VLOOKUP('Données projet'!$B$11,Paramètres!$A$1:$I$89,3,0)*0.475*44/12</f>
        <v>8.1700366499994495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40.276869038557848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1.7053025658242404E-13</v>
      </c>
      <c r="BZ160" s="13">
        <f>BY160*VLOOKUP('Données projet'!$B$12,Paramètres!$A$1:$I$89,3,0)*VLOOKUP('Données projet'!$B$12,Paramètres!$A$1:$I$89,5,0)</f>
        <v>1.72917680174578E-13</v>
      </c>
      <c r="CA160" s="13">
        <f t="shared" si="170"/>
        <v>2.4372886112056825E-12</v>
      </c>
      <c r="CB160" s="20">
        <f t="shared" si="171"/>
        <v>4.5461092908206203E-12</v>
      </c>
      <c r="CC160" s="59">
        <f t="shared" si="119"/>
        <v>316.57315262093647</v>
      </c>
      <c r="CD160" s="59">
        <f ca="1">AVERAGE(OFFSET($CC$3,0,0,'Données projet'!$E$12+1,1))-AVERAGE(OFFSET($H$3,0,0,'Données projet'!$E$12+1,1))</f>
        <v>473.09076714002885</v>
      </c>
      <c r="CE160" s="59">
        <f t="shared" si="148"/>
        <v>311.6454557566534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59.503580731355797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59.503580731355797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-2.8421709430404007E-14</v>
      </c>
      <c r="CU160" s="17">
        <f>CT160*VLOOKUP('Données projet'!$B$13,Paramètres!$A$1:$I$89,3,0)*VLOOKUP('Données projet'!$B$13,Paramètres!$A$1:$I$89,5,0)</f>
        <v>-2.4829205358400945E-14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379.66247682099424</v>
      </c>
      <c r="CZ160" s="59">
        <f t="shared" si="150"/>
        <v>342.92507939604081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29.507578886601724</v>
      </c>
      <c r="DG160" s="21">
        <f>EXP(-LN(2)/25)*DG159+(1-EXP(-LN(2)/25))/(LN(2)/25)*Calculateur!DB160*Calculateur!DD160*VLOOKUP('Données projet'!$B$13,Paramètres!$A$1:$I$89,3,0)*0.475*44/12</f>
        <v>8.5688063799655545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38.076385266567279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9.0949470177292824E-13</v>
      </c>
      <c r="DP160" s="17">
        <f>DO160*VLOOKUP('Données projet'!$B$14,Paramètres!$A$1:$I$89,3,0)*VLOOKUP('Données projet'!$B$14,Paramètres!$A$1:$I$89,5,0)</f>
        <v>8.6547515820711851E-13</v>
      </c>
      <c r="DQ160" s="13">
        <f t="shared" si="176"/>
        <v>1.0113703919726002E-11</v>
      </c>
      <c r="DR160" s="20">
        <f t="shared" si="177"/>
        <v>1.9122070227400184E-11</v>
      </c>
      <c r="DS160" s="59">
        <f t="shared" si="125"/>
        <v>316.57315262095102</v>
      </c>
      <c r="DT160" s="59">
        <f ca="1">AVERAGE(OFFSET($DS$3,0,0,'Données projet'!$E$14+1,1))-AVERAGE(OFFSET($H$3,0,0,'Données projet'!$E$14+1,1))</f>
        <v>544.64394576312384</v>
      </c>
      <c r="DU160" s="59">
        <f t="shared" si="152"/>
        <v>310.67291035925484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99.766041148391508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99.766041148391508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-5.4978954722173515E-14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276.72865583771579</v>
      </c>
      <c r="EP160" s="59">
        <f t="shared" si="154"/>
        <v>174.3587092851154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31.158804279426619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31.158804279426619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76.338132532981433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4.25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15.583333333333334</v>
      </c>
      <c r="H161" s="67">
        <f t="shared" si="110"/>
        <v>222.56666666666669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341.11752883785607</v>
      </c>
      <c r="T161" s="59">
        <f t="shared" si="142"/>
        <v>423.15445896616234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16.620372479342723</v>
      </c>
      <c r="AA161" s="21">
        <f>EXP(-LN(2)/25)*AA160+(1-EXP(-LN(2)/25))/(LN(2)/25)*Calculateur!V161*Calculateur!X161*VLOOKUP('Données projet'!$B$9,Paramètres!$A$1:$I$89,3,0)*0.475*44/12</f>
        <v>4.8116277857914849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21.432000265134207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9.0949470177292824E-13</v>
      </c>
      <c r="AJ161" s="13">
        <f>AI161*VLOOKUP('Données projet'!$B$10,Paramètres!$A$1:$I$89,3,0)*VLOOKUP('Données projet'!$B$10,Paramètres!$A$1:$I$89,5,0)</f>
        <v>8.2291080616414541E-13</v>
      </c>
      <c r="AK161" s="13">
        <f t="shared" si="164"/>
        <v>9.6729238395839706E-12</v>
      </c>
      <c r="AL161" s="20">
        <f t="shared" si="165"/>
        <v>1.8280245341344636E-11</v>
      </c>
      <c r="AM161" s="59">
        <f t="shared" si="113"/>
        <v>316.65977892581878</v>
      </c>
      <c r="AN161" s="59">
        <f ca="1">AVERAGE(OFFSET($AM$3,0,0,'Données projet'!$E$10+1,1))-AVERAGE(OFFSET($H$3,0,0,'Données projet'!$E$10+1,1))</f>
        <v>521.72266623522626</v>
      </c>
      <c r="AO161" s="59">
        <f t="shared" si="144"/>
        <v>298.49205684341825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92.999377313104745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92.999377313104745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-6.7984728957526396E-14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376.5647919688821</v>
      </c>
      <c r="BJ161" s="59">
        <f t="shared" si="146"/>
        <v>340.34037344565581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31.477236988652844</v>
      </c>
      <c r="BQ161" s="21">
        <f>EXP(-LN(2)/25)*BQ160+(1-EXP(-LN(2)/25))/(LN(2)/25)*Calculateur!BL161*Calculateur!BN161*VLOOKUP('Données projet'!$B$11,Paramètres!$A$1:$I$89,3,0)*0.475*44/12</f>
        <v>7.9466265681616601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39.423863556814503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1.7053025658242404E-13</v>
      </c>
      <c r="BZ161" s="13">
        <f>BY161*VLOOKUP('Données projet'!$B$12,Paramètres!$A$1:$I$89,3,0)*VLOOKUP('Données projet'!$B$12,Paramètres!$A$1:$I$89,5,0)</f>
        <v>1.72917680174578E-13</v>
      </c>
      <c r="CA161" s="13">
        <f t="shared" si="170"/>
        <v>2.4372886112056825E-12</v>
      </c>
      <c r="CB161" s="20">
        <f t="shared" si="171"/>
        <v>4.5461092908206203E-12</v>
      </c>
      <c r="CC161" s="59">
        <f t="shared" si="119"/>
        <v>316.65977892580503</v>
      </c>
      <c r="CD161" s="59">
        <f ca="1">AVERAGE(OFFSET($CC$3,0,0,'Données projet'!$E$12+1,1))-AVERAGE(OFFSET($H$3,0,0,'Données projet'!$E$12+1,1))</f>
        <v>473.09076714002885</v>
      </c>
      <c r="CE161" s="59">
        <f t="shared" si="148"/>
        <v>311.6454557566534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58.336751806814462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58.336751806814462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-2.8421709430404007E-14</v>
      </c>
      <c r="CU161" s="17">
        <f>CT161*VLOOKUP('Données projet'!$B$13,Paramètres!$A$1:$I$89,3,0)*VLOOKUP('Données projet'!$B$13,Paramètres!$A$1:$I$89,5,0)</f>
        <v>-2.4829205358400945E-14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379.66247682099424</v>
      </c>
      <c r="CZ161" s="59">
        <f t="shared" si="150"/>
        <v>342.92507939604081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28.928953262481446</v>
      </c>
      <c r="DG161" s="21">
        <f>EXP(-LN(2)/25)*DG160+(1-EXP(-LN(2)/25))/(LN(2)/25)*Calculateur!DB161*Calculateur!DD161*VLOOKUP('Données projet'!$B$13,Paramètres!$A$1:$I$89,3,0)*0.475*44/12</f>
        <v>8.3344919188914535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37.263445181372902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9.0949470177292824E-13</v>
      </c>
      <c r="DP161" s="17">
        <f>DO161*VLOOKUP('Données projet'!$B$14,Paramètres!$A$1:$I$89,3,0)*VLOOKUP('Données projet'!$B$14,Paramètres!$A$1:$I$89,5,0)</f>
        <v>8.6547515820711851E-13</v>
      </c>
      <c r="DQ161" s="13">
        <f t="shared" si="176"/>
        <v>1.0113703919726002E-11</v>
      </c>
      <c r="DR161" s="20">
        <f t="shared" si="177"/>
        <v>1.9122070227400184E-11</v>
      </c>
      <c r="DS161" s="59">
        <f t="shared" si="125"/>
        <v>316.65977892581958</v>
      </c>
      <c r="DT161" s="59">
        <f ca="1">AVERAGE(OFFSET($DS$3,0,0,'Données projet'!$E$14+1,1))-AVERAGE(OFFSET($H$3,0,0,'Données projet'!$E$14+1,1))</f>
        <v>544.64394576312384</v>
      </c>
      <c r="DU161" s="59">
        <f t="shared" si="152"/>
        <v>310.67291035925484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97.809689932748086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97.809689932748086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-5.4978954722173515E-14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276.72865583771579</v>
      </c>
      <c r="EP161" s="59">
        <f t="shared" si="154"/>
        <v>174.3587092851154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30.547799132501087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30.547799132501087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76.361757888854683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4.25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15.583333333333334</v>
      </c>
      <c r="H162" s="67">
        <f t="shared" si="110"/>
        <v>222.56666666666669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341.11752883785607</v>
      </c>
      <c r="T162" s="59">
        <f t="shared" si="142"/>
        <v>423.15445896616234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16.294457112449038</v>
      </c>
      <c r="AA162" s="21">
        <f>EXP(-LN(2)/25)*AA161+(1-EXP(-LN(2)/25))/(LN(2)/25)*Calculateur!V162*Calculateur!X162*VLOOKUP('Données projet'!$B$9,Paramètres!$A$1:$I$89,3,0)*0.475*44/12</f>
        <v>4.6800535709565088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20.974510683405548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9.0949470177292824E-13</v>
      </c>
      <c r="AJ162" s="13">
        <f>AI162*VLOOKUP('Données projet'!$B$10,Paramètres!$A$1:$I$89,3,0)*VLOOKUP('Données projet'!$B$10,Paramètres!$A$1:$I$89,5,0)</f>
        <v>8.2291080616414541E-13</v>
      </c>
      <c r="AK162" s="13">
        <f t="shared" si="164"/>
        <v>9.6729238395839706E-12</v>
      </c>
      <c r="AL162" s="20">
        <f t="shared" si="165"/>
        <v>1.8280245341344636E-11</v>
      </c>
      <c r="AM162" s="59">
        <f t="shared" si="113"/>
        <v>316.74490245796528</v>
      </c>
      <c r="AN162" s="59">
        <f ca="1">AVERAGE(OFFSET($AM$3,0,0,'Données projet'!$E$10+1,1))-AVERAGE(OFFSET($H$3,0,0,'Données projet'!$E$10+1,1))</f>
        <v>521.72266623522626</v>
      </c>
      <c r="AO162" s="59">
        <f t="shared" si="144"/>
        <v>298.49205684341825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91.175716248013885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91.175716248013885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-6.7984728957526396E-14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376.5647919688821</v>
      </c>
      <c r="BJ162" s="59">
        <f t="shared" si="146"/>
        <v>340.34037344565581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30.859987570524162</v>
      </c>
      <c r="BQ162" s="21">
        <f>EXP(-LN(2)/25)*BQ161+(1-EXP(-LN(2)/25))/(LN(2)/25)*Calculateur!BL162*Calculateur!BN162*VLOOKUP('Données projet'!$B$11,Paramètres!$A$1:$I$89,3,0)*0.475*44/12</f>
        <v>7.7293256467603504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38.589313217284513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1.7053025658242404E-13</v>
      </c>
      <c r="BZ162" s="13">
        <f>BY162*VLOOKUP('Données projet'!$B$12,Paramètres!$A$1:$I$89,3,0)*VLOOKUP('Données projet'!$B$12,Paramètres!$A$1:$I$89,5,0)</f>
        <v>1.72917680174578E-13</v>
      </c>
      <c r="CA162" s="13">
        <f t="shared" si="170"/>
        <v>2.4372886112056825E-12</v>
      </c>
      <c r="CB162" s="20">
        <f t="shared" si="171"/>
        <v>4.5461092908206203E-12</v>
      </c>
      <c r="CC162" s="59">
        <f t="shared" si="119"/>
        <v>316.74490245795153</v>
      </c>
      <c r="CD162" s="59">
        <f ca="1">AVERAGE(OFFSET($CC$3,0,0,'Données projet'!$E$12+1,1))-AVERAGE(OFFSET($H$3,0,0,'Données projet'!$E$12+1,1))</f>
        <v>473.09076714002885</v>
      </c>
      <c r="CE162" s="59">
        <f t="shared" si="148"/>
        <v>311.6454557566534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57.192803685788014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57.192803685788014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-2.8421709430404007E-14</v>
      </c>
      <c r="CU162" s="17">
        <f>CT162*VLOOKUP('Données projet'!$B$13,Paramètres!$A$1:$I$89,3,0)*VLOOKUP('Données projet'!$B$13,Paramètres!$A$1:$I$89,5,0)</f>
        <v>-2.4829205358400945E-14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379.66247682099424</v>
      </c>
      <c r="CZ162" s="59">
        <f t="shared" si="150"/>
        <v>342.92507939604081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28.361674133923383</v>
      </c>
      <c r="DG162" s="21">
        <f>EXP(-LN(2)/25)*DG161+(1-EXP(-LN(2)/25))/(LN(2)/25)*Calculateur!DB162*Calculateur!DD162*VLOOKUP('Données projet'!$B$13,Paramètres!$A$1:$I$89,3,0)*0.475*44/12</f>
        <v>8.1065847990774849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36.468258933000868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9.0949470177292824E-13</v>
      </c>
      <c r="DP162" s="17">
        <f>DO162*VLOOKUP('Données projet'!$B$14,Paramètres!$A$1:$I$89,3,0)*VLOOKUP('Données projet'!$B$14,Paramètres!$A$1:$I$89,5,0)</f>
        <v>8.6547515820711851E-13</v>
      </c>
      <c r="DQ162" s="13">
        <f t="shared" si="176"/>
        <v>1.0113703919726002E-11</v>
      </c>
      <c r="DR162" s="20">
        <f t="shared" si="177"/>
        <v>1.9122070227400184E-11</v>
      </c>
      <c r="DS162" s="59">
        <f t="shared" si="125"/>
        <v>316.74490245796608</v>
      </c>
      <c r="DT162" s="59">
        <f ca="1">AVERAGE(OFFSET($DS$3,0,0,'Données projet'!$E$14+1,1))-AVERAGE(OFFSET($H$3,0,0,'Données projet'!$E$14+1,1))</f>
        <v>544.64394576312384</v>
      </c>
      <c r="DU162" s="59">
        <f t="shared" si="152"/>
        <v>310.67291035925484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95.891701571187014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95.891701571187014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-5.4978954722173515E-14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276.72865583771579</v>
      </c>
      <c r="EP162" s="59">
        <f t="shared" si="154"/>
        <v>174.3587092851154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29.948775423830423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29.948775423830423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76.384973397621906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4.25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15.583333333333334</v>
      </c>
      <c r="H163" s="67">
        <f t="shared" si="110"/>
        <v>222.56666666666669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341.11752883785607</v>
      </c>
      <c r="T163" s="59">
        <f t="shared" si="142"/>
        <v>423.15445896616234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15.974932747111392</v>
      </c>
      <c r="AA163" s="21">
        <f>EXP(-LN(2)/25)*AA162+(1-EXP(-LN(2)/25))/(LN(2)/25)*Calculateur!V163*Calculateur!X163*VLOOKUP('Données projet'!$B$9,Paramètres!$A$1:$I$89,3,0)*0.475*44/12</f>
        <v>4.5520772599453823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20.527010007056774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9.0949470177292824E-13</v>
      </c>
      <c r="AJ163" s="13">
        <f>AI163*VLOOKUP('Données projet'!$B$10,Paramètres!$A$1:$I$89,3,0)*VLOOKUP('Données projet'!$B$10,Paramètres!$A$1:$I$89,5,0)</f>
        <v>8.2291080616414541E-13</v>
      </c>
      <c r="AK163" s="13">
        <f t="shared" si="164"/>
        <v>9.6729238395839706E-12</v>
      </c>
      <c r="AL163" s="20">
        <f t="shared" si="165"/>
        <v>1.8280245341344636E-11</v>
      </c>
      <c r="AM163" s="59">
        <f t="shared" si="113"/>
        <v>316.82854928713675</v>
      </c>
      <c r="AN163" s="59">
        <f ca="1">AVERAGE(OFFSET($AM$3,0,0,'Données projet'!$E$10+1,1))-AVERAGE(OFFSET($H$3,0,0,'Données projet'!$E$10+1,1))</f>
        <v>521.72266623522626</v>
      </c>
      <c r="AO163" s="59">
        <f t="shared" si="144"/>
        <v>298.49205684341825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89.387816064086039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89.387816064086039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-6.7984728957526396E-14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376.5647919688821</v>
      </c>
      <c r="BJ163" s="59">
        <f t="shared" si="146"/>
        <v>340.34037344565581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30.25484203700001</v>
      </c>
      <c r="BQ163" s="21">
        <f>EXP(-LN(2)/25)*BQ162+(1-EXP(-LN(2)/25))/(LN(2)/25)*Calculateur!BL163*Calculateur!BN163*VLOOKUP('Données projet'!$B$11,Paramètres!$A$1:$I$89,3,0)*0.475*44/12</f>
        <v>7.5179668304821181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37.772808867482127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1.7053025658242404E-13</v>
      </c>
      <c r="BZ163" s="13">
        <f>BY163*VLOOKUP('Données projet'!$B$12,Paramètres!$A$1:$I$89,3,0)*VLOOKUP('Données projet'!$B$12,Paramètres!$A$1:$I$89,5,0)</f>
        <v>1.72917680174578E-13</v>
      </c>
      <c r="CA163" s="13">
        <f t="shared" si="170"/>
        <v>2.4372886112056825E-12</v>
      </c>
      <c r="CB163" s="20">
        <f t="shared" si="171"/>
        <v>4.5461092908206203E-12</v>
      </c>
      <c r="CC163" s="59">
        <f t="shared" si="119"/>
        <v>316.828549287123</v>
      </c>
      <c r="CD163" s="59">
        <f ca="1">AVERAGE(OFFSET($CC$3,0,0,'Données projet'!$E$12+1,1))-AVERAGE(OFFSET($H$3,0,0,'Données projet'!$E$12+1,1))</f>
        <v>473.09076714002885</v>
      </c>
      <c r="CE163" s="59">
        <f t="shared" si="148"/>
        <v>311.6454557566534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56.071287689675437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56.071287689675437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-2.8421709430404007E-14</v>
      </c>
      <c r="CU163" s="17">
        <f>CT163*VLOOKUP('Données projet'!$B$13,Paramètres!$A$1:$I$89,3,0)*VLOOKUP('Données projet'!$B$13,Paramètres!$A$1:$I$89,5,0)</f>
        <v>-2.4829205358400945E-14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379.66247682099424</v>
      </c>
      <c r="CZ163" s="59">
        <f t="shared" si="150"/>
        <v>342.92507939604081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27.805519003070241</v>
      </c>
      <c r="DG163" s="21">
        <f>EXP(-LN(2)/25)*DG162+(1-EXP(-LN(2)/25))/(LN(2)/25)*Calculateur!DB163*Calculateur!DD163*VLOOKUP('Données projet'!$B$13,Paramètres!$A$1:$I$89,3,0)*0.475*44/12</f>
        <v>7.8849098114399441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35.690428814510184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9.0949470177292824E-13</v>
      </c>
      <c r="DP163" s="17">
        <f>DO163*VLOOKUP('Données projet'!$B$14,Paramètres!$A$1:$I$89,3,0)*VLOOKUP('Données projet'!$B$14,Paramètres!$A$1:$I$89,5,0)</f>
        <v>8.6547515820711851E-13</v>
      </c>
      <c r="DQ163" s="13">
        <f t="shared" si="176"/>
        <v>1.0113703919726002E-11</v>
      </c>
      <c r="DR163" s="20">
        <f t="shared" si="177"/>
        <v>1.9122070227400184E-11</v>
      </c>
      <c r="DS163" s="59">
        <f t="shared" si="125"/>
        <v>316.82854928713755</v>
      </c>
      <c r="DT163" s="59">
        <f ca="1">AVERAGE(OFFSET($DS$3,0,0,'Données projet'!$E$14+1,1))-AVERAGE(OFFSET($H$3,0,0,'Données projet'!$E$14+1,1))</f>
        <v>544.64394576312384</v>
      </c>
      <c r="DU163" s="59">
        <f t="shared" si="152"/>
        <v>310.67291035925484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94.011323791538771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94.011323791538771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-5.4978954722173515E-14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276.72865583771579</v>
      </c>
      <c r="EP163" s="59">
        <f t="shared" si="154"/>
        <v>174.3587092851154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29.361498204718405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29.361498204718405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76.40778616921412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4.25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15.583333333333334</v>
      </c>
      <c r="H164" s="67">
        <f t="shared" si="110"/>
        <v>222.56666666666669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341.11752883785607</v>
      </c>
      <c r="T164" s="59">
        <f t="shared" si="142"/>
        <v>423.15445896616234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15.661674059687398</v>
      </c>
      <c r="AA164" s="21">
        <f>EXP(-LN(2)/25)*AA163+(1-EXP(-LN(2)/25))/(LN(2)/25)*Calculateur!V164*Calculateur!X164*VLOOKUP('Données projet'!$B$9,Paramètres!$A$1:$I$89,3,0)*0.475*44/12</f>
        <v>4.427600467888837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20.089274527576237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9.0949470177292824E-13</v>
      </c>
      <c r="AJ164" s="13">
        <f>AI164*VLOOKUP('Données projet'!$B$10,Paramètres!$A$1:$I$89,3,0)*VLOOKUP('Données projet'!$B$10,Paramètres!$A$1:$I$89,5,0)</f>
        <v>8.2291080616414541E-13</v>
      </c>
      <c r="AK164" s="13">
        <f t="shared" si="164"/>
        <v>9.6729238395839706E-12</v>
      </c>
      <c r="AL164" s="20">
        <f t="shared" si="165"/>
        <v>1.8280245341344636E-11</v>
      </c>
      <c r="AM164" s="59">
        <f t="shared" si="113"/>
        <v>316.91074503082837</v>
      </c>
      <c r="AN164" s="59">
        <f ca="1">AVERAGE(OFFSET($AM$3,0,0,'Données projet'!$E$10+1,1))-AVERAGE(OFFSET($H$3,0,0,'Données projet'!$E$10+1,1))</f>
        <v>521.72266623522626</v>
      </c>
      <c r="AO164" s="59">
        <f t="shared" si="144"/>
        <v>298.49205684341825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87.63497551225359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87.63497551225359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-6.7984728957526396E-14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376.5647919688821</v>
      </c>
      <c r="BJ164" s="59">
        <f t="shared" si="146"/>
        <v>340.34037344565581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29.661563038285937</v>
      </c>
      <c r="BQ164" s="21">
        <f>EXP(-LN(2)/25)*BQ163+(1-EXP(-LN(2)/25))/(LN(2)/25)*Calculateur!BL164*Calculateur!BN164*VLOOKUP('Données projet'!$B$11,Paramètres!$A$1:$I$89,3,0)*0.475*44/12</f>
        <v>7.3123876321498917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36.973950670435826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1.7053025658242404E-13</v>
      </c>
      <c r="BZ164" s="13">
        <f>BY164*VLOOKUP('Données projet'!$B$12,Paramètres!$A$1:$I$89,3,0)*VLOOKUP('Données projet'!$B$12,Paramètres!$A$1:$I$89,5,0)</f>
        <v>1.72917680174578E-13</v>
      </c>
      <c r="CA164" s="13">
        <f t="shared" si="170"/>
        <v>2.4372886112056825E-12</v>
      </c>
      <c r="CB164" s="20">
        <f t="shared" si="171"/>
        <v>4.5461092908206203E-12</v>
      </c>
      <c r="CC164" s="59">
        <f t="shared" si="119"/>
        <v>316.91074503081461</v>
      </c>
      <c r="CD164" s="59">
        <f ca="1">AVERAGE(OFFSET($CC$3,0,0,'Données projet'!$E$12+1,1))-AVERAGE(OFFSET($H$3,0,0,'Données projet'!$E$12+1,1))</f>
        <v>473.09076714002885</v>
      </c>
      <c r="CE164" s="59">
        <f t="shared" si="148"/>
        <v>311.6454557566534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54.971763938189412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54.971763938189412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-2.8421709430404007E-14</v>
      </c>
      <c r="CU164" s="17">
        <f>CT164*VLOOKUP('Données projet'!$B$13,Paramètres!$A$1:$I$89,3,0)*VLOOKUP('Données projet'!$B$13,Paramètres!$A$1:$I$89,5,0)</f>
        <v>-2.4829205358400945E-14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379.66247682099424</v>
      </c>
      <c r="CZ164" s="59">
        <f t="shared" si="150"/>
        <v>342.92507939604081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27.260269735111994</v>
      </c>
      <c r="DG164" s="21">
        <f>EXP(-LN(2)/25)*DG163+(1-EXP(-LN(2)/25))/(LN(2)/25)*Calculateur!DB164*Calculateur!DD164*VLOOKUP('Données projet'!$B$13,Paramètres!$A$1:$I$89,3,0)*0.475*44/12</f>
        <v>7.6692965379967326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34.929566273108726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9.0949470177292824E-13</v>
      </c>
      <c r="DP164" s="17">
        <f>DO164*VLOOKUP('Données projet'!$B$14,Paramètres!$A$1:$I$89,3,0)*VLOOKUP('Données projet'!$B$14,Paramètres!$A$1:$I$89,5,0)</f>
        <v>8.6547515820711851E-13</v>
      </c>
      <c r="DQ164" s="13">
        <f t="shared" si="176"/>
        <v>1.0113703919726002E-11</v>
      </c>
      <c r="DR164" s="20">
        <f t="shared" si="177"/>
        <v>1.9122070227400184E-11</v>
      </c>
      <c r="DS164" s="59">
        <f t="shared" si="125"/>
        <v>316.91074503082916</v>
      </c>
      <c r="DT164" s="59">
        <f ca="1">AVERAGE(OFFSET($DS$3,0,0,'Données projet'!$E$14+1,1))-AVERAGE(OFFSET($H$3,0,0,'Données projet'!$E$14+1,1))</f>
        <v>544.64394576312384</v>
      </c>
      <c r="DU164" s="59">
        <f t="shared" si="152"/>
        <v>310.67291035925484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92.167819073232238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92.167819073232238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-5.4978954722173515E-14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276.72865583771579</v>
      </c>
      <c r="EP164" s="59">
        <f t="shared" si="154"/>
        <v>174.3587092851154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28.785737133669439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28.785737133669439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76.430203190220922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4.25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15.583333333333334</v>
      </c>
      <c r="H165" s="67">
        <f t="shared" si="110"/>
        <v>222.56666666666669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341.11752883785607</v>
      </c>
      <c r="T165" s="59">
        <f t="shared" si="142"/>
        <v>423.15445896616234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15.354558184054856</v>
      </c>
      <c r="AA165" s="21">
        <f>EXP(-LN(2)/25)*AA164+(1-EXP(-LN(2)/25))/(LN(2)/25)*Calculateur!V165*Calculateur!X165*VLOOKUP('Données projet'!$B$9,Paramètres!$A$1:$I$89,3,0)*0.475*44/12</f>
        <v>4.3065275002570278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19.661085684311885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9.0949470177292824E-13</v>
      </c>
      <c r="AJ165" s="13">
        <f>AI165*VLOOKUP('Données projet'!$B$10,Paramètres!$A$1:$I$89,3,0)*VLOOKUP('Données projet'!$B$10,Paramètres!$A$1:$I$89,5,0)</f>
        <v>8.2291080616414541E-13</v>
      </c>
      <c r="AK165" s="13">
        <f t="shared" si="164"/>
        <v>9.6729238395839706E-12</v>
      </c>
      <c r="AL165" s="20">
        <f t="shared" si="165"/>
        <v>1.8280245341344636E-11</v>
      </c>
      <c r="AM165" s="59">
        <f t="shared" si="113"/>
        <v>316.99151486212912</v>
      </c>
      <c r="AN165" s="59">
        <f ca="1">AVERAGE(OFFSET($AM$3,0,0,'Données projet'!$E$10+1,1))-AVERAGE(OFFSET($H$3,0,0,'Données projet'!$E$10+1,1))</f>
        <v>521.72266623522626</v>
      </c>
      <c r="AO165" s="59">
        <f t="shared" si="144"/>
        <v>298.49205684341825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85.91650709451541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85.91650709451541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-6.7984728957526396E-14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376.5647919688821</v>
      </c>
      <c r="BJ165" s="59">
        <f t="shared" si="146"/>
        <v>340.34037344565581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29.079917878872191</v>
      </c>
      <c r="BQ165" s="21">
        <f>EXP(-LN(2)/25)*BQ164+(1-EXP(-LN(2)/25))/(LN(2)/25)*Calculateur!BL165*Calculateur!BN165*VLOOKUP('Données projet'!$B$11,Paramètres!$A$1:$I$89,3,0)*0.475*44/12</f>
        <v>7.1124300078070002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36.192347886679194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1.7053025658242404E-13</v>
      </c>
      <c r="BZ165" s="13">
        <f>BY165*VLOOKUP('Données projet'!$B$12,Paramètres!$A$1:$I$89,3,0)*VLOOKUP('Données projet'!$B$12,Paramètres!$A$1:$I$89,5,0)</f>
        <v>1.72917680174578E-13</v>
      </c>
      <c r="CA165" s="13">
        <f t="shared" si="170"/>
        <v>2.4372886112056825E-12</v>
      </c>
      <c r="CB165" s="20">
        <f t="shared" si="171"/>
        <v>4.5461092908206203E-12</v>
      </c>
      <c r="CC165" s="59">
        <f t="shared" si="119"/>
        <v>316.99151486211537</v>
      </c>
      <c r="CD165" s="59">
        <f ca="1">AVERAGE(OFFSET($CC$3,0,0,'Données projet'!$E$12+1,1))-AVERAGE(OFFSET($H$3,0,0,'Données projet'!$E$12+1,1))</f>
        <v>473.09076714002885</v>
      </c>
      <c r="CE165" s="59">
        <f t="shared" si="148"/>
        <v>311.6454557566534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53.893801176826763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53.893801176826763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-2.8421709430404007E-14</v>
      </c>
      <c r="CU165" s="17">
        <f>CT165*VLOOKUP('Données projet'!$B$13,Paramètres!$A$1:$I$89,3,0)*VLOOKUP('Données projet'!$B$13,Paramètres!$A$1:$I$89,5,0)</f>
        <v>-2.4829205358400945E-14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379.66247682099424</v>
      </c>
      <c r="CZ165" s="59">
        <f t="shared" si="150"/>
        <v>342.92507939604081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26.725712472729192</v>
      </c>
      <c r="DG165" s="21">
        <f>EXP(-LN(2)/25)*DG164+(1-EXP(-LN(2)/25))/(LN(2)/25)*Calculateur!DB165*Calculateur!DD165*VLOOKUP('Données projet'!$B$13,Paramètres!$A$1:$I$89,3,0)*0.475*44/12</f>
        <v>7.4595792208544358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34.185291693583629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9.0949470177292824E-13</v>
      </c>
      <c r="DP165" s="17">
        <f>DO165*VLOOKUP('Données projet'!$B$14,Paramètres!$A$1:$I$89,3,0)*VLOOKUP('Données projet'!$B$14,Paramètres!$A$1:$I$89,5,0)</f>
        <v>8.6547515820711851E-13</v>
      </c>
      <c r="DQ165" s="13">
        <f t="shared" si="176"/>
        <v>1.0113703919726002E-11</v>
      </c>
      <c r="DR165" s="20">
        <f t="shared" si="177"/>
        <v>1.9122070227400184E-11</v>
      </c>
      <c r="DS165" s="59">
        <f t="shared" si="125"/>
        <v>316.99151486212992</v>
      </c>
      <c r="DT165" s="59">
        <f ca="1">AVERAGE(OFFSET($DS$3,0,0,'Données projet'!$E$14+1,1))-AVERAGE(OFFSET($H$3,0,0,'Données projet'!$E$14+1,1))</f>
        <v>544.64394576312384</v>
      </c>
      <c r="DU165" s="59">
        <f t="shared" si="152"/>
        <v>310.67291035925484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90.360464358024842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90.360464358024842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-5.4978954722173515E-14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276.72865583771579</v>
      </c>
      <c r="EP165" s="59">
        <f t="shared" si="154"/>
        <v>174.3587092851154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28.221266386044167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28.221266386044167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76.452231326030216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4.25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15.583333333333334</v>
      </c>
      <c r="H166" s="67">
        <f t="shared" si="110"/>
        <v>222.56666666666669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341.11752883785607</v>
      </c>
      <c r="T166" s="59">
        <f t="shared" si="142"/>
        <v>423.15445896616234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15.053464663421281</v>
      </c>
      <c r="AA166" s="21">
        <f>EXP(-LN(2)/25)*AA165+(1-EXP(-LN(2)/25))/(LN(2)/25)*Calculateur!V166*Calculateur!X166*VLOOKUP('Données projet'!$B$9,Paramètres!$A$1:$I$89,3,0)*0.475*44/12</f>
        <v>4.1887652792920607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19.24222994271334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9.0949470177292824E-13</v>
      </c>
      <c r="AJ166" s="13">
        <f>AI166*VLOOKUP('Données projet'!$B$10,Paramètres!$A$1:$I$89,3,0)*VLOOKUP('Données projet'!$B$10,Paramètres!$A$1:$I$89,5,0)</f>
        <v>8.2291080616414541E-13</v>
      </c>
      <c r="AK166" s="13">
        <f t="shared" si="164"/>
        <v>9.6729238395839706E-12</v>
      </c>
      <c r="AL166" s="20">
        <f t="shared" si="165"/>
        <v>1.8280245341344636E-11</v>
      </c>
      <c r="AM166" s="59">
        <f t="shared" si="113"/>
        <v>317.07088351743101</v>
      </c>
      <c r="AN166" s="59">
        <f ca="1">AVERAGE(OFFSET($AM$3,0,0,'Données projet'!$E$10+1,1))-AVERAGE(OFFSET($H$3,0,0,'Données projet'!$E$10+1,1))</f>
        <v>521.72266623522626</v>
      </c>
      <c r="AO166" s="59">
        <f t="shared" si="144"/>
        <v>298.49205684341825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84.231736794286832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84.231736794286832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-6.7984728957526396E-14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376.5647919688821</v>
      </c>
      <c r="BJ166" s="59">
        <f t="shared" si="146"/>
        <v>340.34037344565581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28.509678426266031</v>
      </c>
      <c r="BQ166" s="21">
        <f>EXP(-LN(2)/25)*BQ165+(1-EXP(-LN(2)/25))/(LN(2)/25)*Calculateur!BL166*Calculateur!BN166*VLOOKUP('Données projet'!$B$11,Paramètres!$A$1:$I$89,3,0)*0.475*44/12</f>
        <v>6.9179402352170793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35.427618661483109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1.7053025658242404E-13</v>
      </c>
      <c r="BZ166" s="13">
        <f>BY166*VLOOKUP('Données projet'!$B$12,Paramètres!$A$1:$I$89,3,0)*VLOOKUP('Données projet'!$B$12,Paramètres!$A$1:$I$89,5,0)</f>
        <v>1.72917680174578E-13</v>
      </c>
      <c r="CA166" s="13">
        <f t="shared" si="170"/>
        <v>2.4372886112056825E-12</v>
      </c>
      <c r="CB166" s="20">
        <f t="shared" si="171"/>
        <v>4.5461092908206203E-12</v>
      </c>
      <c r="CC166" s="59">
        <f t="shared" si="119"/>
        <v>317.07088351741726</v>
      </c>
      <c r="CD166" s="59">
        <f ca="1">AVERAGE(OFFSET($CC$3,0,0,'Données projet'!$E$12+1,1))-AVERAGE(OFFSET($H$3,0,0,'Données projet'!$E$12+1,1))</f>
        <v>473.09076714002885</v>
      </c>
      <c r="CE166" s="59">
        <f t="shared" si="148"/>
        <v>311.6454557566534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52.836976607722072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52.836976607722072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-2.8421709430404007E-14</v>
      </c>
      <c r="CU166" s="17">
        <f>CT166*VLOOKUP('Données projet'!$B$13,Paramètres!$A$1:$I$89,3,0)*VLOOKUP('Données projet'!$B$13,Paramètres!$A$1:$I$89,5,0)</f>
        <v>-2.4829205358400945E-14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379.66247682099424</v>
      </c>
      <c r="CZ166" s="59">
        <f t="shared" si="150"/>
        <v>342.92507939604081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26.201637552213985</v>
      </c>
      <c r="DG166" s="21">
        <f>EXP(-LN(2)/25)*DG165+(1-EXP(-LN(2)/25))/(LN(2)/25)*Calculateur!DB166*Calculateur!DD166*VLOOKUP('Données projet'!$B$13,Paramètres!$A$1:$I$89,3,0)*0.475*44/12</f>
        <v>7.255596634777949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33.457234186991933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9.0949470177292824E-13</v>
      </c>
      <c r="DP166" s="17">
        <f>DO166*VLOOKUP('Données projet'!$B$14,Paramètres!$A$1:$I$89,3,0)*VLOOKUP('Données projet'!$B$14,Paramètres!$A$1:$I$89,5,0)</f>
        <v>8.6547515820711851E-13</v>
      </c>
      <c r="DQ166" s="13">
        <f t="shared" si="176"/>
        <v>1.0113703919726002E-11</v>
      </c>
      <c r="DR166" s="20">
        <f t="shared" si="177"/>
        <v>1.9122070227400184E-11</v>
      </c>
      <c r="DS166" s="59">
        <f t="shared" si="125"/>
        <v>317.07088351743181</v>
      </c>
      <c r="DT166" s="59">
        <f ca="1">AVERAGE(OFFSET($DS$3,0,0,'Données projet'!$E$14+1,1))-AVERAGE(OFFSET($H$3,0,0,'Données projet'!$E$14+1,1))</f>
        <v>544.64394576312384</v>
      </c>
      <c r="DU166" s="59">
        <f t="shared" si="152"/>
        <v>310.67291035925484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88.588550766405135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88.588550766405135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-5.4978954722173515E-14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276.72865583771579</v>
      </c>
      <c r="EP166" s="59">
        <f t="shared" si="154"/>
        <v>174.3587092851154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27.667864565486667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27.667864565486667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76.473877322930747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4.25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15.583333333333334</v>
      </c>
      <c r="H167" s="67">
        <f t="shared" si="110"/>
        <v>222.56666666666669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341.11752883785607</v>
      </c>
      <c r="T167" s="59">
        <f t="shared" si="142"/>
        <v>423.15445896616234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14.758275403078416</v>
      </c>
      <c r="AA167" s="21">
        <f>EXP(-LN(2)/25)*AA166+(1-EXP(-LN(2)/25))/(LN(2)/25)*Calculateur!V167*Calculateur!X167*VLOOKUP('Données projet'!$B$9,Paramètres!$A$1:$I$89,3,0)*0.475*44/12</f>
        <v>4.0742232724522269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18.832498675530644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9.0949470177292824E-13</v>
      </c>
      <c r="AJ167" s="13">
        <f>AI167*VLOOKUP('Données projet'!$B$10,Paramètres!$A$1:$I$89,3,0)*VLOOKUP('Données projet'!$B$10,Paramètres!$A$1:$I$89,5,0)</f>
        <v>8.2291080616414541E-13</v>
      </c>
      <c r="AK167" s="13">
        <f t="shared" si="164"/>
        <v>9.6729238395839706E-12</v>
      </c>
      <c r="AL167" s="20">
        <f t="shared" si="165"/>
        <v>1.8280245341344636E-11</v>
      </c>
      <c r="AM167" s="59">
        <f t="shared" si="113"/>
        <v>317.14887530400523</v>
      </c>
      <c r="AN167" s="59">
        <f ca="1">AVERAGE(OFFSET($AM$3,0,0,'Données projet'!$E$10+1,1))-AVERAGE(OFFSET($H$3,0,0,'Données projet'!$E$10+1,1))</f>
        <v>521.72266623522626</v>
      </c>
      <c r="AO167" s="59">
        <f t="shared" si="144"/>
        <v>298.49205684341825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82.580003812037319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82.580003812037319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-6.7984728957526396E-14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376.5647919688821</v>
      </c>
      <c r="BJ167" s="59">
        <f t="shared" si="146"/>
        <v>340.34037344565581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27.950621021513754</v>
      </c>
      <c r="BQ167" s="21">
        <f>EXP(-LN(2)/25)*BQ166+(1-EXP(-LN(2)/25))/(LN(2)/25)*Calculateur!BL167*Calculateur!BN167*VLOOKUP('Données projet'!$B$11,Paramètres!$A$1:$I$89,3,0)*0.475*44/12</f>
        <v>6.7287687956864026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34.67938981720016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1.7053025658242404E-13</v>
      </c>
      <c r="BZ167" s="13">
        <f>BY167*VLOOKUP('Données projet'!$B$12,Paramètres!$A$1:$I$89,3,0)*VLOOKUP('Données projet'!$B$12,Paramètres!$A$1:$I$89,5,0)</f>
        <v>1.72917680174578E-13</v>
      </c>
      <c r="CA167" s="13">
        <f t="shared" si="170"/>
        <v>2.4372886112056825E-12</v>
      </c>
      <c r="CB167" s="20">
        <f t="shared" si="171"/>
        <v>4.5461092908206203E-12</v>
      </c>
      <c r="CC167" s="59">
        <f t="shared" si="119"/>
        <v>317.14887530399147</v>
      </c>
      <c r="CD167" s="59">
        <f ca="1">AVERAGE(OFFSET($CC$3,0,0,'Données projet'!$E$12+1,1))-AVERAGE(OFFSET($H$3,0,0,'Données projet'!$E$12+1,1))</f>
        <v>473.09076714002885</v>
      </c>
      <c r="CE167" s="59">
        <f t="shared" si="148"/>
        <v>311.6454557566534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51.800875723818187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51.800875723818187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-2.8421709430404007E-14</v>
      </c>
      <c r="CU167" s="17">
        <f>CT167*VLOOKUP('Données projet'!$B$13,Paramètres!$A$1:$I$89,3,0)*VLOOKUP('Données projet'!$B$13,Paramètres!$A$1:$I$89,5,0)</f>
        <v>-2.4829205358400945E-14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379.66247682099424</v>
      </c>
      <c r="CZ167" s="59">
        <f t="shared" si="150"/>
        <v>342.92507939604081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25.687839421235942</v>
      </c>
      <c r="DG167" s="21">
        <f>EXP(-LN(2)/25)*DG166+(1-EXP(-LN(2)/25))/(LN(2)/25)*Calculateur!DB167*Calculateur!DD167*VLOOKUP('Données projet'!$B$13,Paramètres!$A$1:$I$89,3,0)*0.475*44/12</f>
        <v>7.0571919632447022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32.745031384480647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9.0949470177292824E-13</v>
      </c>
      <c r="DP167" s="17">
        <f>DO167*VLOOKUP('Données projet'!$B$14,Paramètres!$A$1:$I$89,3,0)*VLOOKUP('Données projet'!$B$14,Paramètres!$A$1:$I$89,5,0)</f>
        <v>8.6547515820711851E-13</v>
      </c>
      <c r="DQ167" s="13">
        <f t="shared" si="176"/>
        <v>1.0113703919726002E-11</v>
      </c>
      <c r="DR167" s="20">
        <f t="shared" si="177"/>
        <v>1.9122070227400184E-11</v>
      </c>
      <c r="DS167" s="59">
        <f t="shared" si="125"/>
        <v>317.14887530400603</v>
      </c>
      <c r="DT167" s="59">
        <f ca="1">AVERAGE(OFFSET($DS$3,0,0,'Données projet'!$E$14+1,1))-AVERAGE(OFFSET($H$3,0,0,'Données projet'!$E$14+1,1))</f>
        <v>544.64394576312384</v>
      </c>
      <c r="DU167" s="59">
        <f t="shared" si="152"/>
        <v>310.67291035925484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86.851383319556518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86.851383319556518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-5.4978954722173515E-14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276.72865583771579</v>
      </c>
      <c r="EP167" s="59">
        <f t="shared" si="154"/>
        <v>174.3587092851154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27.125314617088517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27.125314617088517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76.495147810178253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4.25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15.583333333333334</v>
      </c>
      <c r="H168" s="67">
        <f t="shared" si="110"/>
        <v>222.56666666666669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341.11752883785607</v>
      </c>
      <c r="T168" s="59">
        <f t="shared" si="142"/>
        <v>423.15445896616234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14.468874624083204</v>
      </c>
      <c r="AA168" s="21">
        <f>EXP(-LN(2)/25)*AA167+(1-EXP(-LN(2)/25))/(LN(2)/25)*Calculateur!V168*Calculateur!X168*VLOOKUP('Données projet'!$B$9,Paramètres!$A$1:$I$89,3,0)*0.475*44/12</f>
        <v>3.9628134228129306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18.431688046896134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9.0949470177292824E-13</v>
      </c>
      <c r="AJ168" s="13">
        <f>AI168*VLOOKUP('Données projet'!$B$10,Paramètres!$A$1:$I$89,3,0)*VLOOKUP('Données projet'!$B$10,Paramètres!$A$1:$I$89,5,0)</f>
        <v>8.2291080616414541E-13</v>
      </c>
      <c r="AK168" s="13">
        <f t="shared" si="164"/>
        <v>9.6729238395839706E-12</v>
      </c>
      <c r="AL168" s="20">
        <f t="shared" si="165"/>
        <v>1.8280245341344636E-11</v>
      </c>
      <c r="AM168" s="59">
        <f t="shared" si="113"/>
        <v>317.2255141074458</v>
      </c>
      <c r="AN168" s="59">
        <f ca="1">AVERAGE(OFFSET($AM$3,0,0,'Données projet'!$E$10+1,1))-AVERAGE(OFFSET($H$3,0,0,'Données projet'!$E$10+1,1))</f>
        <v>521.72266623522626</v>
      </c>
      <c r="AO168" s="59">
        <f t="shared" si="144"/>
        <v>298.49205684341825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80.960660306112089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80.960660306112089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-6.7984728957526396E-14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376.5647919688821</v>
      </c>
      <c r="BJ168" s="59">
        <f t="shared" si="146"/>
        <v>340.34037344565581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27.402526391477323</v>
      </c>
      <c r="BQ168" s="21">
        <f>EXP(-LN(2)/25)*BQ167+(1-EXP(-LN(2)/25))/(LN(2)/25)*Calculateur!BL168*Calculateur!BN168*VLOOKUP('Données projet'!$B$11,Paramètres!$A$1:$I$89,3,0)*0.475*44/12</f>
        <v>6.5447702591177856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33.947296650595106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1.7053025658242404E-13</v>
      </c>
      <c r="BZ168" s="13">
        <f>BY168*VLOOKUP('Données projet'!$B$12,Paramètres!$A$1:$I$89,3,0)*VLOOKUP('Données projet'!$B$12,Paramètres!$A$1:$I$89,5,0)</f>
        <v>1.72917680174578E-13</v>
      </c>
      <c r="CA168" s="13">
        <f t="shared" si="170"/>
        <v>2.4372886112056825E-12</v>
      </c>
      <c r="CB168" s="20">
        <f t="shared" si="171"/>
        <v>4.5461092908206203E-12</v>
      </c>
      <c r="CC168" s="59">
        <f t="shared" si="119"/>
        <v>317.22551410743205</v>
      </c>
      <c r="CD168" s="59">
        <f ca="1">AVERAGE(OFFSET($CC$3,0,0,'Données projet'!$E$12+1,1))-AVERAGE(OFFSET($H$3,0,0,'Données projet'!$E$12+1,1))</f>
        <v>473.09076714002885</v>
      </c>
      <c r="CE168" s="59">
        <f t="shared" si="148"/>
        <v>311.6454557566534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50.785092146288513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50.785092146288513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-2.8421709430404007E-14</v>
      </c>
      <c r="CU168" s="17">
        <f>CT168*VLOOKUP('Données projet'!$B$13,Paramètres!$A$1:$I$89,3,0)*VLOOKUP('Données projet'!$B$13,Paramètres!$A$1:$I$89,5,0)</f>
        <v>-2.4829205358400945E-14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379.66247682099424</v>
      </c>
      <c r="CZ168" s="59">
        <f t="shared" si="150"/>
        <v>342.92507939604081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25.184116558220463</v>
      </c>
      <c r="DG168" s="21">
        <f>EXP(-LN(2)/25)*DG167+(1-EXP(-LN(2)/25))/(LN(2)/25)*Calculateur!DB168*Calculateur!DD168*VLOOKUP('Données projet'!$B$13,Paramètres!$A$1:$I$89,3,0)*0.475*44/12</f>
        <v>6.8642126778881796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32.048329236108643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9.0949470177292824E-13</v>
      </c>
      <c r="DP168" s="17">
        <f>DO168*VLOOKUP('Données projet'!$B$14,Paramètres!$A$1:$I$89,3,0)*VLOOKUP('Données projet'!$B$14,Paramètres!$A$1:$I$89,5,0)</f>
        <v>8.6547515820711851E-13</v>
      </c>
      <c r="DQ168" s="13">
        <f t="shared" si="176"/>
        <v>1.0113703919726002E-11</v>
      </c>
      <c r="DR168" s="20">
        <f t="shared" si="177"/>
        <v>1.9122070227400184E-11</v>
      </c>
      <c r="DS168" s="59">
        <f t="shared" si="125"/>
        <v>317.2255141074466</v>
      </c>
      <c r="DT168" s="59">
        <f ca="1">AVERAGE(OFFSET($DS$3,0,0,'Données projet'!$E$14+1,1))-AVERAGE(OFFSET($H$3,0,0,'Données projet'!$E$14+1,1))</f>
        <v>544.64394576312384</v>
      </c>
      <c r="DU168" s="59">
        <f t="shared" si="152"/>
        <v>310.67291035925484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85.148280666773076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85.148280666773076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-5.4978954722173515E-14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276.72865583771579</v>
      </c>
      <c r="EP168" s="59">
        <f t="shared" si="154"/>
        <v>174.3587092851154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26.593403742255664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26.593403742255664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76.516049302025692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4.25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15.583333333333334</v>
      </c>
      <c r="H169" s="67">
        <f t="shared" si="110"/>
        <v>222.56666666666669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341.11752883785607</v>
      </c>
      <c r="T169" s="59">
        <f t="shared" si="142"/>
        <v>423.15445896616234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14.185148817847043</v>
      </c>
      <c r="AA169" s="21">
        <f>EXP(-LN(2)/25)*AA168+(1-EXP(-LN(2)/25))/(LN(2)/25)*Calculateur!V169*Calculateur!X169*VLOOKUP('Données projet'!$B$9,Paramètres!$A$1:$I$89,3,0)*0.475*44/12</f>
        <v>3.85445008137081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18.039598899217854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9.0949470177292824E-13</v>
      </c>
      <c r="AJ169" s="13">
        <f>AI169*VLOOKUP('Données projet'!$B$10,Paramètres!$A$1:$I$89,3,0)*VLOOKUP('Données projet'!$B$10,Paramètres!$A$1:$I$89,5,0)</f>
        <v>8.2291080616414541E-13</v>
      </c>
      <c r="AK169" s="13">
        <f t="shared" si="164"/>
        <v>9.6729238395839706E-12</v>
      </c>
      <c r="AL169" s="20">
        <f t="shared" si="165"/>
        <v>1.8280245341344636E-11</v>
      </c>
      <c r="AM169" s="59">
        <f t="shared" si="113"/>
        <v>317.30082339898547</v>
      </c>
      <c r="AN169" s="59">
        <f ca="1">AVERAGE(OFFSET($AM$3,0,0,'Données projet'!$E$10+1,1))-AVERAGE(OFFSET($H$3,0,0,'Données projet'!$E$10+1,1))</f>
        <v>521.72266623522626</v>
      </c>
      <c r="AO169" s="59">
        <f t="shared" si="144"/>
        <v>298.49205684341825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79.373071138636035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79.373071138636035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-6.7984728957526396E-14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376.5647919688821</v>
      </c>
      <c r="BJ169" s="59">
        <f t="shared" si="146"/>
        <v>340.34037344565581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26.865179562831191</v>
      </c>
      <c r="BQ169" s="21">
        <f>EXP(-LN(2)/25)*BQ168+(1-EXP(-LN(2)/25))/(LN(2)/25)*Calculateur!BL169*Calculateur!BN169*VLOOKUP('Données projet'!$B$11,Paramètres!$A$1:$I$89,3,0)*0.475*44/12</f>
        <v>6.3658031722077002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33.230982735038893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1.7053025658242404E-13</v>
      </c>
      <c r="BZ169" s="13">
        <f>BY169*VLOOKUP('Données projet'!$B$12,Paramètres!$A$1:$I$89,3,0)*VLOOKUP('Données projet'!$B$12,Paramètres!$A$1:$I$89,5,0)</f>
        <v>1.72917680174578E-13</v>
      </c>
      <c r="CA169" s="13">
        <f t="shared" si="170"/>
        <v>2.4372886112056825E-12</v>
      </c>
      <c r="CB169" s="20">
        <f t="shared" si="171"/>
        <v>4.5461092908206203E-12</v>
      </c>
      <c r="CC169" s="59">
        <f t="shared" si="119"/>
        <v>317.30082339897172</v>
      </c>
      <c r="CD169" s="59">
        <f ca="1">AVERAGE(OFFSET($CC$3,0,0,'Données projet'!$E$12+1,1))-AVERAGE(OFFSET($H$3,0,0,'Données projet'!$E$12+1,1))</f>
        <v>473.09076714002885</v>
      </c>
      <c r="CE169" s="59">
        <f t="shared" si="148"/>
        <v>311.6454557566534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49.789227465147391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49.789227465147391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-2.8421709430404007E-14</v>
      </c>
      <c r="CU169" s="17">
        <f>CT169*VLOOKUP('Données projet'!$B$13,Paramètres!$A$1:$I$89,3,0)*VLOOKUP('Données projet'!$B$13,Paramètres!$A$1:$I$89,5,0)</f>
        <v>-2.4829205358400945E-14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379.66247682099424</v>
      </c>
      <c r="CZ169" s="59">
        <f t="shared" si="150"/>
        <v>342.92507939604081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24.690271393308109</v>
      </c>
      <c r="DG169" s="21">
        <f>EXP(-LN(2)/25)*DG168+(1-EXP(-LN(2)/25))/(LN(2)/25)*Calculateur!DB169*Calculateur!DD169*VLOOKUP('Données projet'!$B$13,Paramètres!$A$1:$I$89,3,0)*0.475*44/12</f>
        <v>6.6765104212380706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31.366781814546179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9.0949470177292824E-13</v>
      </c>
      <c r="DP169" s="17">
        <f>DO169*VLOOKUP('Données projet'!$B$14,Paramètres!$A$1:$I$89,3,0)*VLOOKUP('Données projet'!$B$14,Paramètres!$A$1:$I$89,5,0)</f>
        <v>8.6547515820711851E-13</v>
      </c>
      <c r="DQ169" s="13">
        <f t="shared" si="176"/>
        <v>1.0113703919726002E-11</v>
      </c>
      <c r="DR169" s="20">
        <f t="shared" si="177"/>
        <v>1.9122070227400184E-11</v>
      </c>
      <c r="DS169" s="59">
        <f t="shared" si="125"/>
        <v>317.30082339898627</v>
      </c>
      <c r="DT169" s="59">
        <f ca="1">AVERAGE(OFFSET($DS$3,0,0,'Données projet'!$E$14+1,1))-AVERAGE(OFFSET($H$3,0,0,'Données projet'!$E$14+1,1))</f>
        <v>544.64394576312384</v>
      </c>
      <c r="DU169" s="59">
        <f t="shared" si="152"/>
        <v>310.67291035925484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83.478574818220679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83.478574818220679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-5.4978954722173515E-14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276.72865583771579</v>
      </c>
      <c r="EP169" s="59">
        <f t="shared" si="154"/>
        <v>174.3587092851154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26.071923315244685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26.071923315244685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76.536588199718324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4.25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15.583333333333334</v>
      </c>
      <c r="H170" s="67">
        <f t="shared" si="110"/>
        <v>222.56666666666669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341.11752883785607</v>
      </c>
      <c r="T170" s="59">
        <f t="shared" si="142"/>
        <v>423.15445896616234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13.906986701615519</v>
      </c>
      <c r="AA170" s="21">
        <f>EXP(-LN(2)/25)*AA169+(1-EXP(-LN(2)/25))/(LN(2)/25)*Calculateur!V170*Calculateur!X170*VLOOKUP('Données projet'!$B$9,Paramètres!$A$1:$I$89,3,0)*0.475*44/12</f>
        <v>3.7490499411990048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17.656036642814524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9.0949470177292824E-13</v>
      </c>
      <c r="AJ170" s="13">
        <f>AI170*VLOOKUP('Données projet'!$B$10,Paramètres!$A$1:$I$89,3,0)*VLOOKUP('Données projet'!$B$10,Paramètres!$A$1:$I$89,5,0)</f>
        <v>8.2291080616414541E-13</v>
      </c>
      <c r="AK170" s="13">
        <f t="shared" si="164"/>
        <v>9.6729238395839706E-12</v>
      </c>
      <c r="AL170" s="20">
        <f t="shared" si="165"/>
        <v>1.8280245341344636E-11</v>
      </c>
      <c r="AM170" s="59">
        <f t="shared" si="113"/>
        <v>317.3748262426833</v>
      </c>
      <c r="AN170" s="59">
        <f ca="1">AVERAGE(OFFSET($AM$3,0,0,'Données projet'!$E$10+1,1))-AVERAGE(OFFSET($H$3,0,0,'Données projet'!$E$10+1,1))</f>
        <v>521.72266623522626</v>
      </c>
      <c r="AO170" s="59">
        <f t="shared" si="144"/>
        <v>298.49205684341825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77.816613626400411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77.816613626400411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-6.7984728957526396E-14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376.5647919688821</v>
      </c>
      <c r="BJ170" s="59">
        <f t="shared" si="146"/>
        <v>340.34037344565581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26.338369777745609</v>
      </c>
      <c r="BQ170" s="21">
        <f>EXP(-LN(2)/25)*BQ169+(1-EXP(-LN(2)/25))/(LN(2)/25)*Calculateur!BL170*Calculateur!BN170*VLOOKUP('Données projet'!$B$11,Paramètres!$A$1:$I$89,3,0)*0.475*44/12</f>
        <v>6.1917299497006413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32.530099727446249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1.7053025658242404E-13</v>
      </c>
      <c r="BZ170" s="13">
        <f>BY170*VLOOKUP('Données projet'!$B$12,Paramètres!$A$1:$I$89,3,0)*VLOOKUP('Données projet'!$B$12,Paramètres!$A$1:$I$89,5,0)</f>
        <v>1.72917680174578E-13</v>
      </c>
      <c r="CA170" s="13">
        <f t="shared" si="170"/>
        <v>2.4372886112056825E-12</v>
      </c>
      <c r="CB170" s="20">
        <f t="shared" si="171"/>
        <v>4.5461092908206203E-12</v>
      </c>
      <c r="CC170" s="59">
        <f t="shared" si="119"/>
        <v>317.37482624266954</v>
      </c>
      <c r="CD170" s="59">
        <f ca="1">AVERAGE(OFFSET($CC$3,0,0,'Données projet'!$E$12+1,1))-AVERAGE(OFFSET($H$3,0,0,'Données projet'!$E$12+1,1))</f>
        <v>473.09076714002885</v>
      </c>
      <c r="CE170" s="59">
        <f t="shared" si="148"/>
        <v>311.6454557566534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48.812891082985971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48.812891082985971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-2.8421709430404007E-14</v>
      </c>
      <c r="CU170" s="17">
        <f>CT170*VLOOKUP('Données projet'!$B$13,Paramètres!$A$1:$I$89,3,0)*VLOOKUP('Données projet'!$B$13,Paramètres!$A$1:$I$89,5,0)</f>
        <v>-2.4829205358400945E-14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379.66247682099424</v>
      </c>
      <c r="CZ170" s="59">
        <f t="shared" si="150"/>
        <v>342.92507939604081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24.206110230863878</v>
      </c>
      <c r="DG170" s="21">
        <f>EXP(-LN(2)/25)*DG169+(1-EXP(-LN(2)/25))/(LN(2)/25)*Calculateur!DB170*Calculateur!DD170*VLOOKUP('Données projet'!$B$13,Paramètres!$A$1:$I$89,3,0)*0.475*44/12</f>
        <v>6.4939408926668918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30.70005112353077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9.0949470177292824E-13</v>
      </c>
      <c r="DP170" s="17">
        <f>DO170*VLOOKUP('Données projet'!$B$14,Paramètres!$A$1:$I$89,3,0)*VLOOKUP('Données projet'!$B$14,Paramètres!$A$1:$I$89,5,0)</f>
        <v>8.6547515820711851E-13</v>
      </c>
      <c r="DQ170" s="13">
        <f t="shared" si="176"/>
        <v>1.0113703919726002E-11</v>
      </c>
      <c r="DR170" s="20">
        <f t="shared" si="177"/>
        <v>1.9122070227400184E-11</v>
      </c>
      <c r="DS170" s="59">
        <f t="shared" si="125"/>
        <v>317.37482624268409</v>
      </c>
      <c r="DT170" s="59">
        <f ca="1">AVERAGE(OFFSET($DS$3,0,0,'Données projet'!$E$14+1,1))-AVERAGE(OFFSET($H$3,0,0,'Données projet'!$E$14+1,1))</f>
        <v>544.64394576312384</v>
      </c>
      <c r="DU170" s="59">
        <f t="shared" si="152"/>
        <v>310.67291035925484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81.841610882938383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81.841610882938383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-5.4978954722173515E-14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276.72865583771579</v>
      </c>
      <c r="EP170" s="59">
        <f t="shared" si="154"/>
        <v>174.3587092851154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25.560668801335737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25.560668801335737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76.556770793454092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4.25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15.583333333333334</v>
      </c>
      <c r="H171" s="67">
        <f t="shared" si="110"/>
        <v>222.56666666666669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341.11752883785607</v>
      </c>
      <c r="T171" s="59">
        <f t="shared" si="142"/>
        <v>423.15445896616234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13.634279174821158</v>
      </c>
      <c r="AA171" s="21">
        <f>EXP(-LN(2)/25)*AA170+(1-EXP(-LN(2)/25))/(LN(2)/25)*Calculateur!V171*Calculateur!X171*VLOOKUP('Données projet'!$B$9,Paramètres!$A$1:$I$89,3,0)*0.475*44/12</f>
        <v>3.6465319734029502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17.280811148224107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9.0949470177292824E-13</v>
      </c>
      <c r="AJ171" s="13">
        <f>AI171*VLOOKUP('Données projet'!$B$10,Paramètres!$A$1:$I$89,3,0)*VLOOKUP('Données projet'!$B$10,Paramètres!$A$1:$I$89,5,0)</f>
        <v>8.2291080616414541E-13</v>
      </c>
      <c r="AK171" s="13">
        <f t="shared" si="164"/>
        <v>9.6729238395839706E-12</v>
      </c>
      <c r="AL171" s="20">
        <f t="shared" si="165"/>
        <v>1.8280245341344636E-11</v>
      </c>
      <c r="AM171" s="59">
        <f t="shared" si="113"/>
        <v>317.44754530248849</v>
      </c>
      <c r="AN171" s="59">
        <f ca="1">AVERAGE(OFFSET($AM$3,0,0,'Données projet'!$E$10+1,1))-AVERAGE(OFFSET($H$3,0,0,'Données projet'!$E$10+1,1))</f>
        <v>521.72266623522626</v>
      </c>
      <c r="AO171" s="59">
        <f t="shared" si="144"/>
        <v>298.49205684341825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76.290677296634385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76.290677296634385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-6.7984728957526396E-14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376.5647919688821</v>
      </c>
      <c r="BJ171" s="59">
        <f t="shared" si="146"/>
        <v>340.34037344565581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25.821890411223311</v>
      </c>
      <c r="BQ171" s="21">
        <f>EXP(-LN(2)/25)*BQ170+(1-EXP(-LN(2)/25))/(LN(2)/25)*Calculateur!BL171*Calculateur!BN171*VLOOKUP('Données projet'!$B$11,Paramètres!$A$1:$I$89,3,0)*0.475*44/12</f>
        <v>6.0224167686171501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31.844307179840463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1.7053025658242404E-13</v>
      </c>
      <c r="BZ171" s="13">
        <f>BY171*VLOOKUP('Données projet'!$B$12,Paramètres!$A$1:$I$89,3,0)*VLOOKUP('Données projet'!$B$12,Paramètres!$A$1:$I$89,5,0)</f>
        <v>1.72917680174578E-13</v>
      </c>
      <c r="CA171" s="13">
        <f t="shared" si="170"/>
        <v>2.4372886112056825E-12</v>
      </c>
      <c r="CB171" s="20">
        <f t="shared" si="171"/>
        <v>4.5461092908206203E-12</v>
      </c>
      <c r="CC171" s="59">
        <f t="shared" si="119"/>
        <v>317.44754530247474</v>
      </c>
      <c r="CD171" s="59">
        <f ca="1">AVERAGE(OFFSET($CC$3,0,0,'Données projet'!$E$12+1,1))-AVERAGE(OFFSET($H$3,0,0,'Données projet'!$E$12+1,1))</f>
        <v>473.09076714002885</v>
      </c>
      <c r="CE171" s="59">
        <f t="shared" si="148"/>
        <v>311.6454557566534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47.855700061772346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47.855700061772346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-2.8421709430404007E-14</v>
      </c>
      <c r="CU171" s="17">
        <f>CT171*VLOOKUP('Données projet'!$B$13,Paramètres!$A$1:$I$89,3,0)*VLOOKUP('Données projet'!$B$13,Paramètres!$A$1:$I$89,5,0)</f>
        <v>-2.4829205358400945E-14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379.66247682099424</v>
      </c>
      <c r="CZ171" s="59">
        <f t="shared" si="150"/>
        <v>342.92507939604081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23.731443173506026</v>
      </c>
      <c r="DG171" s="21">
        <f>EXP(-LN(2)/25)*DG170+(1-EXP(-LN(2)/25))/(LN(2)/25)*Calculateur!DB171*Calculateur!DD171*VLOOKUP('Données projet'!$B$13,Paramètres!$A$1:$I$89,3,0)*0.475*44/12</f>
        <v>6.316363737455406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30.047806910961434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9.0949470177292824E-13</v>
      </c>
      <c r="DP171" s="17">
        <f>DO171*VLOOKUP('Données projet'!$B$14,Paramètres!$A$1:$I$89,3,0)*VLOOKUP('Données projet'!$B$14,Paramètres!$A$1:$I$89,5,0)</f>
        <v>8.6547515820711851E-13</v>
      </c>
      <c r="DQ171" s="13">
        <f t="shared" si="176"/>
        <v>1.0113703919726002E-11</v>
      </c>
      <c r="DR171" s="20">
        <f t="shared" si="177"/>
        <v>1.9122070227400184E-11</v>
      </c>
      <c r="DS171" s="59">
        <f t="shared" si="125"/>
        <v>317.44754530248929</v>
      </c>
      <c r="DT171" s="59">
        <f ca="1">AVERAGE(OFFSET($DS$3,0,0,'Données projet'!$E$14+1,1))-AVERAGE(OFFSET($H$3,0,0,'Données projet'!$E$14+1,1))</f>
        <v>544.64394576312384</v>
      </c>
      <c r="DU171" s="59">
        <f t="shared" si="152"/>
        <v>310.67291035925484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80.236746811977568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80.236746811977568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-5.4978954722173515E-14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276.72865583771579</v>
      </c>
      <c r="EP171" s="59">
        <f t="shared" si="154"/>
        <v>174.3587092851154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25.059439676610083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25.059439676610083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76.576603264310052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4.25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15.583333333333334</v>
      </c>
      <c r="H172" s="67">
        <f t="shared" si="110"/>
        <v>222.56666666666669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341.11752883785607</v>
      </c>
      <c r="T172" s="59">
        <f t="shared" si="142"/>
        <v>423.15445896616234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13.366919276292066</v>
      </c>
      <c r="AA172" s="21">
        <f>EXP(-LN(2)/25)*AA171+(1-EXP(-LN(2)/25))/(LN(2)/25)*Calculateur!V172*Calculateur!X172*VLOOKUP('Données projet'!$B$9,Paramètres!$A$1:$I$89,3,0)*0.475*44/12</f>
        <v>3.5468173648274641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16.913736641119531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9.0949470177292824E-13</v>
      </c>
      <c r="AJ172" s="13">
        <f>AI172*VLOOKUP('Données projet'!$B$10,Paramètres!$A$1:$I$89,3,0)*VLOOKUP('Données projet'!$B$10,Paramètres!$A$1:$I$89,5,0)</f>
        <v>8.2291080616414541E-13</v>
      </c>
      <c r="AK172" s="13">
        <f t="shared" si="164"/>
        <v>9.6729238395839706E-12</v>
      </c>
      <c r="AL172" s="20">
        <f t="shared" si="165"/>
        <v>1.8280245341344636E-11</v>
      </c>
      <c r="AM172" s="59">
        <f t="shared" si="113"/>
        <v>317.51900284918156</v>
      </c>
      <c r="AN172" s="59">
        <f ca="1">AVERAGE(OFFSET($AM$3,0,0,'Données projet'!$E$10+1,1))-AVERAGE(OFFSET($H$3,0,0,'Données projet'!$E$10+1,1))</f>
        <v>521.72266623522626</v>
      </c>
      <c r="AO172" s="59">
        <f t="shared" si="144"/>
        <v>298.49205684341825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74.794663647565812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74.794663647565812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-6.7984728957526396E-14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376.5647919688821</v>
      </c>
      <c r="BJ172" s="59">
        <f t="shared" si="146"/>
        <v>340.34037344565581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25.315538890057208</v>
      </c>
      <c r="BQ172" s="21">
        <f>EXP(-LN(2)/25)*BQ171+(1-EXP(-LN(2)/25))/(LN(2)/25)*Calculateur!BL172*Calculateur!BN172*VLOOKUP('Données projet'!$B$11,Paramètres!$A$1:$I$89,3,0)*0.475*44/12</f>
        <v>5.8577334653741806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31.17327235543139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1.7053025658242404E-13</v>
      </c>
      <c r="BZ172" s="13">
        <f>BY172*VLOOKUP('Données projet'!$B$12,Paramètres!$A$1:$I$89,3,0)*VLOOKUP('Données projet'!$B$12,Paramètres!$A$1:$I$89,5,0)</f>
        <v>1.72917680174578E-13</v>
      </c>
      <c r="CA172" s="13">
        <f t="shared" si="170"/>
        <v>2.4372886112056825E-12</v>
      </c>
      <c r="CB172" s="20">
        <f t="shared" si="171"/>
        <v>4.5461092908206203E-12</v>
      </c>
      <c r="CC172" s="59">
        <f t="shared" si="119"/>
        <v>317.5190028491678</v>
      </c>
      <c r="CD172" s="59">
        <f ca="1">AVERAGE(OFFSET($CC$3,0,0,'Données projet'!$E$12+1,1))-AVERAGE(OFFSET($H$3,0,0,'Données projet'!$E$12+1,1))</f>
        <v>473.09076714002885</v>
      </c>
      <c r="CE172" s="59">
        <f t="shared" si="148"/>
        <v>311.6454557566534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46.917278972655843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46.917278972655843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-2.8421709430404007E-14</v>
      </c>
      <c r="CU172" s="17">
        <f>CT172*VLOOKUP('Données projet'!$B$13,Paramètres!$A$1:$I$89,3,0)*VLOOKUP('Données projet'!$B$13,Paramètres!$A$1:$I$89,5,0)</f>
        <v>-2.4829205358400945E-14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379.66247682099424</v>
      </c>
      <c r="CZ172" s="59">
        <f t="shared" si="150"/>
        <v>342.92507939604081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23.266084047624645</v>
      </c>
      <c r="DG172" s="21">
        <f>EXP(-LN(2)/25)*DG171+(1-EXP(-LN(2)/25))/(LN(2)/25)*Calculateur!DB172*Calculateur!DD172*VLOOKUP('Données projet'!$B$13,Paramètres!$A$1:$I$89,3,0)*0.475*44/12</f>
        <v>6.1436424388915549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29.409726486516199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9.0949470177292824E-13</v>
      </c>
      <c r="DP172" s="17">
        <f>DO172*VLOOKUP('Données projet'!$B$14,Paramètres!$A$1:$I$89,3,0)*VLOOKUP('Données projet'!$B$14,Paramètres!$A$1:$I$89,5,0)</f>
        <v>8.6547515820711851E-13</v>
      </c>
      <c r="DQ172" s="13">
        <f t="shared" si="176"/>
        <v>1.0113703919726002E-11</v>
      </c>
      <c r="DR172" s="20">
        <f t="shared" si="177"/>
        <v>1.9122070227400184E-11</v>
      </c>
      <c r="DS172" s="59">
        <f t="shared" si="125"/>
        <v>317.51900284918236</v>
      </c>
      <c r="DT172" s="59">
        <f ca="1">AVERAGE(OFFSET($DS$3,0,0,'Données projet'!$E$14+1,1))-AVERAGE(OFFSET($H$3,0,0,'Données projet'!$E$14+1,1))</f>
        <v>544.64394576312384</v>
      </c>
      <c r="DU172" s="59">
        <f t="shared" si="152"/>
        <v>310.67291035925484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78.663353146577862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78.663353146577862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-5.4978954722173515E-14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276.72865583771579</v>
      </c>
      <c r="EP172" s="59">
        <f t="shared" si="154"/>
        <v>174.3587092851154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24.568039349300719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24.568039349300719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76.596091686135438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4.25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15.583333333333334</v>
      </c>
      <c r="H173" s="67">
        <f t="shared" si="110"/>
        <v>222.56666666666669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341.11752883785607</v>
      </c>
      <c r="T173" s="59">
        <f t="shared" si="142"/>
        <v>423.15445896616234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13.104802142299693</v>
      </c>
      <c r="AA173" s="21">
        <f>EXP(-LN(2)/25)*AA172+(1-EXP(-LN(2)/25))/(LN(2)/25)*Calculateur!V173*Calculateur!X173*VLOOKUP('Données projet'!$B$9,Paramètres!$A$1:$I$89,3,0)*0.475*44/12</f>
        <v>3.4498294574672381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16.554631599766932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9.0949470177292824E-13</v>
      </c>
      <c r="AJ173" s="13">
        <f>AI173*VLOOKUP('Données projet'!$B$10,Paramètres!$A$1:$I$89,3,0)*VLOOKUP('Données projet'!$B$10,Paramètres!$A$1:$I$89,5,0)</f>
        <v>8.2291080616414541E-13</v>
      </c>
      <c r="AK173" s="13">
        <f t="shared" si="164"/>
        <v>9.6729238395839706E-12</v>
      </c>
      <c r="AL173" s="20">
        <f t="shared" si="165"/>
        <v>1.8280245341344636E-11</v>
      </c>
      <c r="AM173" s="59">
        <f t="shared" si="113"/>
        <v>317.5892207671946</v>
      </c>
      <c r="AN173" s="59">
        <f ca="1">AVERAGE(OFFSET($AM$3,0,0,'Données projet'!$E$10+1,1))-AVERAGE(OFFSET($H$3,0,0,'Données projet'!$E$10+1,1))</f>
        <v>521.72266623522626</v>
      </c>
      <c r="AO173" s="59">
        <f t="shared" si="144"/>
        <v>298.49205684341825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73.327985913677253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73.327985913677253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-6.7984728957526396E-14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376.5647919688821</v>
      </c>
      <c r="BJ173" s="59">
        <f t="shared" si="146"/>
        <v>340.34037344565581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24.819116613377243</v>
      </c>
      <c r="BQ173" s="21">
        <f>EXP(-LN(2)/25)*BQ172+(1-EXP(-LN(2)/25))/(LN(2)/25)*Calculateur!BL173*Calculateur!BN173*VLOOKUP('Données projet'!$B$11,Paramètres!$A$1:$I$89,3,0)*0.475*44/12</f>
        <v>5.6975534357187083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30.51667004909595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1.7053025658242404E-13</v>
      </c>
      <c r="BZ173" s="13">
        <f>BY173*VLOOKUP('Données projet'!$B$12,Paramètres!$A$1:$I$89,3,0)*VLOOKUP('Données projet'!$B$12,Paramètres!$A$1:$I$89,5,0)</f>
        <v>1.72917680174578E-13</v>
      </c>
      <c r="CA173" s="13">
        <f t="shared" si="170"/>
        <v>2.4372886112056825E-12</v>
      </c>
      <c r="CB173" s="20">
        <f t="shared" si="171"/>
        <v>4.5461092908206203E-12</v>
      </c>
      <c r="CC173" s="59">
        <f t="shared" si="119"/>
        <v>317.58922076718085</v>
      </c>
      <c r="CD173" s="59">
        <f ca="1">AVERAGE(OFFSET($CC$3,0,0,'Données projet'!$E$12+1,1))-AVERAGE(OFFSET($H$3,0,0,'Données projet'!$E$12+1,1))</f>
        <v>473.09076714002885</v>
      </c>
      <c r="CE173" s="59">
        <f t="shared" si="148"/>
        <v>311.6454557566534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45.997259748716573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45.997259748716573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-2.8421709430404007E-14</v>
      </c>
      <c r="CU173" s="17">
        <f>CT173*VLOOKUP('Données projet'!$B$13,Paramètres!$A$1:$I$89,3,0)*VLOOKUP('Données projet'!$B$13,Paramètres!$A$1:$I$89,5,0)</f>
        <v>-2.4829205358400945E-14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379.66247682099424</v>
      </c>
      <c r="CZ173" s="59">
        <f t="shared" si="150"/>
        <v>342.92507939604081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22.80985033036076</v>
      </c>
      <c r="DG173" s="21">
        <f>EXP(-LN(2)/25)*DG172+(1-EXP(-LN(2)/25))/(LN(2)/25)*Calculateur!DB173*Calculateur!DD173*VLOOKUP('Données projet'!$B$13,Paramètres!$A$1:$I$89,3,0)*0.475*44/12</f>
        <v>5.975644213319951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28.785494543680713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9.0949470177292824E-13</v>
      </c>
      <c r="DP173" s="17">
        <f>DO173*VLOOKUP('Données projet'!$B$14,Paramètres!$A$1:$I$89,3,0)*VLOOKUP('Données projet'!$B$14,Paramètres!$A$1:$I$89,5,0)</f>
        <v>8.6547515820711851E-13</v>
      </c>
      <c r="DQ173" s="13">
        <f t="shared" si="176"/>
        <v>1.0113703919726002E-11</v>
      </c>
      <c r="DR173" s="20">
        <f t="shared" si="177"/>
        <v>1.9122070227400184E-11</v>
      </c>
      <c r="DS173" s="59">
        <f t="shared" si="125"/>
        <v>317.5892207671954</v>
      </c>
      <c r="DT173" s="59">
        <f ca="1">AVERAGE(OFFSET($DS$3,0,0,'Données projet'!$E$14+1,1))-AVERAGE(OFFSET($H$3,0,0,'Données projet'!$E$14+1,1))</f>
        <v>544.64394576312384</v>
      </c>
      <c r="DU173" s="59">
        <f t="shared" si="152"/>
        <v>310.67291035925484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77.120812771281265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77.120812771281265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-5.4978954722173515E-14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276.72865583771579</v>
      </c>
      <c r="EP173" s="59">
        <f t="shared" si="154"/>
        <v>174.3587092851154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24.086275082685287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24.086275082685287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76.615242027411725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4.25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15.583333333333334</v>
      </c>
      <c r="H174" s="67">
        <f t="shared" si="110"/>
        <v>222.56666666666669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341.11752883785607</v>
      </c>
      <c r="T174" s="59">
        <f t="shared" si="142"/>
        <v>423.15445896616234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12.847824965429245</v>
      </c>
      <c r="AA174" s="21">
        <f>EXP(-LN(2)/25)*AA173+(1-EXP(-LN(2)/25))/(LN(2)/25)*Calculateur!V174*Calculateur!X174*VLOOKUP('Données projet'!$B$9,Paramètres!$A$1:$I$89,3,0)*0.475*44/12</f>
        <v>3.3554936895341498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16.203318654963397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9.0949470177292824E-13</v>
      </c>
      <c r="AJ174" s="13">
        <f>AI174*VLOOKUP('Données projet'!$B$10,Paramètres!$A$1:$I$89,3,0)*VLOOKUP('Données projet'!$B$10,Paramètres!$A$1:$I$89,5,0)</f>
        <v>8.2291080616414541E-13</v>
      </c>
      <c r="AK174" s="13">
        <f t="shared" si="164"/>
        <v>9.6729238395839706E-12</v>
      </c>
      <c r="AL174" s="20">
        <f t="shared" si="165"/>
        <v>1.8280245341344636E-11</v>
      </c>
      <c r="AM174" s="59">
        <f t="shared" si="113"/>
        <v>317.6582205613139</v>
      </c>
      <c r="AN174" s="59">
        <f ca="1">AVERAGE(OFFSET($AM$3,0,0,'Données projet'!$E$10+1,1))-AVERAGE(OFFSET($H$3,0,0,'Données projet'!$E$10+1,1))</f>
        <v>521.72266623522626</v>
      </c>
      <c r="AO174" s="59">
        <f t="shared" si="144"/>
        <v>298.49205684341825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71.89006883556516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71.89006883556516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-6.7984728957526396E-14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376.5647919688821</v>
      </c>
      <c r="BJ174" s="59">
        <f t="shared" si="146"/>
        <v>340.34037344565581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24.33242887475528</v>
      </c>
      <c r="BQ174" s="21">
        <f>EXP(-LN(2)/25)*BQ173+(1-EXP(-LN(2)/25))/(LN(2)/25)*Calculateur!BL174*Calculateur!BN174*VLOOKUP('Données projet'!$B$11,Paramètres!$A$1:$I$89,3,0)*0.475*44/12</f>
        <v>5.5417535373976667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29.874182412152948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1.7053025658242404E-13</v>
      </c>
      <c r="BZ174" s="13">
        <f>BY174*VLOOKUP('Données projet'!$B$12,Paramètres!$A$1:$I$89,3,0)*VLOOKUP('Données projet'!$B$12,Paramètres!$A$1:$I$89,5,0)</f>
        <v>1.72917680174578E-13</v>
      </c>
      <c r="CA174" s="13">
        <f t="shared" si="170"/>
        <v>2.4372886112056825E-12</v>
      </c>
      <c r="CB174" s="20">
        <f t="shared" si="171"/>
        <v>4.5461092908206203E-12</v>
      </c>
      <c r="CC174" s="59">
        <f t="shared" si="119"/>
        <v>317.65822056130014</v>
      </c>
      <c r="CD174" s="59">
        <f ca="1">AVERAGE(OFFSET($CC$3,0,0,'Données projet'!$E$12+1,1))-AVERAGE(OFFSET($H$3,0,0,'Données projet'!$E$12+1,1))</f>
        <v>473.09076714002885</v>
      </c>
      <c r="CE174" s="59">
        <f t="shared" si="148"/>
        <v>311.6454557566534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45.095281540602429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45.095281540602429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-2.8421709430404007E-14</v>
      </c>
      <c r="CU174" s="17">
        <f>CT174*VLOOKUP('Données projet'!$B$13,Paramètres!$A$1:$I$89,3,0)*VLOOKUP('Données projet'!$B$13,Paramètres!$A$1:$I$89,5,0)</f>
        <v>-2.4829205358400945E-14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379.66247682099424</v>
      </c>
      <c r="CZ174" s="59">
        <f t="shared" si="150"/>
        <v>342.92507939604081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22.362563078017327</v>
      </c>
      <c r="DG174" s="21">
        <f>EXP(-LN(2)/25)*DG173+(1-EXP(-LN(2)/25))/(LN(2)/25)*Calculateur!DB174*Calculateur!DD174*VLOOKUP('Données projet'!$B$13,Paramètres!$A$1:$I$89,3,0)*0.475*44/12</f>
        <v>5.8122399080612457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28.174802986078575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9.0949470177292824E-13</v>
      </c>
      <c r="DP174" s="17">
        <f>DO174*VLOOKUP('Données projet'!$B$14,Paramètres!$A$1:$I$89,3,0)*VLOOKUP('Données projet'!$B$14,Paramètres!$A$1:$I$89,5,0)</f>
        <v>8.6547515820711851E-13</v>
      </c>
      <c r="DQ174" s="13">
        <f t="shared" si="176"/>
        <v>1.0113703919726002E-11</v>
      </c>
      <c r="DR174" s="20">
        <f t="shared" si="177"/>
        <v>1.9122070227400184E-11</v>
      </c>
      <c r="DS174" s="59">
        <f t="shared" si="125"/>
        <v>317.65822056131469</v>
      </c>
      <c r="DT174" s="59">
        <f ca="1">AVERAGE(OFFSET($DS$3,0,0,'Données projet'!$E$14+1,1))-AVERAGE(OFFSET($H$3,0,0,'Données projet'!$E$14+1,1))</f>
        <v>544.64394576312384</v>
      </c>
      <c r="DU174" s="59">
        <f t="shared" si="152"/>
        <v>310.67291035925484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75.608520671887504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75.608520671887504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-5.4978954722173515E-14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276.72865583771579</v>
      </c>
      <c r="EP174" s="59">
        <f t="shared" si="154"/>
        <v>174.3587092851154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23.613957919490996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23.613957919490996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76.634060153080611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4.25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15.583333333333334</v>
      </c>
      <c r="H175" s="67">
        <f t="shared" si="110"/>
        <v>222.56666666666669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341.11752883785607</v>
      </c>
      <c r="T175" s="59">
        <f t="shared" si="142"/>
        <v>423.15445896616234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12.595886954256626</v>
      </c>
      <c r="AA175" s="21">
        <f>EXP(-LN(2)/25)*AA174+(1-EXP(-LN(2)/25))/(LN(2)/25)*Calculateur!V175*Calculateur!X175*VLOOKUP('Données projet'!$B$9,Paramètres!$A$1:$I$89,3,0)*0.475*44/12</f>
        <v>3.2637375381360942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15.859624492392721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9.0949470177292824E-13</v>
      </c>
      <c r="AJ175" s="13">
        <f>AI175*VLOOKUP('Données projet'!$B$10,Paramètres!$A$1:$I$89,3,0)*VLOOKUP('Données projet'!$B$10,Paramètres!$A$1:$I$89,5,0)</f>
        <v>8.2291080616414541E-13</v>
      </c>
      <c r="AK175" s="13">
        <f t="shared" si="164"/>
        <v>9.6729238395839706E-12</v>
      </c>
      <c r="AL175" s="20">
        <f t="shared" si="165"/>
        <v>1.8280245341344636E-11</v>
      </c>
      <c r="AM175" s="59">
        <f t="shared" si="113"/>
        <v>317.7260233632656</v>
      </c>
      <c r="AN175" s="59">
        <f ca="1">AVERAGE(OFFSET($AM$3,0,0,'Données projet'!$E$10+1,1))-AVERAGE(OFFSET($H$3,0,0,'Données projet'!$E$10+1,1))</f>
        <v>521.72266623522626</v>
      </c>
      <c r="AO175" s="59">
        <f t="shared" si="144"/>
        <v>298.49205684341825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70.48034843431202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70.48034843431202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-6.7984728957526396E-14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376.5647919688821</v>
      </c>
      <c r="BJ175" s="59">
        <f t="shared" si="146"/>
        <v>340.34037344565581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23.855284785837483</v>
      </c>
      <c r="BQ175" s="21">
        <f>EXP(-LN(2)/25)*BQ174+(1-EXP(-LN(2)/25))/(LN(2)/25)*Calculateur!BL175*Calculateur!BN175*VLOOKUP('Données projet'!$B$11,Paramètres!$A$1:$I$89,3,0)*0.475*44/12</f>
        <v>5.3902139954893746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29.245498781326859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1.7053025658242404E-13</v>
      </c>
      <c r="BZ175" s="13">
        <f>BY175*VLOOKUP('Données projet'!$B$12,Paramètres!$A$1:$I$89,3,0)*VLOOKUP('Données projet'!$B$12,Paramètres!$A$1:$I$89,5,0)</f>
        <v>1.72917680174578E-13</v>
      </c>
      <c r="CA175" s="13">
        <f t="shared" si="170"/>
        <v>2.4372886112056825E-12</v>
      </c>
      <c r="CB175" s="20">
        <f t="shared" si="171"/>
        <v>4.5461092908206203E-12</v>
      </c>
      <c r="CC175" s="59">
        <f t="shared" si="119"/>
        <v>317.72602336325184</v>
      </c>
      <c r="CD175" s="59">
        <f ca="1">AVERAGE(OFFSET($CC$3,0,0,'Données projet'!$E$12+1,1))-AVERAGE(OFFSET($H$3,0,0,'Données projet'!$E$12+1,1))</f>
        <v>473.09076714002885</v>
      </c>
      <c r="CE175" s="59">
        <f t="shared" si="148"/>
        <v>311.6454557566534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44.21099057499702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44.21099057499702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-2.8421709430404007E-14</v>
      </c>
      <c r="CU175" s="17">
        <f>CT175*VLOOKUP('Données projet'!$B$13,Paramètres!$A$1:$I$89,3,0)*VLOOKUP('Données projet'!$B$13,Paramètres!$A$1:$I$89,5,0)</f>
        <v>-2.4829205358400945E-14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379.66247682099424</v>
      </c>
      <c r="CZ175" s="59">
        <f t="shared" si="150"/>
        <v>342.92507939604081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21.924046855874064</v>
      </c>
      <c r="DG175" s="21">
        <f>EXP(-LN(2)/25)*DG174+(1-EXP(-LN(2)/25))/(LN(2)/25)*Calculateur!DB175*Calculateur!DD175*VLOOKUP('Données projet'!$B$13,Paramètres!$A$1:$I$89,3,0)*0.475*44/12</f>
        <v>5.6533039021228984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27.57735075799696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9.0949470177292824E-13</v>
      </c>
      <c r="DP175" s="17">
        <f>DO175*VLOOKUP('Données projet'!$B$14,Paramètres!$A$1:$I$89,3,0)*VLOOKUP('Données projet'!$B$14,Paramètres!$A$1:$I$89,5,0)</f>
        <v>8.6547515820711851E-13</v>
      </c>
      <c r="DQ175" s="13">
        <f t="shared" si="176"/>
        <v>1.0113703919726002E-11</v>
      </c>
      <c r="DR175" s="20">
        <f t="shared" si="177"/>
        <v>1.9122070227400184E-11</v>
      </c>
      <c r="DS175" s="59">
        <f t="shared" si="125"/>
        <v>317.72602336326639</v>
      </c>
      <c r="DT175" s="59">
        <f ca="1">AVERAGE(OFFSET($DS$3,0,0,'Données projet'!$E$14+1,1))-AVERAGE(OFFSET($H$3,0,0,'Données projet'!$E$14+1,1))</f>
        <v>544.64394576312384</v>
      </c>
      <c r="DU175" s="59">
        <f t="shared" si="152"/>
        <v>310.67291035925484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74.125883698155761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74.125883698155761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-5.4978954722173515E-14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276.72865583771579</v>
      </c>
      <c r="EP175" s="59">
        <f t="shared" si="154"/>
        <v>174.3587092851154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23.150902607781923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23.150902607781923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76.652551826340172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4.25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15.583333333333334</v>
      </c>
      <c r="H176" s="67">
        <f t="shared" si="110"/>
        <v>222.56666666666669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341.11752883785607</v>
      </c>
      <c r="T176" s="59">
        <f t="shared" si="142"/>
        <v>423.15445896616234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12.348889293816089</v>
      </c>
      <c r="AA176" s="21">
        <f>EXP(-LN(2)/25)*AA175+(1-EXP(-LN(2)/25))/(LN(2)/25)*Calculateur!V176*Calculateur!X176*VLOOKUP('Données projet'!$B$9,Paramètres!$A$1:$I$89,3,0)*0.475*44/12</f>
        <v>3.1744904635232651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15.523379757339354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9.0949470177292824E-13</v>
      </c>
      <c r="AJ176" s="13">
        <f>AI176*VLOOKUP('Données projet'!$B$10,Paramètres!$A$1:$I$89,3,0)*VLOOKUP('Données projet'!$B$10,Paramètres!$A$1:$I$89,5,0)</f>
        <v>8.2291080616414541E-13</v>
      </c>
      <c r="AK176" s="13">
        <f t="shared" si="164"/>
        <v>9.6729238395839706E-12</v>
      </c>
      <c r="AL176" s="20">
        <f t="shared" si="165"/>
        <v>1.8280245341344636E-11</v>
      </c>
      <c r="AM176" s="59">
        <f t="shared" si="113"/>
        <v>317.79264993818782</v>
      </c>
      <c r="AN176" s="59">
        <f ca="1">AVERAGE(OFFSET($AM$3,0,0,'Données projet'!$E$10+1,1))-AVERAGE(OFFSET($H$3,0,0,'Données projet'!$E$10+1,1))</f>
        <v>521.72266623522626</v>
      </c>
      <c r="AO176" s="59">
        <f t="shared" si="144"/>
        <v>298.49205684341825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69.098271790282922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69.098271790282922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-6.7984728957526396E-14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376.5647919688821</v>
      </c>
      <c r="BJ176" s="59">
        <f t="shared" si="146"/>
        <v>340.34037344565581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23.387497201474208</v>
      </c>
      <c r="BQ176" s="21">
        <f>EXP(-LN(2)/25)*BQ175+(1-EXP(-LN(2)/25))/(LN(2)/25)*Calculateur!BL176*Calculateur!BN176*VLOOKUP('Données projet'!$B$11,Paramètres!$A$1:$I$89,3,0)*0.475*44/12</f>
        <v>5.242818310323683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28.630315511797889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1.7053025658242404E-13</v>
      </c>
      <c r="BZ176" s="13">
        <f>BY176*VLOOKUP('Données projet'!$B$12,Paramètres!$A$1:$I$89,3,0)*VLOOKUP('Données projet'!$B$12,Paramètres!$A$1:$I$89,5,0)</f>
        <v>1.72917680174578E-13</v>
      </c>
      <c r="CA176" s="13">
        <f t="shared" si="170"/>
        <v>2.4372886112056825E-12</v>
      </c>
      <c r="CB176" s="20">
        <f t="shared" si="171"/>
        <v>4.5461092908206203E-12</v>
      </c>
      <c r="CC176" s="59">
        <f t="shared" si="119"/>
        <v>317.79264993817407</v>
      </c>
      <c r="CD176" s="59">
        <f ca="1">AVERAGE(OFFSET($CC$3,0,0,'Données projet'!$E$12+1,1))-AVERAGE(OFFSET($H$3,0,0,'Données projet'!$E$12+1,1))</f>
        <v>473.09076714002885</v>
      </c>
      <c r="CE176" s="59">
        <f t="shared" si="148"/>
        <v>311.6454557566534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43.344040015862902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43.344040015862902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-2.8421709430404007E-14</v>
      </c>
      <c r="CU176" s="17">
        <f>CT176*VLOOKUP('Données projet'!$B$13,Paramètres!$A$1:$I$89,3,0)*VLOOKUP('Données projet'!$B$13,Paramètres!$A$1:$I$89,5,0)</f>
        <v>-2.4829205358400945E-14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379.66247682099424</v>
      </c>
      <c r="CZ176" s="59">
        <f t="shared" si="150"/>
        <v>342.92507939604081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21.494129669378545</v>
      </c>
      <c r="DG176" s="21">
        <f>EXP(-LN(2)/25)*DG175+(1-EXP(-LN(2)/25))/(LN(2)/25)*Calculateur!DB176*Calculateur!DD176*VLOOKUP('Données projet'!$B$13,Paramètres!$A$1:$I$89,3,0)*0.475*44/12</f>
        <v>5.498714009625016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26.99284367900356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9.0949470177292824E-13</v>
      </c>
      <c r="DP176" s="17">
        <f>DO176*VLOOKUP('Données projet'!$B$14,Paramètres!$A$1:$I$89,3,0)*VLOOKUP('Données projet'!$B$14,Paramètres!$A$1:$I$89,5,0)</f>
        <v>8.6547515820711851E-13</v>
      </c>
      <c r="DQ176" s="13">
        <f t="shared" si="176"/>
        <v>1.0113703919726002E-11</v>
      </c>
      <c r="DR176" s="20">
        <f t="shared" si="177"/>
        <v>1.9122070227400184E-11</v>
      </c>
      <c r="DS176" s="59">
        <f t="shared" si="125"/>
        <v>317.79264993818862</v>
      </c>
      <c r="DT176" s="59">
        <f ca="1">AVERAGE(OFFSET($DS$3,0,0,'Données projet'!$E$14+1,1))-AVERAGE(OFFSET($H$3,0,0,'Données projet'!$E$14+1,1))</f>
        <v>544.64394576312384</v>
      </c>
      <c r="DU176" s="59">
        <f t="shared" si="152"/>
        <v>310.67291035925484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72.672320331159639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72.672320331159639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-5.4978954722173515E-14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276.72865583771579</v>
      </c>
      <c r="EP176" s="59">
        <f t="shared" si="154"/>
        <v>174.3587092851154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22.696927528299611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22.696927528299611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76.670722710409876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4.25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15.583333333333334</v>
      </c>
      <c r="H177" s="67">
        <f t="shared" si="110"/>
        <v>222.56666666666669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341.11752883785607</v>
      </c>
      <c r="T177" s="59">
        <f t="shared" si="142"/>
        <v>423.15445896616234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12.106735106843095</v>
      </c>
      <c r="AA177" s="21">
        <f>EXP(-LN(2)/25)*AA176+(1-EXP(-LN(2)/25))/(LN(2)/25)*Calculateur!V177*Calculateur!X177*VLOOKUP('Données projet'!$B$9,Paramètres!$A$1:$I$89,3,0)*0.475*44/12</f>
        <v>3.0876838548590233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15.194418961702118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9.0949470177292824E-13</v>
      </c>
      <c r="AJ177" s="13">
        <f>AI177*VLOOKUP('Données projet'!$B$10,Paramètres!$A$1:$I$89,3,0)*VLOOKUP('Données projet'!$B$10,Paramètres!$A$1:$I$89,5,0)</f>
        <v>8.2291080616414541E-13</v>
      </c>
      <c r="AK177" s="13">
        <f t="shared" si="164"/>
        <v>9.6729238395839706E-12</v>
      </c>
      <c r="AL177" s="20">
        <f t="shared" si="165"/>
        <v>1.8280245341344636E-11</v>
      </c>
      <c r="AM177" s="59">
        <f t="shared" si="113"/>
        <v>317.85812069098989</v>
      </c>
      <c r="AN177" s="59">
        <f ca="1">AVERAGE(OFFSET($AM$3,0,0,'Données projet'!$E$10+1,1))-AVERAGE(OFFSET($H$3,0,0,'Données projet'!$E$10+1,1))</f>
        <v>521.72266623522626</v>
      </c>
      <c r="AO177" s="59">
        <f t="shared" si="144"/>
        <v>298.49205684341825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67.743296826259709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67.743296826259709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-6.7984728957526396E-14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376.5647919688821</v>
      </c>
      <c r="BJ177" s="59">
        <f t="shared" si="146"/>
        <v>340.34037344565581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22.928882646318044</v>
      </c>
      <c r="BQ177" s="21">
        <f>EXP(-LN(2)/25)*BQ176+(1-EXP(-LN(2)/25))/(LN(2)/25)*Calculateur!BL177*Calculateur!BN177*VLOOKUP('Données projet'!$B$11,Paramètres!$A$1:$I$89,3,0)*0.475*44/12</f>
        <v>5.0994531679200499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28.028335814238094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1.7053025658242404E-13</v>
      </c>
      <c r="BZ177" s="13">
        <f>BY177*VLOOKUP('Données projet'!$B$12,Paramètres!$A$1:$I$89,3,0)*VLOOKUP('Données projet'!$B$12,Paramètres!$A$1:$I$89,5,0)</f>
        <v>1.72917680174578E-13</v>
      </c>
      <c r="CA177" s="13">
        <f t="shared" si="170"/>
        <v>2.4372886112056825E-12</v>
      </c>
      <c r="CB177" s="20">
        <f t="shared" si="171"/>
        <v>4.5461092908206203E-12</v>
      </c>
      <c r="CC177" s="59">
        <f t="shared" si="119"/>
        <v>317.85812069097614</v>
      </c>
      <c r="CD177" s="59">
        <f ca="1">AVERAGE(OFFSET($CC$3,0,0,'Données projet'!$E$12+1,1))-AVERAGE(OFFSET($H$3,0,0,'Données projet'!$E$12+1,1))</f>
        <v>473.09076714002885</v>
      </c>
      <c r="CE177" s="59">
        <f t="shared" si="148"/>
        <v>311.6454557566534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42.494089828405777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42.494089828405777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-2.8421709430404007E-14</v>
      </c>
      <c r="CU177" s="17">
        <f>CT177*VLOOKUP('Données projet'!$B$13,Paramètres!$A$1:$I$89,3,0)*VLOOKUP('Données projet'!$B$13,Paramètres!$A$1:$I$89,5,0)</f>
        <v>-2.4829205358400945E-14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379.66247682099424</v>
      </c>
      <c r="CZ177" s="59">
        <f t="shared" si="150"/>
        <v>342.92507939604081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21.072642896686613</v>
      </c>
      <c r="DG177" s="21">
        <f>EXP(-LN(2)/25)*DG176+(1-EXP(-LN(2)/25))/(LN(2)/25)*Calculateur!DB177*Calculateur!DD177*VLOOKUP('Données projet'!$B$13,Paramètres!$A$1:$I$89,3,0)*0.475*44/12</f>
        <v>5.3483513858670175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26.420994282553629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9.0949470177292824E-13</v>
      </c>
      <c r="DP177" s="17">
        <f>DO177*VLOOKUP('Données projet'!$B$14,Paramètres!$A$1:$I$89,3,0)*VLOOKUP('Données projet'!$B$14,Paramètres!$A$1:$I$89,5,0)</f>
        <v>8.6547515820711851E-13</v>
      </c>
      <c r="DQ177" s="13">
        <f t="shared" si="176"/>
        <v>1.0113703919726002E-11</v>
      </c>
      <c r="DR177" s="20">
        <f t="shared" si="177"/>
        <v>1.9122070227400184E-11</v>
      </c>
      <c r="DS177" s="59">
        <f t="shared" si="125"/>
        <v>317.85812069099069</v>
      </c>
      <c r="DT177" s="59">
        <f ca="1">AVERAGE(OFFSET($DS$3,0,0,'Données projet'!$E$14+1,1))-AVERAGE(OFFSET($H$3,0,0,'Données projet'!$E$14+1,1))</f>
        <v>544.64394576312384</v>
      </c>
      <c r="DU177" s="59">
        <f t="shared" si="152"/>
        <v>310.67291035925484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71.247260455204199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71.247260455204199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-5.4978954722173515E-14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276.72865583771579</v>
      </c>
      <c r="EP177" s="59">
        <f t="shared" si="154"/>
        <v>174.3587092851154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22.251854623228489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22.251854623228489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76.688578370264977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4.25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15.583333333333334</v>
      </c>
      <c r="H178" s="67">
        <f t="shared" si="110"/>
        <v>222.56666666666669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341.11752883785607</v>
      </c>
      <c r="T178" s="59">
        <f t="shared" si="142"/>
        <v>423.15445896616234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11.86932941577717</v>
      </c>
      <c r="AA178" s="21">
        <f>EXP(-LN(2)/25)*AA177+(1-EXP(-LN(2)/25))/(LN(2)/25)*Calculateur!V178*Calculateur!X178*VLOOKUP('Données projet'!$B$9,Paramètres!$A$1:$I$89,3,0)*0.475*44/12</f>
        <v>3.0032509774736664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14.872580393250836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9.0949470177292824E-13</v>
      </c>
      <c r="AJ178" s="13">
        <f>AI178*VLOOKUP('Données projet'!$B$10,Paramètres!$A$1:$I$89,3,0)*VLOOKUP('Données projet'!$B$10,Paramètres!$A$1:$I$89,5,0)</f>
        <v>8.2291080616414541E-13</v>
      </c>
      <c r="AK178" s="13">
        <f t="shared" si="164"/>
        <v>9.6729238395839706E-12</v>
      </c>
      <c r="AL178" s="20">
        <f t="shared" si="165"/>
        <v>1.8280245341344636E-11</v>
      </c>
      <c r="AM178" s="59">
        <f t="shared" si="113"/>
        <v>317.92245567260147</v>
      </c>
      <c r="AN178" s="59">
        <f ca="1">AVERAGE(OFFSET($AM$3,0,0,'Données projet'!$E$10+1,1))-AVERAGE(OFFSET($H$3,0,0,'Données projet'!$E$10+1,1))</f>
        <v>521.72266623522626</v>
      </c>
      <c r="AO178" s="59">
        <f t="shared" si="144"/>
        <v>298.49205684341825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66.414892094827877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66.414892094827877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-6.7984728957526396E-14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376.5647919688821</v>
      </c>
      <c r="BJ178" s="59">
        <f t="shared" si="146"/>
        <v>340.34037344565581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22.479261242861234</v>
      </c>
      <c r="BQ178" s="21">
        <f>EXP(-LN(2)/25)*BQ177+(1-EXP(-LN(2)/25))/(LN(2)/25)*Calculateur!BL178*Calculateur!BN178*VLOOKUP('Données projet'!$B$11,Paramètres!$A$1:$I$89,3,0)*0.475*44/12</f>
        <v>4.9600083528746888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27.439269595735922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1.7053025658242404E-13</v>
      </c>
      <c r="BZ178" s="13">
        <f>BY178*VLOOKUP('Données projet'!$B$12,Paramètres!$A$1:$I$89,3,0)*VLOOKUP('Données projet'!$B$12,Paramètres!$A$1:$I$89,5,0)</f>
        <v>1.72917680174578E-13</v>
      </c>
      <c r="CA178" s="13">
        <f t="shared" si="170"/>
        <v>2.4372886112056825E-12</v>
      </c>
      <c r="CB178" s="20">
        <f t="shared" si="171"/>
        <v>4.5461092908206203E-12</v>
      </c>
      <c r="CC178" s="59">
        <f t="shared" si="119"/>
        <v>317.92245567258772</v>
      </c>
      <c r="CD178" s="59">
        <f ca="1">AVERAGE(OFFSET($CC$3,0,0,'Données projet'!$E$12+1,1))-AVERAGE(OFFSET($H$3,0,0,'Données projet'!$E$12+1,1))</f>
        <v>473.09076714002885</v>
      </c>
      <c r="CE178" s="59">
        <f t="shared" si="148"/>
        <v>311.6454557566534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41.660806645706259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41.660806645706259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-2.8421709430404007E-14</v>
      </c>
      <c r="CU178" s="17">
        <f>CT178*VLOOKUP('Données projet'!$B$13,Paramètres!$A$1:$I$89,3,0)*VLOOKUP('Données projet'!$B$13,Paramètres!$A$1:$I$89,5,0)</f>
        <v>-2.4829205358400945E-14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379.66247682099424</v>
      </c>
      <c r="CZ178" s="59">
        <f t="shared" si="150"/>
        <v>342.92507939604081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20.659421222525623</v>
      </c>
      <c r="DG178" s="21">
        <f>EXP(-LN(2)/25)*DG177+(1-EXP(-LN(2)/25))/(LN(2)/25)*Calculateur!DB178*Calculateur!DD178*VLOOKUP('Données projet'!$B$13,Paramètres!$A$1:$I$89,3,0)*0.475*44/12</f>
        <v>5.2021004359629082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25.861521658488531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9.0949470177292824E-13</v>
      </c>
      <c r="DP178" s="17">
        <f>DO178*VLOOKUP('Données projet'!$B$14,Paramètres!$A$1:$I$89,3,0)*VLOOKUP('Données projet'!$B$14,Paramètres!$A$1:$I$89,5,0)</f>
        <v>8.6547515820711851E-13</v>
      </c>
      <c r="DQ178" s="13">
        <f t="shared" si="176"/>
        <v>1.0113703919726002E-11</v>
      </c>
      <c r="DR178" s="20">
        <f t="shared" si="177"/>
        <v>1.9122070227400184E-11</v>
      </c>
      <c r="DS178" s="59">
        <f t="shared" si="125"/>
        <v>317.92245567260227</v>
      </c>
      <c r="DT178" s="59">
        <f ca="1">AVERAGE(OFFSET($DS$3,0,0,'Données projet'!$E$14+1,1))-AVERAGE(OFFSET($H$3,0,0,'Données projet'!$E$14+1,1))</f>
        <v>544.64394576312384</v>
      </c>
      <c r="DU178" s="59">
        <f t="shared" si="152"/>
        <v>310.67291035925484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69.850145134215552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69.850145134215552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-5.4978954722173515E-14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276.72865583771579</v>
      </c>
      <c r="EP178" s="59">
        <f t="shared" si="154"/>
        <v>174.3587092851154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21.815509326358146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21.815509326358146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76.706124274340866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4.25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15.583333333333334</v>
      </c>
      <c r="H179" s="67">
        <f t="shared" si="110"/>
        <v>222.56666666666669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341.11752883785607</v>
      </c>
      <c r="T179" s="59">
        <f t="shared" si="142"/>
        <v>423.15445896616234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11.636579105509874</v>
      </c>
      <c r="AA179" s="21">
        <f>EXP(-LN(2)/25)*AA178+(1-EXP(-LN(2)/25))/(LN(2)/25)*Calculateur!V179*Calculateur!X179*VLOOKUP('Données projet'!$B$9,Paramètres!$A$1:$I$89,3,0)*0.475*44/12</f>
        <v>2.921126921560544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14.557706027070418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9.0949470177292824E-13</v>
      </c>
      <c r="AJ179" s="13">
        <f>AI179*VLOOKUP('Données projet'!$B$10,Paramètres!$A$1:$I$89,3,0)*VLOOKUP('Données projet'!$B$10,Paramètres!$A$1:$I$89,5,0)</f>
        <v>8.2291080616414541E-13</v>
      </c>
      <c r="AK179" s="13">
        <f t="shared" si="164"/>
        <v>9.6729238395839706E-12</v>
      </c>
      <c r="AL179" s="20">
        <f t="shared" si="165"/>
        <v>1.8280245341344636E-11</v>
      </c>
      <c r="AM179" s="59">
        <f t="shared" si="113"/>
        <v>317.98567458611359</v>
      </c>
      <c r="AN179" s="59">
        <f ca="1">AVERAGE(OFFSET($AM$3,0,0,'Données projet'!$E$10+1,1))-AVERAGE(OFFSET($H$3,0,0,'Données projet'!$E$10+1,1))</f>
        <v>521.72266623522626</v>
      </c>
      <c r="AO179" s="59">
        <f t="shared" si="144"/>
        <v>298.49205684341825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65.112536569932544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65.112536569932544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-6.7984728957526396E-14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376.5647919688821</v>
      </c>
      <c r="BJ179" s="59">
        <f t="shared" si="146"/>
        <v>340.34037344565581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22.038456640884235</v>
      </c>
      <c r="BQ179" s="21">
        <f>EXP(-LN(2)/25)*BQ178+(1-EXP(-LN(2)/25))/(LN(2)/25)*Calculateur!BL179*Calculateur!BN179*VLOOKUP('Données projet'!$B$11,Paramètres!$A$1:$I$89,3,0)*0.475*44/12</f>
        <v>4.8243766636298275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26.862833304514062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1.7053025658242404E-13</v>
      </c>
      <c r="BZ179" s="13">
        <f>BY179*VLOOKUP('Données projet'!$B$12,Paramètres!$A$1:$I$89,3,0)*VLOOKUP('Données projet'!$B$12,Paramètres!$A$1:$I$89,5,0)</f>
        <v>1.72917680174578E-13</v>
      </c>
      <c r="CA179" s="13">
        <f t="shared" si="170"/>
        <v>2.4372886112056825E-12</v>
      </c>
      <c r="CB179" s="20">
        <f t="shared" si="171"/>
        <v>4.5461092908206203E-12</v>
      </c>
      <c r="CC179" s="59">
        <f t="shared" si="119"/>
        <v>317.98567458609983</v>
      </c>
      <c r="CD179" s="59">
        <f ca="1">AVERAGE(OFFSET($CC$3,0,0,'Données projet'!$E$12+1,1))-AVERAGE(OFFSET($H$3,0,0,'Données projet'!$E$12+1,1))</f>
        <v>473.09076714002885</v>
      </c>
      <c r="CE179" s="59">
        <f t="shared" si="148"/>
        <v>311.6454557566534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40.843863637966926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40.843863637966926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-2.8421709430404007E-14</v>
      </c>
      <c r="CU179" s="17">
        <f>CT179*VLOOKUP('Données projet'!$B$13,Paramètres!$A$1:$I$89,3,0)*VLOOKUP('Données projet'!$B$13,Paramètres!$A$1:$I$89,5,0)</f>
        <v>-2.4829205358400945E-14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379.66247682099424</v>
      </c>
      <c r="CZ179" s="59">
        <f t="shared" si="150"/>
        <v>342.92507939604081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20.254302573354597</v>
      </c>
      <c r="DG179" s="21">
        <f>EXP(-LN(2)/25)*DG178+(1-EXP(-LN(2)/25))/(LN(2)/25)*Calculateur!DB179*Calculateur!DD179*VLOOKUP('Données projet'!$B$13,Paramètres!$A$1:$I$89,3,0)*0.475*44/12</f>
        <v>5.0598487259749305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25.314151299329527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9.0949470177292824E-13</v>
      </c>
      <c r="DP179" s="17">
        <f>DO179*VLOOKUP('Données projet'!$B$14,Paramètres!$A$1:$I$89,3,0)*VLOOKUP('Données projet'!$B$14,Paramètres!$A$1:$I$89,5,0)</f>
        <v>8.6547515820711851E-13</v>
      </c>
      <c r="DQ179" s="13">
        <f t="shared" si="176"/>
        <v>1.0113703919726002E-11</v>
      </c>
      <c r="DR179" s="20">
        <f t="shared" si="177"/>
        <v>1.9122070227400184E-11</v>
      </c>
      <c r="DS179" s="59">
        <f t="shared" si="125"/>
        <v>317.98567458611438</v>
      </c>
      <c r="DT179" s="59">
        <f ca="1">AVERAGE(OFFSET($DS$3,0,0,'Données projet'!$E$14+1,1))-AVERAGE(OFFSET($H$3,0,0,'Données projet'!$E$14+1,1))</f>
        <v>544.64394576312384</v>
      </c>
      <c r="DU179" s="59">
        <f t="shared" si="152"/>
        <v>310.67291035925484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68.480426392515284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68.480426392515284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-5.4978954722173515E-14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276.72865583771579</v>
      </c>
      <c r="EP179" s="59">
        <f t="shared" si="154"/>
        <v>174.3587092851154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21.387720494615078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21.387720494615078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76.723365796207801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4.25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15.583333333333334</v>
      </c>
      <c r="H180" s="67">
        <f t="shared" si="110"/>
        <v>222.56666666666669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341.11752883785607</v>
      </c>
      <c r="T180" s="59">
        <f t="shared" si="142"/>
        <v>423.15445896616234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11.408392886863249</v>
      </c>
      <c r="AA180" s="21">
        <f>EXP(-LN(2)/25)*AA179+(1-EXP(-LN(2)/25))/(LN(2)/25)*Calculateur!V180*Calculateur!X180*VLOOKUP('Données projet'!$B$9,Paramètres!$A$1:$I$89,3,0)*0.475*44/12</f>
        <v>2.8412485522750823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14.249641439138331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9.0949470177292824E-13</v>
      </c>
      <c r="AJ180" s="13">
        <f>AI180*VLOOKUP('Données projet'!$B$10,Paramètres!$A$1:$I$89,3,0)*VLOOKUP('Données projet'!$B$10,Paramètres!$A$1:$I$89,5,0)</f>
        <v>8.2291080616414541E-13</v>
      </c>
      <c r="AK180" s="13">
        <f t="shared" si="164"/>
        <v>9.6729238395839706E-12</v>
      </c>
      <c r="AL180" s="20">
        <f t="shared" si="165"/>
        <v>1.8280245341344636E-11</v>
      </c>
      <c r="AM180" s="59">
        <f t="shared" si="113"/>
        <v>318.04779679281256</v>
      </c>
      <c r="AN180" s="59">
        <f ca="1">AVERAGE(OFFSET($AM$3,0,0,'Données projet'!$E$10+1,1))-AVERAGE(OFFSET($H$3,0,0,'Données projet'!$E$10+1,1))</f>
        <v>521.72266623522626</v>
      </c>
      <c r="AO180" s="59">
        <f t="shared" si="144"/>
        <v>298.49205684341825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63.83571944252197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63.83571944252197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-6.7984728957526396E-14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376.5647919688821</v>
      </c>
      <c r="BJ180" s="59">
        <f t="shared" si="146"/>
        <v>340.34037344565581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21.606295948287745</v>
      </c>
      <c r="BQ180" s="21">
        <f>EXP(-LN(2)/25)*BQ179+(1-EXP(-LN(2)/25))/(LN(2)/25)*Calculateur!BL180*Calculateur!BN180*VLOOKUP('Données projet'!$B$11,Paramètres!$A$1:$I$89,3,0)*0.475*44/12</f>
        <v>4.692453830059927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26.29874977834767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1.7053025658242404E-13</v>
      </c>
      <c r="BZ180" s="13">
        <f>BY180*VLOOKUP('Données projet'!$B$12,Paramètres!$A$1:$I$89,3,0)*VLOOKUP('Données projet'!$B$12,Paramètres!$A$1:$I$89,5,0)</f>
        <v>1.72917680174578E-13</v>
      </c>
      <c r="CA180" s="13">
        <f t="shared" si="170"/>
        <v>2.4372886112056825E-12</v>
      </c>
      <c r="CB180" s="20">
        <f t="shared" si="171"/>
        <v>4.5461092908206203E-12</v>
      </c>
      <c r="CC180" s="59">
        <f t="shared" si="119"/>
        <v>318.04779679279881</v>
      </c>
      <c r="CD180" s="59">
        <f ca="1">AVERAGE(OFFSET($CC$3,0,0,'Données projet'!$E$12+1,1))-AVERAGE(OFFSET($H$3,0,0,'Données projet'!$E$12+1,1))</f>
        <v>473.09076714002885</v>
      </c>
      <c r="CE180" s="59">
        <f t="shared" si="148"/>
        <v>311.6454557566534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40.04294038432333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40.04294038432333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-2.8421709430404007E-14</v>
      </c>
      <c r="CU180" s="17">
        <f>CT180*VLOOKUP('Données projet'!$B$13,Paramètres!$A$1:$I$89,3,0)*VLOOKUP('Données projet'!$B$13,Paramètres!$A$1:$I$89,5,0)</f>
        <v>-2.4829205358400945E-14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379.66247682099424</v>
      </c>
      <c r="CZ180" s="59">
        <f t="shared" si="150"/>
        <v>342.92507939604081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19.857128053795837</v>
      </c>
      <c r="DG180" s="21">
        <f>EXP(-LN(2)/25)*DG179+(1-EXP(-LN(2)/25))/(LN(2)/25)*Calculateur!DB180*Calculateur!DD180*VLOOKUP('Données projet'!$B$13,Paramètres!$A$1:$I$89,3,0)*0.475*44/12</f>
        <v>4.9214868964772656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24.778614950273102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9.0949470177292824E-13</v>
      </c>
      <c r="DP180" s="17">
        <f>DO180*VLOOKUP('Données projet'!$B$14,Paramètres!$A$1:$I$89,3,0)*VLOOKUP('Données projet'!$B$14,Paramètres!$A$1:$I$89,5,0)</f>
        <v>8.6547515820711851E-13</v>
      </c>
      <c r="DQ180" s="13">
        <f t="shared" si="176"/>
        <v>1.0113703919726002E-11</v>
      </c>
      <c r="DR180" s="20">
        <f t="shared" si="177"/>
        <v>1.9122070227400184E-11</v>
      </c>
      <c r="DS180" s="59">
        <f t="shared" si="125"/>
        <v>318.04779679281336</v>
      </c>
      <c r="DT180" s="59">
        <f ca="1">AVERAGE(OFFSET($DS$3,0,0,'Données projet'!$E$14+1,1))-AVERAGE(OFFSET($H$3,0,0,'Données projet'!$E$14+1,1))</f>
        <v>544.64394576312384</v>
      </c>
      <c r="DU180" s="59">
        <f t="shared" si="152"/>
        <v>310.67291035925484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67.137566999893821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67.137566999893821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-5.4978954722173515E-14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276.72865583771579</v>
      </c>
      <c r="EP180" s="59">
        <f t="shared" si="154"/>
        <v>174.3587092851154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20.968320340937069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20.968320340937069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76.740308216216619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4.25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15.583333333333334</v>
      </c>
      <c r="H181" s="67">
        <f t="shared" si="110"/>
        <v>222.56666666666669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341.11752883785607</v>
      </c>
      <c r="T181" s="59">
        <f t="shared" si="142"/>
        <v>423.15445896616234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11.184681260784433</v>
      </c>
      <c r="AA181" s="21">
        <f>EXP(-LN(2)/25)*AA180+(1-EXP(-LN(2)/25))/(LN(2)/25)*Calculateur!V181*Calculateur!X181*VLOOKUP('Données projet'!$B$9,Paramètres!$A$1:$I$89,3,0)*0.475*44/12</f>
        <v>2.7635544611983525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13.948235721982787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9.0949470177292824E-13</v>
      </c>
      <c r="AJ181" s="13">
        <f>AI181*VLOOKUP('Données projet'!$B$10,Paramètres!$A$1:$I$89,3,0)*VLOOKUP('Données projet'!$B$10,Paramètres!$A$1:$I$89,5,0)</f>
        <v>8.2291080616414541E-13</v>
      </c>
      <c r="AK181" s="13">
        <f t="shared" si="164"/>
        <v>9.6729238395839706E-12</v>
      </c>
      <c r="AL181" s="20">
        <f t="shared" si="165"/>
        <v>1.8280245341344636E-11</v>
      </c>
      <c r="AM181" s="59">
        <f t="shared" si="113"/>
        <v>318.1088413181098</v>
      </c>
      <c r="AN181" s="59">
        <f ca="1">AVERAGE(OFFSET($AM$3,0,0,'Données projet'!$E$10+1,1))-AVERAGE(OFFSET($H$3,0,0,'Données projet'!$E$10+1,1))</f>
        <v>521.72266623522626</v>
      </c>
      <c r="AO181" s="59">
        <f t="shared" si="144"/>
        <v>298.49205684341825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62.583939920198368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62.583939920198368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-6.7984728957526396E-14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376.5647919688821</v>
      </c>
      <c r="BJ181" s="59">
        <f t="shared" si="146"/>
        <v>340.34037344565581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21.182609663281077</v>
      </c>
      <c r="BQ181" s="21">
        <f>EXP(-LN(2)/25)*BQ180+(1-EXP(-LN(2)/25))/(LN(2)/25)*Calculateur!BL181*Calculateur!BN181*VLOOKUP('Données projet'!$B$11,Paramètres!$A$1:$I$89,3,0)*0.475*44/12</f>
        <v>4.5641384333115163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25.746748096592594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1.7053025658242404E-13</v>
      </c>
      <c r="BZ181" s="13">
        <f>BY181*VLOOKUP('Données projet'!$B$12,Paramètres!$A$1:$I$89,3,0)*VLOOKUP('Données projet'!$B$12,Paramètres!$A$1:$I$89,5,0)</f>
        <v>1.72917680174578E-13</v>
      </c>
      <c r="CA181" s="13">
        <f t="shared" si="170"/>
        <v>2.4372886112056825E-12</v>
      </c>
      <c r="CB181" s="20">
        <f t="shared" si="171"/>
        <v>4.5461092908206203E-12</v>
      </c>
      <c r="CC181" s="59">
        <f t="shared" si="119"/>
        <v>318.10884131809604</v>
      </c>
      <c r="CD181" s="59">
        <f ca="1">AVERAGE(OFFSET($CC$3,0,0,'Données projet'!$E$12+1,1))-AVERAGE(OFFSET($H$3,0,0,'Données projet'!$E$12+1,1))</f>
        <v>473.09076714002885</v>
      </c>
      <c r="CE181" s="59">
        <f t="shared" si="148"/>
        <v>311.6454557566534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39.257722747168735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39.257722747168735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-2.8421709430404007E-14</v>
      </c>
      <c r="CU181" s="17">
        <f>CT181*VLOOKUP('Données projet'!$B$13,Paramètres!$A$1:$I$89,3,0)*VLOOKUP('Données projet'!$B$13,Paramètres!$A$1:$I$89,5,0)</f>
        <v>-2.4829205358400945E-14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379.66247682099424</v>
      </c>
      <c r="CZ181" s="59">
        <f t="shared" si="150"/>
        <v>342.92507939604081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19.467741884313085</v>
      </c>
      <c r="DG181" s="21">
        <f>EXP(-LN(2)/25)*DG180+(1-EXP(-LN(2)/25))/(LN(2)/25)*Calculateur!DB181*Calculateur!DD181*VLOOKUP('Données projet'!$B$13,Paramètres!$A$1:$I$89,3,0)*0.475*44/12</f>
        <v>4.7869085784833469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24.254650462796434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9.0949470177292824E-13</v>
      </c>
      <c r="DP181" s="17">
        <f>DO181*VLOOKUP('Données projet'!$B$14,Paramètres!$A$1:$I$89,3,0)*VLOOKUP('Données projet'!$B$14,Paramètres!$A$1:$I$89,5,0)</f>
        <v>8.6547515820711851E-13</v>
      </c>
      <c r="DQ181" s="13">
        <f t="shared" si="176"/>
        <v>1.0113703919726002E-11</v>
      </c>
      <c r="DR181" s="20">
        <f t="shared" si="177"/>
        <v>1.9122070227400184E-11</v>
      </c>
      <c r="DS181" s="59">
        <f t="shared" si="125"/>
        <v>318.10884131811059</v>
      </c>
      <c r="DT181" s="59">
        <f ca="1">AVERAGE(OFFSET($DS$3,0,0,'Données projet'!$E$14+1,1))-AVERAGE(OFFSET($H$3,0,0,'Données projet'!$E$14+1,1))</f>
        <v>544.64394576312384</v>
      </c>
      <c r="DU181" s="59">
        <f t="shared" si="152"/>
        <v>310.67291035925484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65.821040260898315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65.821040260898315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-5.4978954722173515E-14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276.72865583771579</v>
      </c>
      <c r="EP181" s="59">
        <f t="shared" si="154"/>
        <v>174.3587092851154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20.557144368463852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20.557144368463852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76.756956723115863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4.25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15.583333333333334</v>
      </c>
      <c r="H182" s="67">
        <f t="shared" si="110"/>
        <v>222.56666666666669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341.11752883785607</v>
      </c>
      <c r="T182" s="59">
        <f t="shared" si="142"/>
        <v>423.15445896616234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10.965356483242404</v>
      </c>
      <c r="AA182" s="21">
        <f>EXP(-LN(2)/25)*AA181+(1-EXP(-LN(2)/25))/(LN(2)/25)*Calculateur!V182*Calculateur!X182*VLOOKUP('Données projet'!$B$9,Paramètres!$A$1:$I$89,3,0)*0.475*44/12</f>
        <v>2.6879849191278704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13.653341402370275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9.0949470177292824E-13</v>
      </c>
      <c r="AJ182" s="13">
        <f>AI182*VLOOKUP('Données projet'!$B$10,Paramètres!$A$1:$I$89,3,0)*VLOOKUP('Données projet'!$B$10,Paramètres!$A$1:$I$89,5,0)</f>
        <v>8.2291080616414541E-13</v>
      </c>
      <c r="AK182" s="13">
        <f t="shared" si="164"/>
        <v>9.6729238395839706E-12</v>
      </c>
      <c r="AL182" s="20">
        <f t="shared" si="165"/>
        <v>1.8280245341344636E-11</v>
      </c>
      <c r="AM182" s="59">
        <f t="shared" si="113"/>
        <v>318.16882685736817</v>
      </c>
      <c r="AN182" s="59">
        <f ca="1">AVERAGE(OFFSET($AM$3,0,0,'Données projet'!$E$10+1,1))-AVERAGE(OFFSET($H$3,0,0,'Données projet'!$E$10+1,1))</f>
        <v>521.72266623522626</v>
      </c>
      <c r="AO182" s="59">
        <f t="shared" si="144"/>
        <v>298.49205684341825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61.356707030797416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61.356707030797416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-6.7984728957526396E-14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376.5647919688821</v>
      </c>
      <c r="BJ182" s="59">
        <f t="shared" si="146"/>
        <v>340.34037344565581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20.767231607900275</v>
      </c>
      <c r="BQ182" s="21">
        <f>EXP(-LN(2)/25)*BQ181+(1-EXP(-LN(2)/25))/(LN(2)/25)*Calculateur!BL182*Calculateur!BN182*VLOOKUP('Données projet'!$B$11,Paramètres!$A$1:$I$89,3,0)*0.475*44/12</f>
        <v>4.4393318278350042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25.20656343573528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1.7053025658242404E-13</v>
      </c>
      <c r="BZ182" s="13">
        <f>BY182*VLOOKUP('Données projet'!$B$12,Paramètres!$A$1:$I$89,3,0)*VLOOKUP('Données projet'!$B$12,Paramètres!$A$1:$I$89,5,0)</f>
        <v>1.72917680174578E-13</v>
      </c>
      <c r="CA182" s="13">
        <f t="shared" si="170"/>
        <v>2.4372886112056825E-12</v>
      </c>
      <c r="CB182" s="20">
        <f t="shared" si="171"/>
        <v>4.5461092908206203E-12</v>
      </c>
      <c r="CC182" s="59">
        <f t="shared" si="119"/>
        <v>318.16882685735442</v>
      </c>
      <c r="CD182" s="59">
        <f ca="1">AVERAGE(OFFSET($CC$3,0,0,'Données projet'!$E$12+1,1))-AVERAGE(OFFSET($H$3,0,0,'Données projet'!$E$12+1,1))</f>
        <v>473.09076714002885</v>
      </c>
      <c r="CE182" s="59">
        <f t="shared" si="148"/>
        <v>311.6454557566534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38.487902748943277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38.487902748943277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-2.8421709430404007E-14</v>
      </c>
      <c r="CU182" s="17">
        <f>CT182*VLOOKUP('Données projet'!$B$13,Paramètres!$A$1:$I$89,3,0)*VLOOKUP('Données projet'!$B$13,Paramètres!$A$1:$I$89,5,0)</f>
        <v>-2.4829205358400945E-14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379.66247682099424</v>
      </c>
      <c r="CZ182" s="59">
        <f t="shared" si="150"/>
        <v>342.92507939604081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19.085991340111779</v>
      </c>
      <c r="DG182" s="21">
        <f>EXP(-LN(2)/25)*DG181+(1-EXP(-LN(2)/25))/(LN(2)/25)*Calculateur!DB182*Calculateur!DD182*VLOOKUP('Données projet'!$B$13,Paramètres!$A$1:$I$89,3,0)*0.475*44/12</f>
        <v>4.6560103116721381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23.742001651783916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9.0949470177292824E-13</v>
      </c>
      <c r="DP182" s="17">
        <f>DO182*VLOOKUP('Données projet'!$B$14,Paramètres!$A$1:$I$89,3,0)*VLOOKUP('Données projet'!$B$14,Paramètres!$A$1:$I$89,5,0)</f>
        <v>8.6547515820711851E-13</v>
      </c>
      <c r="DQ182" s="13">
        <f t="shared" si="176"/>
        <v>1.0113703919726002E-11</v>
      </c>
      <c r="DR182" s="20">
        <f t="shared" si="177"/>
        <v>1.9122070227400184E-11</v>
      </c>
      <c r="DS182" s="59">
        <f t="shared" si="125"/>
        <v>318.16882685736897</v>
      </c>
      <c r="DT182" s="59">
        <f ca="1">AVERAGE(OFFSET($DS$3,0,0,'Données projet'!$E$14+1,1))-AVERAGE(OFFSET($H$3,0,0,'Données projet'!$E$14+1,1))</f>
        <v>544.64394576312384</v>
      </c>
      <c r="DU182" s="59">
        <f t="shared" si="152"/>
        <v>310.67291035925484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64.530329808252489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64.530329808252489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-5.4978954722173515E-14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276.72865583771579</v>
      </c>
      <c r="EP182" s="59">
        <f t="shared" si="154"/>
        <v>174.3587092851154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20.154031306018254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20.154031306018254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76.773316415640878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4.25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15.583333333333334</v>
      </c>
      <c r="H183" s="67">
        <f t="shared" si="110"/>
        <v>222.56666666666669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341.11752883785607</v>
      </c>
      <c r="T183" s="59">
        <f t="shared" si="142"/>
        <v>423.15445896616234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10.75033253081307</v>
      </c>
      <c r="AA183" s="21">
        <f>EXP(-LN(2)/25)*AA182+(1-EXP(-LN(2)/25))/(LN(2)/25)*Calculateur!V183*Calculateur!X183*VLOOKUP('Données projet'!$B$9,Paramètres!$A$1:$I$89,3,0)*0.475*44/12</f>
        <v>2.6144818301593356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13.364814360972407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9.0949470177292824E-13</v>
      </c>
      <c r="AJ183" s="13">
        <f>AI183*VLOOKUP('Données projet'!$B$10,Paramètres!$A$1:$I$89,3,0)*VLOOKUP('Données projet'!$B$10,Paramètres!$A$1:$I$89,5,0)</f>
        <v>8.2291080616414541E-13</v>
      </c>
      <c r="AK183" s="13">
        <f t="shared" si="164"/>
        <v>9.6729238395839706E-12</v>
      </c>
      <c r="AL183" s="20">
        <f t="shared" si="165"/>
        <v>1.8280245341344636E-11</v>
      </c>
      <c r="AM183" s="59">
        <f t="shared" si="113"/>
        <v>318.22777178162806</v>
      </c>
      <c r="AN183" s="59">
        <f ca="1">AVERAGE(OFFSET($AM$3,0,0,'Données projet'!$E$10+1,1))-AVERAGE(OFFSET($H$3,0,0,'Données projet'!$E$10+1,1))</f>
        <v>521.72266623522626</v>
      </c>
      <c r="AO183" s="59">
        <f t="shared" si="144"/>
        <v>298.49205684341825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60.153539429819467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60.153539429819467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-6.7984728957526396E-14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376.5647919688821</v>
      </c>
      <c r="BJ183" s="59">
        <f t="shared" si="146"/>
        <v>340.34037344565581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20.359998862829894</v>
      </c>
      <c r="BQ183" s="21">
        <f>EXP(-LN(2)/25)*BQ182+(1-EXP(-LN(2)/25))/(LN(2)/25)*Calculateur!BL183*Calculateur!BN183*VLOOKUP('Données projet'!$B$11,Paramètres!$A$1:$I$89,3,0)*0.475*44/12</f>
        <v>4.3179380655485415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24.677936928378436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1.7053025658242404E-13</v>
      </c>
      <c r="BZ183" s="13">
        <f>BY183*VLOOKUP('Données projet'!$B$12,Paramètres!$A$1:$I$89,3,0)*VLOOKUP('Données projet'!$B$12,Paramètres!$A$1:$I$89,5,0)</f>
        <v>1.72917680174578E-13</v>
      </c>
      <c r="CA183" s="13">
        <f t="shared" si="170"/>
        <v>2.4372886112056825E-12</v>
      </c>
      <c r="CB183" s="20">
        <f t="shared" si="171"/>
        <v>4.5461092908206203E-12</v>
      </c>
      <c r="CC183" s="59">
        <f t="shared" si="119"/>
        <v>318.22777178161431</v>
      </c>
      <c r="CD183" s="59">
        <f ca="1">AVERAGE(OFFSET($CC$3,0,0,'Données projet'!$E$12+1,1))-AVERAGE(OFFSET($H$3,0,0,'Données projet'!$E$12+1,1))</f>
        <v>473.09076714002885</v>
      </c>
      <c r="CE183" s="59">
        <f t="shared" si="148"/>
        <v>311.6454557566534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37.733178451339185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37.733178451339185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-2.8421709430404007E-14</v>
      </c>
      <c r="CU183" s="17">
        <f>CT183*VLOOKUP('Données projet'!$B$13,Paramètres!$A$1:$I$89,3,0)*VLOOKUP('Données projet'!$B$13,Paramètres!$A$1:$I$89,5,0)</f>
        <v>-2.4829205358400945E-14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379.66247682099424</v>
      </c>
      <c r="CZ183" s="59">
        <f t="shared" si="150"/>
        <v>342.92507939604081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18.71172669123742</v>
      </c>
      <c r="DG183" s="21">
        <f>EXP(-LN(2)/25)*DG182+(1-EXP(-LN(2)/25))/(LN(2)/25)*Calculateur!DB183*Calculateur!DD183*VLOOKUP('Données projet'!$B$13,Paramètres!$A$1:$I$89,3,0)*0.475*44/12</f>
        <v>4.5286914648505228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23.240418156087941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9.0949470177292824E-13</v>
      </c>
      <c r="DP183" s="17">
        <f>DO183*VLOOKUP('Données projet'!$B$14,Paramètres!$A$1:$I$89,3,0)*VLOOKUP('Données projet'!$B$14,Paramètres!$A$1:$I$89,5,0)</f>
        <v>8.6547515820711851E-13</v>
      </c>
      <c r="DQ183" s="13">
        <f t="shared" si="176"/>
        <v>1.0113703919726002E-11</v>
      </c>
      <c r="DR183" s="20">
        <f t="shared" si="177"/>
        <v>1.9122070227400184E-11</v>
      </c>
      <c r="DS183" s="59">
        <f t="shared" si="125"/>
        <v>318.22777178162886</v>
      </c>
      <c r="DT183" s="59">
        <f ca="1">AVERAGE(OFFSET($DS$3,0,0,'Données projet'!$E$14+1,1))-AVERAGE(OFFSET($H$3,0,0,'Données projet'!$E$14+1,1))</f>
        <v>544.64394576312384</v>
      </c>
      <c r="DU183" s="59">
        <f t="shared" si="152"/>
        <v>310.67291035925484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63.264929400327404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63.264929400327404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-5.4978954722173515E-14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276.72865583771579</v>
      </c>
      <c r="EP183" s="59">
        <f t="shared" si="154"/>
        <v>174.3587092851154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19.758823044852527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19.758823044852527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76.789392304075392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4.25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15.583333333333334</v>
      </c>
      <c r="H184" s="67">
        <f t="shared" si="110"/>
        <v>222.56666666666669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341.11752883785607</v>
      </c>
      <c r="T184" s="59">
        <f t="shared" si="142"/>
        <v>423.15445896616234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10.539525066939214</v>
      </c>
      <c r="AA184" s="21">
        <f>EXP(-LN(2)/25)*AA183+(1-EXP(-LN(2)/25))/(LN(2)/25)*Calculateur!V184*Calculateur!X184*VLOOKUP('Données projet'!$B$9,Paramètres!$A$1:$I$89,3,0)*0.475*44/12</f>
        <v>2.5429886870240046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13.082513753963219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9.0949470177292824E-13</v>
      </c>
      <c r="AJ184" s="13">
        <f>AI184*VLOOKUP('Données projet'!$B$10,Paramètres!$A$1:$I$89,3,0)*VLOOKUP('Données projet'!$B$10,Paramètres!$A$1:$I$89,5,0)</f>
        <v>8.2291080616414541E-13</v>
      </c>
      <c r="AK184" s="13">
        <f t="shared" si="164"/>
        <v>9.6729238395839706E-12</v>
      </c>
      <c r="AL184" s="20">
        <f t="shared" si="165"/>
        <v>1.8280245341344636E-11</v>
      </c>
      <c r="AM184" s="59">
        <f t="shared" si="113"/>
        <v>318.28569414323312</v>
      </c>
      <c r="AN184" s="59">
        <f ca="1">AVERAGE(OFFSET($AM$3,0,0,'Données projet'!$E$10+1,1))-AVERAGE(OFFSET($H$3,0,0,'Données projet'!$E$10+1,1))</f>
        <v>521.72266623522626</v>
      </c>
      <c r="AO184" s="59">
        <f t="shared" si="144"/>
        <v>298.49205684341825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58.973965211636923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58.973965211636923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-6.7984728957526396E-14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376.5647919688821</v>
      </c>
      <c r="BJ184" s="59">
        <f t="shared" si="146"/>
        <v>340.34037344565581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19.960751703502893</v>
      </c>
      <c r="BQ184" s="21">
        <f>EXP(-LN(2)/25)*BQ183+(1-EXP(-LN(2)/25))/(LN(2)/25)*Calculateur!BL184*Calculateur!BN184*VLOOKUP('Données projet'!$B$11,Paramètres!$A$1:$I$89,3,0)*0.475*44/12</f>
        <v>4.1998638220756224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24.160615525578514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1.7053025658242404E-13</v>
      </c>
      <c r="BZ184" s="13">
        <f>BY184*VLOOKUP('Données projet'!$B$12,Paramètres!$A$1:$I$89,3,0)*VLOOKUP('Données projet'!$B$12,Paramètres!$A$1:$I$89,5,0)</f>
        <v>1.72917680174578E-13</v>
      </c>
      <c r="CA184" s="13">
        <f t="shared" si="170"/>
        <v>2.4372886112056825E-12</v>
      </c>
      <c r="CB184" s="20">
        <f t="shared" si="171"/>
        <v>4.5461092908206203E-12</v>
      </c>
      <c r="CC184" s="59">
        <f t="shared" si="119"/>
        <v>318.28569414321936</v>
      </c>
      <c r="CD184" s="59">
        <f ca="1">AVERAGE(OFFSET($CC$3,0,0,'Données projet'!$E$12+1,1))-AVERAGE(OFFSET($H$3,0,0,'Données projet'!$E$12+1,1))</f>
        <v>473.09076714002885</v>
      </c>
      <c r="CE184" s="59">
        <f t="shared" si="148"/>
        <v>311.6454557566534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36.993253836874743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36.993253836874743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-2.8421709430404007E-14</v>
      </c>
      <c r="CU184" s="17">
        <f>CT184*VLOOKUP('Données projet'!$B$13,Paramètres!$A$1:$I$89,3,0)*VLOOKUP('Données projet'!$B$13,Paramètres!$A$1:$I$89,5,0)</f>
        <v>-2.4829205358400945E-14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379.66247682099424</v>
      </c>
      <c r="CZ184" s="59">
        <f t="shared" si="150"/>
        <v>342.92507939604081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18.344801143848592</v>
      </c>
      <c r="DG184" s="21">
        <f>EXP(-LN(2)/25)*DG183+(1-EXP(-LN(2)/25))/(LN(2)/25)*Calculateur!DB184*Calculateur!DD184*VLOOKUP('Données projet'!$B$13,Paramètres!$A$1:$I$89,3,0)*0.475*44/12</f>
        <v>4.4048541585906511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22.749655302439244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9.0949470177292824E-13</v>
      </c>
      <c r="DP184" s="17">
        <f>DO184*VLOOKUP('Données projet'!$B$14,Paramètres!$A$1:$I$89,3,0)*VLOOKUP('Données projet'!$B$14,Paramètres!$A$1:$I$89,5,0)</f>
        <v>8.6547515820711851E-13</v>
      </c>
      <c r="DQ184" s="13">
        <f t="shared" si="176"/>
        <v>1.0113703919726002E-11</v>
      </c>
      <c r="DR184" s="20">
        <f t="shared" si="177"/>
        <v>1.9122070227400184E-11</v>
      </c>
      <c r="DS184" s="59">
        <f t="shared" si="125"/>
        <v>318.28569414323391</v>
      </c>
      <c r="DT184" s="59">
        <f ca="1">AVERAGE(OFFSET($DS$3,0,0,'Données projet'!$E$14+1,1))-AVERAGE(OFFSET($H$3,0,0,'Données projet'!$E$14+1,1))</f>
        <v>544.64394576312384</v>
      </c>
      <c r="DU184" s="59">
        <f t="shared" si="152"/>
        <v>310.67291035925484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62.02434272258369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62.02434272258369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-5.4978954722173515E-14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276.72865583771579</v>
      </c>
      <c r="EP184" s="59">
        <f t="shared" si="154"/>
        <v>174.3587092851154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19.37136457663502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19.37136457663502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76.805189311785853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4.25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15.583333333333334</v>
      </c>
      <c r="H185" s="67">
        <f t="shared" si="110"/>
        <v>222.56666666666669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341.11752883785607</v>
      </c>
      <c r="T185" s="59">
        <f t="shared" si="142"/>
        <v>423.15445896616234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10.332851408852068</v>
      </c>
      <c r="AA185" s="21">
        <f>EXP(-LN(2)/25)*AA184+(1-EXP(-LN(2)/25))/(LN(2)/25)*Calculateur!V185*Calculateur!X185*VLOOKUP('Données projet'!$B$9,Paramètres!$A$1:$I$89,3,0)*0.475*44/12</f>
        <v>2.4734505276473704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12.806301936499439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9.0949470177292824E-13</v>
      </c>
      <c r="AJ185" s="13">
        <f>AI185*VLOOKUP('Données projet'!$B$10,Paramètres!$A$1:$I$89,3,0)*VLOOKUP('Données projet'!$B$10,Paramètres!$A$1:$I$89,5,0)</f>
        <v>8.2291080616414541E-13</v>
      </c>
      <c r="AK185" s="13">
        <f t="shared" si="164"/>
        <v>9.6729238395839706E-12</v>
      </c>
      <c r="AL185" s="20">
        <f t="shared" si="165"/>
        <v>1.8280245341344636E-11</v>
      </c>
      <c r="AM185" s="59">
        <f t="shared" si="113"/>
        <v>318.34261168135936</v>
      </c>
      <c r="AN185" s="59">
        <f ca="1">AVERAGE(OFFSET($AM$3,0,0,'Données projet'!$E$10+1,1))-AVERAGE(OFFSET($H$3,0,0,'Données projet'!$E$10+1,1))</f>
        <v>521.72266623522626</v>
      </c>
      <c r="AO185" s="59">
        <f t="shared" si="144"/>
        <v>298.49205684341825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57.817521724403704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57.817521724403704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-6.7984728957526396E-14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376.5647919688821</v>
      </c>
      <c r="BJ185" s="59">
        <f t="shared" si="146"/>
        <v>340.34037344565581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19.569333537453574</v>
      </c>
      <c r="BQ185" s="21">
        <f>EXP(-LN(2)/25)*BQ184+(1-EXP(-LN(2)/25))/(LN(2)/25)*Calculateur!BL185*Calculateur!BN185*VLOOKUP('Données projet'!$B$11,Paramètres!$A$1:$I$89,3,0)*0.475*44/12</f>
        <v>4.0850183249997247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23.654351862453296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1.7053025658242404E-13</v>
      </c>
      <c r="BZ185" s="13">
        <f>BY185*VLOOKUP('Données projet'!$B$12,Paramètres!$A$1:$I$89,3,0)*VLOOKUP('Données projet'!$B$12,Paramètres!$A$1:$I$89,5,0)</f>
        <v>1.72917680174578E-13</v>
      </c>
      <c r="CA185" s="13">
        <f t="shared" si="170"/>
        <v>2.4372886112056825E-12</v>
      </c>
      <c r="CB185" s="20">
        <f t="shared" si="171"/>
        <v>4.5461092908206203E-12</v>
      </c>
      <c r="CC185" s="59">
        <f t="shared" si="119"/>
        <v>318.3426116813456</v>
      </c>
      <c r="CD185" s="59">
        <f ca="1">AVERAGE(OFFSET($CC$3,0,0,'Données projet'!$E$12+1,1))-AVERAGE(OFFSET($H$3,0,0,'Données projet'!$E$12+1,1))</f>
        <v>473.09076714002885</v>
      </c>
      <c r="CE185" s="59">
        <f t="shared" si="148"/>
        <v>311.6454557566534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36.267838692790491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36.267838692790491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-2.8421709430404007E-14</v>
      </c>
      <c r="CU185" s="17">
        <f>CT185*VLOOKUP('Données projet'!$B$13,Paramètres!$A$1:$I$89,3,0)*VLOOKUP('Données projet'!$B$13,Paramètres!$A$1:$I$89,5,0)</f>
        <v>-2.4829205358400945E-14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379.66247682099424</v>
      </c>
      <c r="CZ185" s="59">
        <f t="shared" si="150"/>
        <v>342.92507939604081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17.985070782641575</v>
      </c>
      <c r="DG185" s="21">
        <f>EXP(-LN(2)/25)*DG184+(1-EXP(-LN(2)/25))/(LN(2)/25)*Calculateur!DB185*Calculateur!DD185*VLOOKUP('Données projet'!$B$13,Paramètres!$A$1:$I$89,3,0)*0.475*44/12</f>
        <v>4.2844031899827772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22.269473972624354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9.0949470177292824E-13</v>
      </c>
      <c r="DP185" s="17">
        <f>DO185*VLOOKUP('Données projet'!$B$14,Paramètres!$A$1:$I$89,3,0)*VLOOKUP('Données projet'!$B$14,Paramètres!$A$1:$I$89,5,0)</f>
        <v>8.6547515820711851E-13</v>
      </c>
      <c r="DQ185" s="13">
        <f t="shared" si="176"/>
        <v>1.0113703919726002E-11</v>
      </c>
      <c r="DR185" s="20">
        <f t="shared" si="177"/>
        <v>1.9122070227400184E-11</v>
      </c>
      <c r="DS185" s="59">
        <f t="shared" si="125"/>
        <v>318.34261168136015</v>
      </c>
      <c r="DT185" s="59">
        <f ca="1">AVERAGE(OFFSET($DS$3,0,0,'Données projet'!$E$14+1,1))-AVERAGE(OFFSET($H$3,0,0,'Données projet'!$E$14+1,1))</f>
        <v>544.64394576312384</v>
      </c>
      <c r="DU185" s="59">
        <f t="shared" si="152"/>
        <v>310.67291035925484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60.808083192907375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60.808083192907375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-5.4978954722173515E-14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276.72865583771579</v>
      </c>
      <c r="EP185" s="59">
        <f t="shared" si="154"/>
        <v>174.3587092851154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18.991503932652929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18.991503932652929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76.820712276729381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4.25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15.583333333333334</v>
      </c>
      <c r="H186" s="67">
        <f t="shared" si="110"/>
        <v>222.56666666666669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341.11752883785607</v>
      </c>
      <c r="T186" s="59">
        <f t="shared" si="142"/>
        <v>423.15445896616234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10.130230495141527</v>
      </c>
      <c r="AA186" s="21">
        <f>EXP(-LN(2)/25)*AA185+(1-EXP(-LN(2)/25))/(LN(2)/25)*Calculateur!V186*Calculateur!X186*VLOOKUP('Données projet'!$B$9,Paramètres!$A$1:$I$89,3,0)*0.475*44/12</f>
        <v>2.4058138928957429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12.53604438803727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9.0949470177292824E-13</v>
      </c>
      <c r="AJ186" s="13">
        <f>AI186*VLOOKUP('Données projet'!$B$10,Paramètres!$A$1:$I$89,3,0)*VLOOKUP('Données projet'!$B$10,Paramètres!$A$1:$I$89,5,0)</f>
        <v>8.2291080616414541E-13</v>
      </c>
      <c r="AK186" s="13">
        <f t="shared" si="164"/>
        <v>9.6729238395839706E-12</v>
      </c>
      <c r="AL186" s="20">
        <f t="shared" si="165"/>
        <v>1.8280245341344636E-11</v>
      </c>
      <c r="AM186" s="59">
        <f t="shared" si="113"/>
        <v>318.39854182744762</v>
      </c>
      <c r="AN186" s="59">
        <f ca="1">AVERAGE(OFFSET($AM$3,0,0,'Données projet'!$E$10+1,1))-AVERAGE(OFFSET($H$3,0,0,'Données projet'!$E$10+1,1))</f>
        <v>521.72266623522626</v>
      </c>
      <c r="AO186" s="59">
        <f t="shared" si="144"/>
        <v>298.49205684341825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56.68375538859425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56.68375538859425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-6.7984728957526396E-14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376.5647919688821</v>
      </c>
      <c r="BJ186" s="59">
        <f t="shared" si="146"/>
        <v>340.34037344565581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19.185590842898975</v>
      </c>
      <c r="BQ186" s="21">
        <f>EXP(-LN(2)/25)*BQ185+(1-EXP(-LN(2)/25))/(LN(2)/25)*Calculateur!BL186*Calculateur!BN186*VLOOKUP('Données projet'!$B$11,Paramètres!$A$1:$I$89,3,0)*0.475*44/12</f>
        <v>3.9733132840808301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23.158904126979806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1.7053025658242404E-13</v>
      </c>
      <c r="BZ186" s="13">
        <f>BY186*VLOOKUP('Données projet'!$B$12,Paramètres!$A$1:$I$89,3,0)*VLOOKUP('Données projet'!$B$12,Paramètres!$A$1:$I$89,5,0)</f>
        <v>1.72917680174578E-13</v>
      </c>
      <c r="CA186" s="13">
        <f t="shared" si="170"/>
        <v>2.4372886112056825E-12</v>
      </c>
      <c r="CB186" s="20">
        <f t="shared" si="171"/>
        <v>4.5461092908206203E-12</v>
      </c>
      <c r="CC186" s="59">
        <f t="shared" si="119"/>
        <v>318.39854182743386</v>
      </c>
      <c r="CD186" s="59">
        <f ca="1">AVERAGE(OFFSET($CC$3,0,0,'Données projet'!$E$12+1,1))-AVERAGE(OFFSET($H$3,0,0,'Données projet'!$E$12+1,1))</f>
        <v>473.09076714002885</v>
      </c>
      <c r="CE186" s="59">
        <f t="shared" si="148"/>
        <v>311.6454557566534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35.556648497222184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35.556648497222184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-2.8421709430404007E-14</v>
      </c>
      <c r="CU186" s="17">
        <f>CT186*VLOOKUP('Données projet'!$B$13,Paramètres!$A$1:$I$89,3,0)*VLOOKUP('Données projet'!$B$13,Paramètres!$A$1:$I$89,5,0)</f>
        <v>-2.4829205358400945E-14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379.66247682099424</v>
      </c>
      <c r="CZ186" s="59">
        <f t="shared" si="150"/>
        <v>342.92507939604081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17.632394514403973</v>
      </c>
      <c r="DG186" s="21">
        <f>EXP(-LN(2)/25)*DG185+(1-EXP(-LN(2)/25))/(LN(2)/25)*Calculateur!DB186*Calculateur!DD186*VLOOKUP('Données projet'!$B$13,Paramètres!$A$1:$I$89,3,0)*0.475*44/12</f>
        <v>4.1672459594457267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21.799640473849699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9.0949470177292824E-13</v>
      </c>
      <c r="DP186" s="17">
        <f>DO186*VLOOKUP('Données projet'!$B$14,Paramètres!$A$1:$I$89,3,0)*VLOOKUP('Données projet'!$B$14,Paramètres!$A$1:$I$89,5,0)</f>
        <v>8.6547515820711851E-13</v>
      </c>
      <c r="DQ186" s="13">
        <f t="shared" si="176"/>
        <v>1.0113703919726002E-11</v>
      </c>
      <c r="DR186" s="20">
        <f t="shared" si="177"/>
        <v>1.9122070227400184E-11</v>
      </c>
      <c r="DS186" s="59">
        <f t="shared" si="125"/>
        <v>318.39854182744841</v>
      </c>
      <c r="DT186" s="59">
        <f ca="1">AVERAGE(OFFSET($DS$3,0,0,'Données projet'!$E$14+1,1))-AVERAGE(OFFSET($H$3,0,0,'Données projet'!$E$14+1,1))</f>
        <v>544.64394576312384</v>
      </c>
      <c r="DU186" s="59">
        <f t="shared" si="152"/>
        <v>310.67291035925484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59.615673770762946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59.615673770762946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-5.4978954722173515E-14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276.72865583771579</v>
      </c>
      <c r="EP186" s="59">
        <f t="shared" si="154"/>
        <v>174.3587092851154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18.61909212420721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18.61909212420721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76.835965952935268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4.25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15.583333333333334</v>
      </c>
      <c r="H187" s="67">
        <f t="shared" si="110"/>
        <v>222.56666666666669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341.11752883785607</v>
      </c>
      <c r="T187" s="59">
        <f t="shared" si="142"/>
        <v>423.15445896616234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9.9315828539622952</v>
      </c>
      <c r="AA187" s="21">
        <f>EXP(-LN(2)/25)*AA186+(1-EXP(-LN(2)/25))/(LN(2)/25)*Calculateur!V187*Calculateur!X187*VLOOKUP('Données projet'!$B$9,Paramètres!$A$1:$I$89,3,0)*0.475*44/12</f>
        <v>2.3400267854782548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12.27160963944055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9.0949470177292824E-13</v>
      </c>
      <c r="AJ187" s="13">
        <f>AI187*VLOOKUP('Données projet'!$B$10,Paramètres!$A$1:$I$89,3,0)*VLOOKUP('Données projet'!$B$10,Paramètres!$A$1:$I$89,5,0)</f>
        <v>8.2291080616414541E-13</v>
      </c>
      <c r="AK187" s="13">
        <f t="shared" si="164"/>
        <v>9.6729238395839706E-12</v>
      </c>
      <c r="AL187" s="20">
        <f t="shared" si="165"/>
        <v>1.8280245341344636E-11</v>
      </c>
      <c r="AM187" s="59">
        <f t="shared" si="113"/>
        <v>318.45350171054235</v>
      </c>
      <c r="AN187" s="59">
        <f ca="1">AVERAGE(OFFSET($AM$3,0,0,'Données projet'!$E$10+1,1))-AVERAGE(OFFSET($H$3,0,0,'Données projet'!$E$10+1,1))</f>
        <v>521.72266623522626</v>
      </c>
      <c r="AO187" s="59">
        <f t="shared" si="144"/>
        <v>298.49205684341825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55.572221519100836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55.572221519100836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-6.7984728957526396E-14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376.5647919688821</v>
      </c>
      <c r="BJ187" s="59">
        <f t="shared" si="146"/>
        <v>340.34037344565581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18.809373108524657</v>
      </c>
      <c r="BQ187" s="21">
        <f>EXP(-LN(2)/25)*BQ186+(1-EXP(-LN(2)/25))/(LN(2)/25)*Calculateur!BL187*Calculateur!BN187*VLOOKUP('Données projet'!$B$11,Paramètres!$A$1:$I$89,3,0)*0.475*44/12</f>
        <v>3.8646628233801752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22.674035931904832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1.7053025658242404E-13</v>
      </c>
      <c r="BZ187" s="13">
        <f>BY187*VLOOKUP('Données projet'!$B$12,Paramètres!$A$1:$I$89,3,0)*VLOOKUP('Données projet'!$B$12,Paramètres!$A$1:$I$89,5,0)</f>
        <v>1.72917680174578E-13</v>
      </c>
      <c r="CA187" s="13">
        <f t="shared" si="170"/>
        <v>2.4372886112056825E-12</v>
      </c>
      <c r="CB187" s="20">
        <f t="shared" si="171"/>
        <v>4.5461092908206203E-12</v>
      </c>
      <c r="CC187" s="59">
        <f t="shared" si="119"/>
        <v>318.4535017105286</v>
      </c>
      <c r="CD187" s="59">
        <f ca="1">AVERAGE(OFFSET($CC$3,0,0,'Données projet'!$E$12+1,1))-AVERAGE(OFFSET($H$3,0,0,'Données projet'!$E$12+1,1))</f>
        <v>473.09076714002885</v>
      </c>
      <c r="CE187" s="59">
        <f t="shared" si="148"/>
        <v>311.6454557566534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34.859404307605786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34.859404307605786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-2.8421709430404007E-14</v>
      </c>
      <c r="CU187" s="17">
        <f>CT187*VLOOKUP('Données projet'!$B$13,Paramètres!$A$1:$I$89,3,0)*VLOOKUP('Données projet'!$B$13,Paramètres!$A$1:$I$89,5,0)</f>
        <v>-2.4829205358400945E-14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379.66247682099424</v>
      </c>
      <c r="CZ187" s="59">
        <f t="shared" si="150"/>
        <v>342.92507939604081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17.286634012675226</v>
      </c>
      <c r="DG187" s="21">
        <f>EXP(-LN(2)/25)*DG186+(1-EXP(-LN(2)/25))/(LN(2)/25)*Calculateur!DB187*Calculateur!DD187*VLOOKUP('Données projet'!$B$13,Paramètres!$A$1:$I$89,3,0)*0.475*44/12</f>
        <v>4.0532923995387424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21.33992641221397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9.0949470177292824E-13</v>
      </c>
      <c r="DP187" s="17">
        <f>DO187*VLOOKUP('Données projet'!$B$14,Paramètres!$A$1:$I$89,3,0)*VLOOKUP('Données projet'!$B$14,Paramètres!$A$1:$I$89,5,0)</f>
        <v>8.6547515820711851E-13</v>
      </c>
      <c r="DQ187" s="13">
        <f t="shared" si="176"/>
        <v>1.0113703919726002E-11</v>
      </c>
      <c r="DR187" s="20">
        <f t="shared" si="177"/>
        <v>1.9122070227400184E-11</v>
      </c>
      <c r="DS187" s="59">
        <f t="shared" si="125"/>
        <v>318.45350171054315</v>
      </c>
      <c r="DT187" s="59">
        <f ca="1">AVERAGE(OFFSET($DS$3,0,0,'Données projet'!$E$14+1,1))-AVERAGE(OFFSET($H$3,0,0,'Données projet'!$E$14+1,1))</f>
        <v>544.64394576312384</v>
      </c>
      <c r="DU187" s="59">
        <f t="shared" si="152"/>
        <v>310.67291035925484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58.44664677008884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58.44664677008884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-5.4978954722173515E-14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276.72865583771579</v>
      </c>
      <c r="EP187" s="59">
        <f t="shared" si="154"/>
        <v>174.3587092851154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18.25398308417634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18.25398308417634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76.850955011961105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4.25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15.583333333333334</v>
      </c>
      <c r="H188" s="67">
        <f t="shared" si="110"/>
        <v>222.56666666666669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341.11752883785607</v>
      </c>
      <c r="T188" s="59">
        <f t="shared" si="142"/>
        <v>423.15445896616234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9.7368305718634911</v>
      </c>
      <c r="AA188" s="21">
        <f>EXP(-LN(2)/25)*AA187+(1-EXP(-LN(2)/25))/(LN(2)/25)*Calculateur!V188*Calculateur!X188*VLOOKUP('Données projet'!$B$9,Paramètres!$A$1:$I$89,3,0)*0.475*44/12</f>
        <v>2.2760386299726916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12.012869201836182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9.0949470177292824E-13</v>
      </c>
      <c r="AJ188" s="13">
        <f>AI188*VLOOKUP('Données projet'!$B$10,Paramètres!$A$1:$I$89,3,0)*VLOOKUP('Données projet'!$B$10,Paramètres!$A$1:$I$89,5,0)</f>
        <v>8.2291080616414541E-13</v>
      </c>
      <c r="AK188" s="13">
        <f t="shared" si="164"/>
        <v>9.6729238395839706E-12</v>
      </c>
      <c r="AL188" s="20">
        <f t="shared" si="165"/>
        <v>1.8280245341344636E-11</v>
      </c>
      <c r="AM188" s="59">
        <f t="shared" si="113"/>
        <v>318.50750816253725</v>
      </c>
      <c r="AN188" s="59">
        <f ca="1">AVERAGE(OFFSET($AM$3,0,0,'Données projet'!$E$10+1,1))-AVERAGE(OFFSET($H$3,0,0,'Données projet'!$E$10+1,1))</f>
        <v>521.72266623522626</v>
      </c>
      <c r="AO188" s="59">
        <f t="shared" si="144"/>
        <v>298.49205684341825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54.482484150819474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54.482484150819474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-6.7984728957526396E-14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376.5647919688821</v>
      </c>
      <c r="BJ188" s="59">
        <f t="shared" si="146"/>
        <v>340.34037344565581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18.44053277445126</v>
      </c>
      <c r="BQ188" s="21">
        <f>EXP(-LN(2)/25)*BQ187+(1-EXP(-LN(2)/25))/(LN(2)/25)*Calculateur!BL188*Calculateur!BN188*VLOOKUP('Données projet'!$B$11,Paramètres!$A$1:$I$89,3,0)*0.475*44/12</f>
        <v>3.7589834152410591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22.199516189692318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1.7053025658242404E-13</v>
      </c>
      <c r="BZ188" s="13">
        <f>BY188*VLOOKUP('Données projet'!$B$12,Paramètres!$A$1:$I$89,3,0)*VLOOKUP('Données projet'!$B$12,Paramètres!$A$1:$I$89,5,0)</f>
        <v>1.72917680174578E-13</v>
      </c>
      <c r="CA188" s="13">
        <f t="shared" si="170"/>
        <v>2.4372886112056825E-12</v>
      </c>
      <c r="CB188" s="20">
        <f t="shared" si="171"/>
        <v>4.5461092908206203E-12</v>
      </c>
      <c r="CC188" s="59">
        <f t="shared" si="119"/>
        <v>318.50750816252349</v>
      </c>
      <c r="CD188" s="59">
        <f ca="1">AVERAGE(OFFSET($CC$3,0,0,'Données projet'!$E$12+1,1))-AVERAGE(OFFSET($H$3,0,0,'Données projet'!$E$12+1,1))</f>
        <v>473.09076714002885</v>
      </c>
      <c r="CE188" s="59">
        <f t="shared" si="148"/>
        <v>311.6454557566534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34.175832651270802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34.175832651270802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-2.8421709430404007E-14</v>
      </c>
      <c r="CU188" s="17">
        <f>CT188*VLOOKUP('Données projet'!$B$13,Paramètres!$A$1:$I$89,3,0)*VLOOKUP('Données projet'!$B$13,Paramètres!$A$1:$I$89,5,0)</f>
        <v>-2.4829205358400945E-14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379.66247682099424</v>
      </c>
      <c r="CZ188" s="59">
        <f t="shared" si="150"/>
        <v>342.92507939604081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16.947653663492297</v>
      </c>
      <c r="DG188" s="21">
        <f>EXP(-LN(2)/25)*DG187+(1-EXP(-LN(2)/25))/(LN(2)/25)*Calculateur!DB188*Calculateur!DD188*VLOOKUP('Données projet'!$B$13,Paramètres!$A$1:$I$89,3,0)*0.475*44/12</f>
        <v>3.942454905719972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20.89010856921227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9.0949470177292824E-13</v>
      </c>
      <c r="DP188" s="17">
        <f>DO188*VLOOKUP('Données projet'!$B$14,Paramètres!$A$1:$I$89,3,0)*VLOOKUP('Données projet'!$B$14,Paramètres!$A$1:$I$89,5,0)</f>
        <v>8.6547515820711851E-13</v>
      </c>
      <c r="DQ188" s="13">
        <f t="shared" si="176"/>
        <v>1.0113703919726002E-11</v>
      </c>
      <c r="DR188" s="20">
        <f t="shared" si="177"/>
        <v>1.9122070227400184E-11</v>
      </c>
      <c r="DS188" s="59">
        <f t="shared" si="125"/>
        <v>318.50750816253804</v>
      </c>
      <c r="DT188" s="59">
        <f ca="1">AVERAGE(OFFSET($DS$3,0,0,'Données projet'!$E$14+1,1))-AVERAGE(OFFSET($H$3,0,0,'Données projet'!$E$14+1,1))</f>
        <v>544.64394576312384</v>
      </c>
      <c r="DU188" s="59">
        <f t="shared" si="152"/>
        <v>310.67291035925484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57.300543675861888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57.300543675861888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-5.4978954722173515E-14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276.72865583771579</v>
      </c>
      <c r="EP188" s="59">
        <f t="shared" si="154"/>
        <v>174.3587092851154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17.896033609725951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17.896033609725951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76.865684044323359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4.25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15.583333333333334</v>
      </c>
      <c r="H189" s="67">
        <f t="shared" si="110"/>
        <v>222.56666666666669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341.11752883785607</v>
      </c>
      <c r="T189" s="59">
        <f t="shared" si="142"/>
        <v>423.15445896616234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9.545897263229481</v>
      </c>
      <c r="AA189" s="21">
        <f>EXP(-LN(2)/25)*AA188+(1-EXP(-LN(2)/25))/(LN(2)/25)*Calculateur!V189*Calculateur!X189*VLOOKUP('Données projet'!$B$9,Paramètres!$A$1:$I$89,3,0)*0.475*44/12</f>
        <v>2.2138002339444189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11.759697497173899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9.0949470177292824E-13</v>
      </c>
      <c r="AJ189" s="13">
        <f>AI189*VLOOKUP('Données projet'!$B$10,Paramètres!$A$1:$I$89,3,0)*VLOOKUP('Données projet'!$B$10,Paramètres!$A$1:$I$89,5,0)</f>
        <v>8.2291080616414541E-13</v>
      </c>
      <c r="AK189" s="13">
        <f t="shared" si="164"/>
        <v>9.6729238395839706E-12</v>
      </c>
      <c r="AL189" s="20">
        <f t="shared" si="165"/>
        <v>1.8280245341344636E-11</v>
      </c>
      <c r="AM189" s="59">
        <f t="shared" si="113"/>
        <v>318.56057772333037</v>
      </c>
      <c r="AN189" s="59">
        <f ca="1">AVERAGE(OFFSET($AM$3,0,0,'Données projet'!$E$10+1,1))-AVERAGE(OFFSET($H$3,0,0,'Données projet'!$E$10+1,1))</f>
        <v>521.72266623522626</v>
      </c>
      <c r="AO189" s="59">
        <f t="shared" si="144"/>
        <v>298.49205684341825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53.414115867655944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53.414115867655944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-6.7984728957526396E-14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376.5647919688821</v>
      </c>
      <c r="BJ189" s="59">
        <f t="shared" si="146"/>
        <v>340.34037344565581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18.078925174358652</v>
      </c>
      <c r="BQ189" s="21">
        <f>EXP(-LN(2)/25)*BQ188+(1-EXP(-LN(2)/25))/(LN(2)/25)*Calculateur!BL189*Calculateur!BN189*VLOOKUP('Données projet'!$B$11,Paramètres!$A$1:$I$89,3,0)*0.475*44/12</f>
        <v>3.6561938160749459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21.735118990433598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1.7053025658242404E-13</v>
      </c>
      <c r="BZ189" s="13">
        <f>BY189*VLOOKUP('Données projet'!$B$12,Paramètres!$A$1:$I$89,3,0)*VLOOKUP('Données projet'!$B$12,Paramètres!$A$1:$I$89,5,0)</f>
        <v>1.72917680174578E-13</v>
      </c>
      <c r="CA189" s="13">
        <f t="shared" si="170"/>
        <v>2.4372886112056825E-12</v>
      </c>
      <c r="CB189" s="20">
        <f t="shared" si="171"/>
        <v>4.5461092908206203E-12</v>
      </c>
      <c r="CC189" s="59">
        <f t="shared" si="119"/>
        <v>318.56057772331661</v>
      </c>
      <c r="CD189" s="59">
        <f ca="1">AVERAGE(OFFSET($CC$3,0,0,'Données projet'!$E$12+1,1))-AVERAGE(OFFSET($H$3,0,0,'Données projet'!$E$12+1,1))</f>
        <v>473.09076714002885</v>
      </c>
      <c r="CE189" s="59">
        <f t="shared" si="148"/>
        <v>311.6454557566534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33.505665418179007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33.505665418179007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-2.8421709430404007E-14</v>
      </c>
      <c r="CU189" s="17">
        <f>CT189*VLOOKUP('Données projet'!$B$13,Paramètres!$A$1:$I$89,3,0)*VLOOKUP('Données projet'!$B$13,Paramètres!$A$1:$I$89,5,0)</f>
        <v>-2.4829205358400945E-14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379.66247682099424</v>
      </c>
      <c r="CZ189" s="59">
        <f t="shared" si="150"/>
        <v>342.92507939604081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16.615320512199247</v>
      </c>
      <c r="DG189" s="21">
        <f>EXP(-LN(2)/25)*DG188+(1-EXP(-LN(2)/25))/(LN(2)/25)*Calculateur!DB189*Calculateur!DD189*VLOOKUP('Données projet'!$B$13,Paramètres!$A$1:$I$89,3,0)*0.475*44/12</f>
        <v>3.8346482689983663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20.449968781197612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9.0949470177292824E-13</v>
      </c>
      <c r="DP189" s="17">
        <f>DO189*VLOOKUP('Données projet'!$B$14,Paramètres!$A$1:$I$89,3,0)*VLOOKUP('Données projet'!$B$14,Paramètres!$A$1:$I$89,5,0)</f>
        <v>8.6547515820711851E-13</v>
      </c>
      <c r="DQ189" s="13">
        <f t="shared" si="176"/>
        <v>1.0113703919726002E-11</v>
      </c>
      <c r="DR189" s="20">
        <f t="shared" si="177"/>
        <v>1.9122070227400184E-11</v>
      </c>
      <c r="DS189" s="59">
        <f t="shared" si="125"/>
        <v>318.56057772333116</v>
      </c>
      <c r="DT189" s="59">
        <f ca="1">AVERAGE(OFFSET($DS$3,0,0,'Données projet'!$E$14+1,1))-AVERAGE(OFFSET($H$3,0,0,'Données projet'!$E$14+1,1))</f>
        <v>544.64394576312384</v>
      </c>
      <c r="DU189" s="59">
        <f t="shared" si="152"/>
        <v>310.67291035925484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56.176914964258863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56.176914964258863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-5.4978954722173515E-14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276.72865583771579</v>
      </c>
      <c r="EP189" s="59">
        <f t="shared" si="154"/>
        <v>174.3587092851154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17.545103306141911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17.545103306141911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76.880157560903299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4.25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15.583333333333334</v>
      </c>
      <c r="H190" s="67">
        <f t="shared" si="110"/>
        <v>222.56666666666669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341.11752883785607</v>
      </c>
      <c r="T190" s="59">
        <f t="shared" si="142"/>
        <v>423.15445896616234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9.3587080403199643</v>
      </c>
      <c r="AA190" s="21">
        <f>EXP(-LN(2)/25)*AA189+(1-EXP(-LN(2)/25))/(LN(2)/25)*Calculateur!V190*Calculateur!X190*VLOOKUP('Données projet'!$B$9,Paramètres!$A$1:$I$89,3,0)*0.475*44/12</f>
        <v>2.1532637501285143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11.511971790448479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9.0949470177292824E-13</v>
      </c>
      <c r="AJ190" s="13">
        <f>AI190*VLOOKUP('Données projet'!$B$10,Paramètres!$A$1:$I$89,3,0)*VLOOKUP('Données projet'!$B$10,Paramètres!$A$1:$I$89,5,0)</f>
        <v>8.2291080616414541E-13</v>
      </c>
      <c r="AK190" s="13">
        <f t="shared" si="164"/>
        <v>9.6729238395839706E-12</v>
      </c>
      <c r="AL190" s="20">
        <f t="shared" si="165"/>
        <v>1.8280245341344636E-11</v>
      </c>
      <c r="AM190" s="59">
        <f t="shared" si="113"/>
        <v>318.61272664588961</v>
      </c>
      <c r="AN190" s="59">
        <f ca="1">AVERAGE(OFFSET($AM$3,0,0,'Données projet'!$E$10+1,1))-AVERAGE(OFFSET($H$3,0,0,'Données projet'!$E$10+1,1))</f>
        <v>521.72266623522626</v>
      </c>
      <c r="AO190" s="59">
        <f t="shared" si="144"/>
        <v>298.49205684341825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52.366697634884943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52.366697634884943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-6.7984728957526396E-14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376.5647919688821</v>
      </c>
      <c r="BJ190" s="59">
        <f t="shared" si="146"/>
        <v>340.34037344565581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17.724408478745005</v>
      </c>
      <c r="BQ190" s="21">
        <f>EXP(-LN(2)/25)*BQ189+(1-EXP(-LN(2)/25))/(LN(2)/25)*Calculateur!BL190*Calculateur!BN190*VLOOKUP('Données projet'!$B$11,Paramètres!$A$1:$I$89,3,0)*0.475*44/12</f>
        <v>3.5562150039035001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21.280623482648505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1.7053025658242404E-13</v>
      </c>
      <c r="BZ190" s="13">
        <f>BY190*VLOOKUP('Données projet'!$B$12,Paramètres!$A$1:$I$89,3,0)*VLOOKUP('Données projet'!$B$12,Paramètres!$A$1:$I$89,5,0)</f>
        <v>1.72917680174578E-13</v>
      </c>
      <c r="CA190" s="13">
        <f t="shared" si="170"/>
        <v>2.4372886112056825E-12</v>
      </c>
      <c r="CB190" s="20">
        <f t="shared" si="171"/>
        <v>4.5461092908206203E-12</v>
      </c>
      <c r="CC190" s="59">
        <f t="shared" si="119"/>
        <v>318.61272664587585</v>
      </c>
      <c r="CD190" s="59">
        <f ca="1">AVERAGE(OFFSET($CC$3,0,0,'Données projet'!$E$12+1,1))-AVERAGE(OFFSET($H$3,0,0,'Données projet'!$E$12+1,1))</f>
        <v>473.09076714002885</v>
      </c>
      <c r="CE190" s="59">
        <f t="shared" si="148"/>
        <v>311.6454557566534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32.848639755766492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32.848639755766492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-2.8421709430404007E-14</v>
      </c>
      <c r="CU190" s="17">
        <f>CT190*VLOOKUP('Données projet'!$B$13,Paramètres!$A$1:$I$89,3,0)*VLOOKUP('Données projet'!$B$13,Paramètres!$A$1:$I$89,5,0)</f>
        <v>-2.4829205358400945E-14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379.66247682099424</v>
      </c>
      <c r="CZ190" s="59">
        <f t="shared" si="150"/>
        <v>342.92507939604081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16.28950421129985</v>
      </c>
      <c r="DG190" s="21">
        <f>EXP(-LN(2)/25)*DG189+(1-EXP(-LN(2)/25))/(LN(2)/25)*Calculateur!DB190*Calculateur!DD190*VLOOKUP('Données projet'!$B$13,Paramètres!$A$1:$I$89,3,0)*0.475*44/12</f>
        <v>3.7297896104272179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20.019293821727068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9.0949470177292824E-13</v>
      </c>
      <c r="DP190" s="17">
        <f>DO190*VLOOKUP('Données projet'!$B$14,Paramètres!$A$1:$I$89,3,0)*VLOOKUP('Données projet'!$B$14,Paramètres!$A$1:$I$89,5,0)</f>
        <v>8.6547515820711851E-13</v>
      </c>
      <c r="DQ190" s="13">
        <f t="shared" si="176"/>
        <v>1.0113703919726002E-11</v>
      </c>
      <c r="DR190" s="20">
        <f t="shared" si="177"/>
        <v>1.9122070227400184E-11</v>
      </c>
      <c r="DS190" s="59">
        <f t="shared" si="125"/>
        <v>318.6127266458904</v>
      </c>
      <c r="DT190" s="59">
        <f ca="1">AVERAGE(OFFSET($DS$3,0,0,'Données projet'!$E$14+1,1))-AVERAGE(OFFSET($H$3,0,0,'Données projet'!$E$14+1,1))</f>
        <v>544.64394576312384</v>
      </c>
      <c r="DU190" s="59">
        <f t="shared" si="152"/>
        <v>310.67291035925484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55.075319926344534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55.075319926344534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-5.4978954722173515E-14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276.72865583771579</v>
      </c>
      <c r="EP190" s="59">
        <f t="shared" si="154"/>
        <v>174.3587092851154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17.201054531764804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17.201054531764804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76.894379994328531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4.25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15.583333333333334</v>
      </c>
      <c r="H191" s="67">
        <f t="shared" si="110"/>
        <v>222.56666666666669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341.11752883785607</v>
      </c>
      <c r="T191" s="59">
        <f t="shared" si="142"/>
        <v>423.15445896616234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9.175189483897551</v>
      </c>
      <c r="AA191" s="21">
        <f>EXP(-LN(2)/25)*AA190+(1-EXP(-LN(2)/25))/(LN(2)/25)*Calculateur!V191*Calculateur!X191*VLOOKUP('Données projet'!$B$9,Paramètres!$A$1:$I$89,3,0)*0.475*44/12</f>
        <v>2.0943826396460308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11.269572123543583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9.0949470177292824E-13</v>
      </c>
      <c r="AJ191" s="13">
        <f>AI191*VLOOKUP('Données projet'!$B$10,Paramètres!$A$1:$I$89,3,0)*VLOOKUP('Données projet'!$B$10,Paramètres!$A$1:$I$89,5,0)</f>
        <v>8.2291080616414541E-13</v>
      </c>
      <c r="AK191" s="13">
        <f t="shared" si="164"/>
        <v>9.6729238395839706E-12</v>
      </c>
      <c r="AL191" s="20">
        <f t="shared" si="165"/>
        <v>1.8280245341344636E-11</v>
      </c>
      <c r="AM191" s="59">
        <f t="shared" si="113"/>
        <v>318.66397090122985</v>
      </c>
      <c r="AN191" s="59">
        <f ca="1">AVERAGE(OFFSET($AM$3,0,0,'Données projet'!$E$10+1,1))-AVERAGE(OFFSET($H$3,0,0,'Données projet'!$E$10+1,1))</f>
        <v>521.72266623522626</v>
      </c>
      <c r="AO191" s="59">
        <f t="shared" si="144"/>
        <v>298.49205684341825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51.339818634796544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51.339818634796544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-6.7984728957526396E-14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376.5647919688821</v>
      </c>
      <c r="BJ191" s="59">
        <f t="shared" si="146"/>
        <v>340.34037344565581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17.376843639298507</v>
      </c>
      <c r="BQ191" s="21">
        <f>EXP(-LN(2)/25)*BQ190+(1-EXP(-LN(2)/25))/(LN(2)/25)*Calculateur!BL191*Calculateur!BN191*VLOOKUP('Données projet'!$B$11,Paramètres!$A$1:$I$89,3,0)*0.475*44/12</f>
        <v>3.4589701176085397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20.835813756907047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1.7053025658242404E-13</v>
      </c>
      <c r="BZ191" s="13">
        <f>BY191*VLOOKUP('Données projet'!$B$12,Paramètres!$A$1:$I$89,3,0)*VLOOKUP('Données projet'!$B$12,Paramètres!$A$1:$I$89,5,0)</f>
        <v>1.72917680174578E-13</v>
      </c>
      <c r="CA191" s="13">
        <f t="shared" si="170"/>
        <v>2.4372886112056825E-12</v>
      </c>
      <c r="CB191" s="20">
        <f t="shared" si="171"/>
        <v>4.5461092908206203E-12</v>
      </c>
      <c r="CC191" s="59">
        <f t="shared" si="119"/>
        <v>318.66397090121609</v>
      </c>
      <c r="CD191" s="59">
        <f ca="1">AVERAGE(OFFSET($CC$3,0,0,'Données projet'!$E$12+1,1))-AVERAGE(OFFSET($H$3,0,0,'Données projet'!$E$12+1,1))</f>
        <v>473.09076714002885</v>
      </c>
      <c r="CE191" s="59">
        <f t="shared" si="148"/>
        <v>311.6454557566534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32.2044979658478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32.2044979658478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-2.8421709430404007E-14</v>
      </c>
      <c r="CU191" s="17">
        <f>CT191*VLOOKUP('Données projet'!$B$13,Paramètres!$A$1:$I$89,3,0)*VLOOKUP('Données projet'!$B$13,Paramètres!$A$1:$I$89,5,0)</f>
        <v>-2.4829205358400945E-14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379.66247682099424</v>
      </c>
      <c r="CZ191" s="59">
        <f t="shared" si="150"/>
        <v>342.92507939604081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15.970076969332768</v>
      </c>
      <c r="DG191" s="21">
        <f>EXP(-LN(2)/25)*DG190+(1-EXP(-LN(2)/25))/(LN(2)/25)*Calculateur!DB191*Calculateur!DD191*VLOOKUP('Données projet'!$B$13,Paramètres!$A$1:$I$89,3,0)*0.475*44/12</f>
        <v>3.6277983173889745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19.597875286721742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9.0949470177292824E-13</v>
      </c>
      <c r="DP191" s="17">
        <f>DO191*VLOOKUP('Données projet'!$B$14,Paramètres!$A$1:$I$89,3,0)*VLOOKUP('Données projet'!$B$14,Paramètres!$A$1:$I$89,5,0)</f>
        <v>8.6547515820711851E-13</v>
      </c>
      <c r="DQ191" s="13">
        <f t="shared" si="176"/>
        <v>1.0113703919726002E-11</v>
      </c>
      <c r="DR191" s="20">
        <f t="shared" si="177"/>
        <v>1.9122070227400184E-11</v>
      </c>
      <c r="DS191" s="59">
        <f t="shared" si="125"/>
        <v>318.66397090123064</v>
      </c>
      <c r="DT191" s="59">
        <f ca="1">AVERAGE(OFFSET($DS$3,0,0,'Données projet'!$E$14+1,1))-AVERAGE(OFFSET($H$3,0,0,'Données projet'!$E$14+1,1))</f>
        <v>544.64394576312384</v>
      </c>
      <c r="DU191" s="59">
        <f t="shared" si="152"/>
        <v>310.67291035925484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53.995326495217078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53.995326495217078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-5.4978954722173515E-14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276.72865583771579</v>
      </c>
      <c r="EP191" s="59">
        <f t="shared" si="154"/>
        <v>174.3587092851154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16.863752344004201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16.863752344004201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76.908355700330418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4.25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15.583333333333334</v>
      </c>
      <c r="H192" s="67">
        <f t="shared" si="110"/>
        <v>222.56666666666669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341.11752883785607</v>
      </c>
      <c r="T192" s="59">
        <f t="shared" si="142"/>
        <v>423.15445896616234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8.9952696144313151</v>
      </c>
      <c r="AA192" s="21">
        <f>EXP(-LN(2)/25)*AA191+(1-EXP(-LN(2)/25))/(LN(2)/25)*Calculateur!V192*Calculateur!X192*VLOOKUP('Données projet'!$B$9,Paramètres!$A$1:$I$89,3,0)*0.475*44/12</f>
        <v>2.0371116362261139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11.03238125065743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9.0949470177292824E-13</v>
      </c>
      <c r="AJ192" s="13">
        <f>AI192*VLOOKUP('Données projet'!$B$10,Paramètres!$A$1:$I$89,3,0)*VLOOKUP('Données projet'!$B$10,Paramètres!$A$1:$I$89,5,0)</f>
        <v>8.2291080616414541E-13</v>
      </c>
      <c r="AK192" s="13">
        <f t="shared" si="164"/>
        <v>9.6729238395839706E-12</v>
      </c>
      <c r="AL192" s="20">
        <f t="shared" si="165"/>
        <v>1.8280245341344636E-11</v>
      </c>
      <c r="AM192" s="59">
        <f t="shared" si="113"/>
        <v>318.71432618330493</v>
      </c>
      <c r="AN192" s="59">
        <f ca="1">AVERAGE(OFFSET($AM$3,0,0,'Données projet'!$E$10+1,1))-AVERAGE(OFFSET($H$3,0,0,'Données projet'!$E$10+1,1))</f>
        <v>521.72266623522626</v>
      </c>
      <c r="AO192" s="59">
        <f t="shared" si="144"/>
        <v>298.49205684341825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50.333076105565532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50.333076105565532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-6.7984728957526396E-14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376.5647919688821</v>
      </c>
      <c r="BJ192" s="59">
        <f t="shared" si="146"/>
        <v>340.34037344565581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17.036094334359934</v>
      </c>
      <c r="BQ192" s="21">
        <f>EXP(-LN(2)/25)*BQ191+(1-EXP(-LN(2)/25))/(LN(2)/25)*Calculateur!BL192*Calculateur!BN192*VLOOKUP('Données projet'!$B$11,Paramètres!$A$1:$I$89,3,0)*0.475*44/12</f>
        <v>3.3643843978432013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20.400478732203133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1.7053025658242404E-13</v>
      </c>
      <c r="BZ192" s="13">
        <f>BY192*VLOOKUP('Données projet'!$B$12,Paramètres!$A$1:$I$89,3,0)*VLOOKUP('Données projet'!$B$12,Paramètres!$A$1:$I$89,5,0)</f>
        <v>1.72917680174578E-13</v>
      </c>
      <c r="CA192" s="13">
        <f t="shared" si="170"/>
        <v>2.4372886112056825E-12</v>
      </c>
      <c r="CB192" s="20">
        <f t="shared" si="171"/>
        <v>4.5461092908206203E-12</v>
      </c>
      <c r="CC192" s="59">
        <f t="shared" si="119"/>
        <v>318.71432618329118</v>
      </c>
      <c r="CD192" s="59">
        <f ca="1">AVERAGE(OFFSET($CC$3,0,0,'Données projet'!$E$12+1,1))-AVERAGE(OFFSET($H$3,0,0,'Données projet'!$E$12+1,1))</f>
        <v>473.09076714002885</v>
      </c>
      <c r="CE192" s="59">
        <f t="shared" si="148"/>
        <v>311.6454557566534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31.572987403541717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31.572987403541717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-2.8421709430404007E-14</v>
      </c>
      <c r="CU192" s="17">
        <f>CT192*VLOOKUP('Données projet'!$B$13,Paramètres!$A$1:$I$89,3,0)*VLOOKUP('Données projet'!$B$13,Paramètres!$A$1:$I$89,5,0)</f>
        <v>-2.4829205358400945E-14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379.66247682099424</v>
      </c>
      <c r="CZ192" s="59">
        <f t="shared" si="150"/>
        <v>342.92507939604081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15.656913500749281</v>
      </c>
      <c r="DG192" s="21">
        <f>EXP(-LN(2)/25)*DG191+(1-EXP(-LN(2)/25))/(LN(2)/25)*Calculateur!DB192*Calculateur!DD192*VLOOKUP('Données projet'!$B$13,Paramètres!$A$1:$I$89,3,0)*0.475*44/12</f>
        <v>3.5285959816223511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19.185509482371632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9.0949470177292824E-13</v>
      </c>
      <c r="DP192" s="17">
        <f>DO192*VLOOKUP('Données projet'!$B$14,Paramètres!$A$1:$I$89,3,0)*VLOOKUP('Données projet'!$B$14,Paramètres!$A$1:$I$89,5,0)</f>
        <v>8.6547515820711851E-13</v>
      </c>
      <c r="DQ192" s="13">
        <f t="shared" si="176"/>
        <v>1.0113703919726002E-11</v>
      </c>
      <c r="DR192" s="20">
        <f t="shared" si="177"/>
        <v>1.9122070227400184E-11</v>
      </c>
      <c r="DS192" s="59">
        <f t="shared" si="125"/>
        <v>318.71432618330573</v>
      </c>
      <c r="DT192" s="59">
        <f ca="1">AVERAGE(OFFSET($DS$3,0,0,'Données projet'!$E$14+1,1))-AVERAGE(OFFSET($H$3,0,0,'Données projet'!$E$14+1,1))</f>
        <v>544.64394576312384</v>
      </c>
      <c r="DU192" s="59">
        <f t="shared" si="152"/>
        <v>310.67291035925484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52.936511076543084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52.936511076543084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-5.4978954722173515E-14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276.72865583771579</v>
      </c>
      <c r="EP192" s="59">
        <f t="shared" si="154"/>
        <v>174.3587092851154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16.533064446411561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16.533064446411561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76.922088959078167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4.25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15.583333333333334</v>
      </c>
      <c r="H193" s="67">
        <f t="shared" si="110"/>
        <v>222.56666666666669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341.11752883785607</v>
      </c>
      <c r="T193" s="59">
        <f t="shared" si="142"/>
        <v>423.15445896616234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8.818877863865028</v>
      </c>
      <c r="AA193" s="21">
        <f>EXP(-LN(2)/25)*AA192+(1-EXP(-LN(2)/25))/(LN(2)/25)*Calculateur!V193*Calculateur!X193*VLOOKUP('Données projet'!$B$9,Paramètres!$A$1:$I$89,3,0)*0.475*44/12</f>
        <v>1.9814067114064657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10.800284575271494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9.0949470177292824E-13</v>
      </c>
      <c r="AJ193" s="13">
        <f>AI193*VLOOKUP('Données projet'!$B$10,Paramètres!$A$1:$I$89,3,0)*VLOOKUP('Données projet'!$B$10,Paramètres!$A$1:$I$89,5,0)</f>
        <v>8.2291080616414541E-13</v>
      </c>
      <c r="AK193" s="13">
        <f t="shared" si="164"/>
        <v>9.6729238395839706E-12</v>
      </c>
      <c r="AL193" s="20">
        <f t="shared" si="165"/>
        <v>1.8280245341344636E-11</v>
      </c>
      <c r="AM193" s="59">
        <f t="shared" si="113"/>
        <v>318.76380791381354</v>
      </c>
      <c r="AN193" s="59">
        <f ca="1">AVERAGE(OFFSET($AM$3,0,0,'Données projet'!$E$10+1,1))-AVERAGE(OFFSET($H$3,0,0,'Données projet'!$E$10+1,1))</f>
        <v>521.72266623522626</v>
      </c>
      <c r="AO193" s="59">
        <f t="shared" si="144"/>
        <v>298.49205684341825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49.346075183280426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49.346075183280426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-6.7984728957526396E-14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376.5647919688821</v>
      </c>
      <c r="BJ193" s="59">
        <f t="shared" si="146"/>
        <v>340.34037344565581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16.702026915454653</v>
      </c>
      <c r="BQ193" s="21">
        <f>EXP(-LN(2)/25)*BQ192+(1-EXP(-LN(2)/25))/(LN(2)/25)*Calculateur!BL193*Calculateur!BN193*VLOOKUP('Données projet'!$B$11,Paramètres!$A$1:$I$89,3,0)*0.475*44/12</f>
        <v>3.2723851295588928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19.974412045013544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1.7053025658242404E-13</v>
      </c>
      <c r="BZ193" s="13">
        <f>BY193*VLOOKUP('Données projet'!$B$12,Paramètres!$A$1:$I$89,3,0)*VLOOKUP('Données projet'!$B$12,Paramètres!$A$1:$I$89,5,0)</f>
        <v>1.72917680174578E-13</v>
      </c>
      <c r="CA193" s="13">
        <f t="shared" si="170"/>
        <v>2.4372886112056825E-12</v>
      </c>
      <c r="CB193" s="20">
        <f t="shared" si="171"/>
        <v>4.5461092908206203E-12</v>
      </c>
      <c r="CC193" s="59">
        <f t="shared" si="119"/>
        <v>318.76380791379978</v>
      </c>
      <c r="CD193" s="59">
        <f ca="1">AVERAGE(OFFSET($CC$3,0,0,'Données projet'!$E$12+1,1))-AVERAGE(OFFSET($H$3,0,0,'Données projet'!$E$12+1,1))</f>
        <v>473.09076714002885</v>
      </c>
      <c r="CE193" s="59">
        <f t="shared" si="148"/>
        <v>311.6454557566534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30.953860378179048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30.953860378179048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-2.8421709430404007E-14</v>
      </c>
      <c r="CU193" s="17">
        <f>CT193*VLOOKUP('Données projet'!$B$13,Paramètres!$A$1:$I$89,3,0)*VLOOKUP('Données projet'!$B$13,Paramètres!$A$1:$I$89,5,0)</f>
        <v>-2.4829205358400945E-14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379.66247682099424</v>
      </c>
      <c r="CZ193" s="59">
        <f t="shared" si="150"/>
        <v>342.92507939604081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15.349890976773862</v>
      </c>
      <c r="DG193" s="21">
        <f>EXP(-LN(2)/25)*DG192+(1-EXP(-LN(2)/25))/(LN(2)/25)*Calculateur!DB193*Calculateur!DD193*VLOOKUP('Données projet'!$B$13,Paramètres!$A$1:$I$89,3,0)*0.475*44/12</f>
        <v>3.4321063389440898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18.781997315717952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9.0949470177292824E-13</v>
      </c>
      <c r="DP193" s="17">
        <f>DO193*VLOOKUP('Données projet'!$B$14,Paramètres!$A$1:$I$89,3,0)*VLOOKUP('Données projet'!$B$14,Paramètres!$A$1:$I$89,5,0)</f>
        <v>8.6547515820711851E-13</v>
      </c>
      <c r="DQ193" s="13">
        <f t="shared" si="176"/>
        <v>1.0113703919726002E-11</v>
      </c>
      <c r="DR193" s="20">
        <f t="shared" si="177"/>
        <v>1.9122070227400184E-11</v>
      </c>
      <c r="DS193" s="59">
        <f t="shared" si="125"/>
        <v>318.76380791381433</v>
      </c>
      <c r="DT193" s="59">
        <f ca="1">AVERAGE(OFFSET($DS$3,0,0,'Données projet'!$E$14+1,1))-AVERAGE(OFFSET($H$3,0,0,'Données projet'!$E$14+1,1))</f>
        <v>544.64394576312384</v>
      </c>
      <c r="DU193" s="59">
        <f t="shared" si="152"/>
        <v>310.67291035925484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51.898458382415647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51.898458382415647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-5.4978954722173515E-14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276.72865583771579</v>
      </c>
      <c r="EP193" s="59">
        <f t="shared" si="154"/>
        <v>174.3587092851154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16.208861136791015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16.208861136791015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76.93558397648961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4.25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15.583333333333334</v>
      </c>
      <c r="H194" s="67">
        <f t="shared" si="110"/>
        <v>222.56666666666669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341.11752883785607</v>
      </c>
      <c r="T194" s="59">
        <f t="shared" si="142"/>
        <v>423.15445896616234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8.6459450479390014</v>
      </c>
      <c r="AA194" s="21">
        <f>EXP(-LN(2)/25)*AA193+(1-EXP(-LN(2)/25))/(LN(2)/25)*Calculateur!V194*Calculateur!X194*VLOOKUP('Données projet'!$B$9,Paramètres!$A$1:$I$89,3,0)*0.475*44/12</f>
        <v>1.9272250406854055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10.573170088624407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9.0949470177292824E-13</v>
      </c>
      <c r="AJ194" s="13">
        <f>AI194*VLOOKUP('Données projet'!$B$10,Paramètres!$A$1:$I$89,3,0)*VLOOKUP('Données projet'!$B$10,Paramètres!$A$1:$I$89,5,0)</f>
        <v>8.2291080616414541E-13</v>
      </c>
      <c r="AK194" s="13">
        <f t="shared" si="164"/>
        <v>9.6729238395839706E-12</v>
      </c>
      <c r="AL194" s="20">
        <f t="shared" si="165"/>
        <v>1.8280245341344636E-11</v>
      </c>
      <c r="AM194" s="59">
        <f t="shared" si="113"/>
        <v>318.81243124692242</v>
      </c>
      <c r="AN194" s="59">
        <f ca="1">AVERAGE(OFFSET($AM$3,0,0,'Données projet'!$E$10+1,1))-AVERAGE(OFFSET($H$3,0,0,'Données projet'!$E$10+1,1))</f>
        <v>521.72266623522626</v>
      </c>
      <c r="AO194" s="59">
        <f t="shared" si="144"/>
        <v>298.49205684341825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48.378428747070217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48.378428747070217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-6.7984728957526396E-14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376.5647919688821</v>
      </c>
      <c r="BJ194" s="59">
        <f t="shared" si="146"/>
        <v>340.34037344565581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16.374510354873099</v>
      </c>
      <c r="BQ194" s="21">
        <f>EXP(-LN(2)/25)*BQ193+(1-EXP(-LN(2)/25))/(LN(2)/25)*Calculateur!BL194*Calculateur!BN194*VLOOKUP('Données projet'!$B$11,Paramètres!$A$1:$I$89,3,0)*0.475*44/12</f>
        <v>3.1829015861038501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19.557411940976948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1.7053025658242404E-13</v>
      </c>
      <c r="BZ194" s="13">
        <f>BY194*VLOOKUP('Données projet'!$B$12,Paramètres!$A$1:$I$89,3,0)*VLOOKUP('Données projet'!$B$12,Paramètres!$A$1:$I$89,5,0)</f>
        <v>1.72917680174578E-13</v>
      </c>
      <c r="CA194" s="13">
        <f t="shared" si="170"/>
        <v>2.4372886112056825E-12</v>
      </c>
      <c r="CB194" s="20">
        <f t="shared" si="171"/>
        <v>4.5461092908206203E-12</v>
      </c>
      <c r="CC194" s="59">
        <f t="shared" si="119"/>
        <v>318.81243124690866</v>
      </c>
      <c r="CD194" s="59">
        <f ca="1">AVERAGE(OFFSET($CC$3,0,0,'Données projet'!$E$12+1,1))-AVERAGE(OFFSET($H$3,0,0,'Données projet'!$E$12+1,1))</f>
        <v>473.09076714002885</v>
      </c>
      <c r="CE194" s="59">
        <f t="shared" si="148"/>
        <v>311.6454557566534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30.346874056153542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30.346874056153542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-2.8421709430404007E-14</v>
      </c>
      <c r="CU194" s="17">
        <f>CT194*VLOOKUP('Données projet'!$B$13,Paramètres!$A$1:$I$89,3,0)*VLOOKUP('Données projet'!$B$13,Paramètres!$A$1:$I$89,5,0)</f>
        <v>-2.4829205358400945E-14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379.66247682099424</v>
      </c>
      <c r="CZ194" s="59">
        <f t="shared" si="150"/>
        <v>342.92507939604081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15.048888977228351</v>
      </c>
      <c r="DG194" s="21">
        <f>EXP(-LN(2)/25)*DG193+(1-EXP(-LN(2)/25))/(LN(2)/25)*Calculateur!DB194*Calculateur!DD194*VLOOKUP('Données projet'!$B$13,Paramètres!$A$1:$I$89,3,0)*0.475*44/12</f>
        <v>3.3382552106190353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18.387144187847387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9.0949470177292824E-13</v>
      </c>
      <c r="DP194" s="17">
        <f>DO194*VLOOKUP('Données projet'!$B$14,Paramètres!$A$1:$I$89,3,0)*VLOOKUP('Données projet'!$B$14,Paramètres!$A$1:$I$89,5,0)</f>
        <v>8.6547515820711851E-13</v>
      </c>
      <c r="DQ194" s="13">
        <f t="shared" si="176"/>
        <v>1.0113703919726002E-11</v>
      </c>
      <c r="DR194" s="20">
        <f t="shared" si="177"/>
        <v>1.9122070227400184E-11</v>
      </c>
      <c r="DS194" s="59">
        <f t="shared" si="125"/>
        <v>318.81243124692321</v>
      </c>
      <c r="DT194" s="59">
        <f ca="1">AVERAGE(OFFSET($DS$3,0,0,'Données projet'!$E$14+1,1))-AVERAGE(OFFSET($H$3,0,0,'Données projet'!$E$14+1,1))</f>
        <v>544.64394576312384</v>
      </c>
      <c r="DU194" s="59">
        <f t="shared" si="152"/>
        <v>310.67291035925484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50.880761268470422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50.880761268470422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-5.4978954722173515E-14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276.72865583771579</v>
      </c>
      <c r="EP194" s="59">
        <f t="shared" si="154"/>
        <v>174.3587092851154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15.891015256327632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15.891015256327632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76.948844885519307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4.25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15.583333333333334</v>
      </c>
      <c r="H195" s="67">
        <f t="shared" si="110"/>
        <v>222.56666666666669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341.11752883785607</v>
      </c>
      <c r="T195" s="59">
        <f t="shared" si="142"/>
        <v>423.15445896616234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8.4764033390546807</v>
      </c>
      <c r="AA195" s="21">
        <f>EXP(-LN(2)/25)*AA194+(1-EXP(-LN(2)/25))/(LN(2)/25)*Calculateur!V195*Calculateur!X195*VLOOKUP('Données projet'!$B$9,Paramètres!$A$1:$I$89,3,0)*0.475*44/12</f>
        <v>1.8745249705995028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10.350928309654183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9.0949470177292824E-13</v>
      </c>
      <c r="AJ195" s="13">
        <f>AI195*VLOOKUP('Données projet'!$B$10,Paramètres!$A$1:$I$89,3,0)*VLOOKUP('Données projet'!$B$10,Paramètres!$A$1:$I$89,5,0)</f>
        <v>8.2291080616414541E-13</v>
      </c>
      <c r="AK195" s="13">
        <f t="shared" si="164"/>
        <v>9.6729238395839706E-12</v>
      </c>
      <c r="AL195" s="20">
        <f t="shared" si="165"/>
        <v>1.8280245341344636E-11</v>
      </c>
      <c r="AM195" s="59">
        <f t="shared" si="113"/>
        <v>318.86021107390746</v>
      </c>
      <c r="AN195" s="59">
        <f ca="1">AVERAGE(OFFSET($AM$3,0,0,'Données projet'!$E$10+1,1))-AVERAGE(OFFSET($H$3,0,0,'Données projet'!$E$10+1,1))</f>
        <v>521.72266623522626</v>
      </c>
      <c r="AO195" s="59">
        <f t="shared" si="144"/>
        <v>298.49205684341825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47.429757267268037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47.429757267268037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-6.7984728957526396E-14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376.5647919688821</v>
      </c>
      <c r="BJ195" s="59">
        <f t="shared" si="146"/>
        <v>340.34037344565581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16.053416194279173</v>
      </c>
      <c r="BQ195" s="21">
        <f>EXP(-LN(2)/25)*BQ194+(1-EXP(-LN(2)/25))/(LN(2)/25)*Calculateur!BL195*Calculateur!BN195*VLOOKUP('Données projet'!$B$11,Paramètres!$A$1:$I$89,3,0)*0.475*44/12</f>
        <v>3.0958649748503206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19.149281169129495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1.7053025658242404E-13</v>
      </c>
      <c r="BZ195" s="13">
        <f>BY195*VLOOKUP('Données projet'!$B$12,Paramètres!$A$1:$I$89,3,0)*VLOOKUP('Données projet'!$B$12,Paramètres!$A$1:$I$89,5,0)</f>
        <v>1.72917680174578E-13</v>
      </c>
      <c r="CA195" s="13">
        <f t="shared" si="170"/>
        <v>2.4372886112056825E-12</v>
      </c>
      <c r="CB195" s="20">
        <f t="shared" si="171"/>
        <v>4.5461092908206203E-12</v>
      </c>
      <c r="CC195" s="59">
        <f t="shared" si="119"/>
        <v>318.86021107389371</v>
      </c>
      <c r="CD195" s="59">
        <f ca="1">AVERAGE(OFFSET($CC$3,0,0,'Données projet'!$E$12+1,1))-AVERAGE(OFFSET($H$3,0,0,'Données projet'!$E$12+1,1))</f>
        <v>473.09076714002885</v>
      </c>
      <c r="CE195" s="59">
        <f t="shared" si="148"/>
        <v>311.6454557566534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29.751790365677859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29.751790365677859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-2.8421709430404007E-14</v>
      </c>
      <c r="CU195" s="17">
        <f>CT195*VLOOKUP('Données projet'!$B$13,Paramètres!$A$1:$I$89,3,0)*VLOOKUP('Données projet'!$B$13,Paramètres!$A$1:$I$89,5,0)</f>
        <v>-2.4829205358400945E-14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379.66247682099424</v>
      </c>
      <c r="CZ195" s="59">
        <f t="shared" si="150"/>
        <v>342.92507939604081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14.753789443300837</v>
      </c>
      <c r="DG195" s="21">
        <f>EXP(-LN(2)/25)*DG194+(1-EXP(-LN(2)/25))/(LN(2)/25)*Calculateur!DB195*Calculateur!DD195*VLOOKUP('Données projet'!$B$13,Paramètres!$A$1:$I$89,3,0)*0.475*44/12</f>
        <v>3.2469704463334459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18.000759889634281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9.0949470177292824E-13</v>
      </c>
      <c r="DP195" s="17">
        <f>DO195*VLOOKUP('Données projet'!$B$14,Paramètres!$A$1:$I$89,3,0)*VLOOKUP('Données projet'!$B$14,Paramètres!$A$1:$I$89,5,0)</f>
        <v>8.6547515820711851E-13</v>
      </c>
      <c r="DQ195" s="13">
        <f t="shared" si="176"/>
        <v>1.0113703919726002E-11</v>
      </c>
      <c r="DR195" s="20">
        <f t="shared" si="177"/>
        <v>1.9122070227400184E-11</v>
      </c>
      <c r="DS195" s="59">
        <f t="shared" si="125"/>
        <v>318.86021107390826</v>
      </c>
      <c r="DT195" s="59">
        <f ca="1">AVERAGE(OFFSET($DS$3,0,0,'Données projet'!$E$14+1,1))-AVERAGE(OFFSET($H$3,0,0,'Données projet'!$E$14+1,1))</f>
        <v>544.64394576312384</v>
      </c>
      <c r="DU195" s="59">
        <f t="shared" si="152"/>
        <v>310.67291035925484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49.883020574195719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49.883020574195719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-5.4978954722173515E-14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276.72865583771579</v>
      </c>
      <c r="EP195" s="59">
        <f t="shared" si="154"/>
        <v>174.3587092851154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15.579402139713293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15.579402139713293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76.961875747424315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4.25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15.583333333333334</v>
      </c>
      <c r="H196" s="67">
        <f t="shared" ref="H196:H203" si="192">(B196+E196+F196)*44/12+(C196+D196)*0.475*44/12</f>
        <v>222.56666666666669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341.11752883785607</v>
      </c>
      <c r="T196" s="59">
        <f t="shared" si="142"/>
        <v>423.15445896616234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8.3101862396713511</v>
      </c>
      <c r="AA196" s="21">
        <f>EXP(-LN(2)/25)*AA195+(1-EXP(-LN(2)/25))/(LN(2)/25)*Calculateur!V196*Calculateur!X196*VLOOKUP('Données projet'!$B$9,Paramètres!$A$1:$I$89,3,0)*0.475*44/12</f>
        <v>1.8232659867014755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10.133452226372826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9.0949470177292824E-13</v>
      </c>
      <c r="AJ196" s="13">
        <f>AI196*VLOOKUP('Données projet'!$B$10,Paramètres!$A$1:$I$89,3,0)*VLOOKUP('Données projet'!$B$10,Paramètres!$A$1:$I$89,5,0)</f>
        <v>8.2291080616414541E-13</v>
      </c>
      <c r="AK196" s="13">
        <f t="shared" si="164"/>
        <v>9.6729238395839706E-12</v>
      </c>
      <c r="AL196" s="20">
        <f t="shared" si="165"/>
        <v>1.8280245341344636E-11</v>
      </c>
      <c r="AM196" s="59">
        <f t="shared" ref="AM196:AM203" si="193">AL196+(AD196+AE196)*44/12</f>
        <v>318.90716202771381</v>
      </c>
      <c r="AN196" s="59">
        <f ca="1">AVERAGE(OFFSET($AM$3,0,0,'Données projet'!$E$10+1,1))-AVERAGE(OFFSET($H$3,0,0,'Données projet'!$E$10+1,1))</f>
        <v>521.72266623522626</v>
      </c>
      <c r="AO196" s="59">
        <f t="shared" si="144"/>
        <v>298.49205684341825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46.499688656552316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46.499688656552316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-6.7984728957526396E-14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376.5647919688821</v>
      </c>
      <c r="BJ196" s="59">
        <f t="shared" si="146"/>
        <v>340.34037344565581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15.738618494326396</v>
      </c>
      <c r="BQ196" s="21">
        <f>EXP(-LN(2)/25)*BQ195+(1-EXP(-LN(2)/25))/(LN(2)/25)*Calculateur!BL196*Calculateur!BN196*VLOOKUP('Données projet'!$B$11,Paramètres!$A$1:$I$89,3,0)*0.475*44/12</f>
        <v>3.0112083843085751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18.74982687863497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1.7053025658242404E-13</v>
      </c>
      <c r="BZ196" s="13">
        <f>BY196*VLOOKUP('Données projet'!$B$12,Paramètres!$A$1:$I$89,3,0)*VLOOKUP('Données projet'!$B$12,Paramètres!$A$1:$I$89,5,0)</f>
        <v>1.72917680174578E-13</v>
      </c>
      <c r="CA196" s="13">
        <f t="shared" si="170"/>
        <v>2.4372886112056825E-12</v>
      </c>
      <c r="CB196" s="20">
        <f t="shared" si="171"/>
        <v>4.5461092908206203E-12</v>
      </c>
      <c r="CC196" s="59">
        <f t="shared" ref="CC196:CC203" si="195">CB196+(BT196+BU196)*44/12</f>
        <v>318.90716202770005</v>
      </c>
      <c r="CD196" s="59">
        <f ca="1">AVERAGE(OFFSET($CC$3,0,0,'Données projet'!$E$12+1,1))-AVERAGE(OFFSET($H$3,0,0,'Données projet'!$E$12+1,1))</f>
        <v>473.09076714002885</v>
      </c>
      <c r="CE196" s="59">
        <f t="shared" si="148"/>
        <v>311.6454557566534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29.168375903407192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29.168375903407192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-2.8421709430404007E-14</v>
      </c>
      <c r="CU196" s="17">
        <f>CT196*VLOOKUP('Données projet'!$B$13,Paramètres!$A$1:$I$89,3,0)*VLOOKUP('Données projet'!$B$13,Paramètres!$A$1:$I$89,5,0)</f>
        <v>-2.4829205358400945E-14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379.66247682099424</v>
      </c>
      <c r="CZ196" s="59">
        <f t="shared" si="150"/>
        <v>342.92507939604081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14.464476631240698</v>
      </c>
      <c r="DG196" s="21">
        <f>EXP(-LN(2)/25)*DG195+(1-EXP(-LN(2)/25))/(LN(2)/25)*Calculateur!DB196*Calculateur!DD196*VLOOKUP('Données projet'!$B$13,Paramètres!$A$1:$I$89,3,0)*0.475*44/12</f>
        <v>3.158181868727703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17.622658499968402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9.0949470177292824E-13</v>
      </c>
      <c r="DP196" s="17">
        <f>DO196*VLOOKUP('Données projet'!$B$14,Paramètres!$A$1:$I$89,3,0)*VLOOKUP('Données projet'!$B$14,Paramètres!$A$1:$I$89,5,0)</f>
        <v>8.6547515820711851E-13</v>
      </c>
      <c r="DQ196" s="13">
        <f t="shared" si="176"/>
        <v>1.0113703919726002E-11</v>
      </c>
      <c r="DR196" s="20">
        <f t="shared" si="177"/>
        <v>1.9122070227400184E-11</v>
      </c>
      <c r="DS196" s="59">
        <f t="shared" ref="DS196:DS203" si="197">DR196+(DJ196+DK196)*44/12</f>
        <v>318.90716202771461</v>
      </c>
      <c r="DT196" s="59">
        <f ca="1">AVERAGE(OFFSET($DS$3,0,0,'Données projet'!$E$14+1,1))-AVERAGE(OFFSET($H$3,0,0,'Données projet'!$E$14+1,1))</f>
        <v>544.64394576312384</v>
      </c>
      <c r="DU196" s="59">
        <f t="shared" si="152"/>
        <v>310.67291035925484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48.904844966374007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48.904844966374007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-5.4978954722173515E-14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276.72865583771579</v>
      </c>
      <c r="EP196" s="59">
        <f t="shared" si="154"/>
        <v>174.3587092851154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15.273899566250527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15.273899566250527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76.974680553007872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4.25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15.583333333333334</v>
      </c>
      <c r="H197" s="67">
        <f t="shared" si="192"/>
        <v>222.56666666666669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341.11752883785607</v>
      </c>
      <c r="T197" s="59">
        <f t="shared" ref="T197:T203" si="204">$T$3</f>
        <v>423.15445896616234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8.1472285562245084</v>
      </c>
      <c r="AA197" s="21">
        <f>EXP(-LN(2)/25)*AA196+(1-EXP(-LN(2)/25))/(LN(2)/25)*Calculateur!V197*Calculateur!X197*VLOOKUP('Données projet'!$B$9,Paramètres!$A$1:$I$89,3,0)*0.475*44/12</f>
        <v>1.7734086824137325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9.9206372386382409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9.0949470177292824E-13</v>
      </c>
      <c r="AJ197" s="13">
        <f>AI197*VLOOKUP('Données projet'!$B$10,Paramètres!$A$1:$I$89,3,0)*VLOOKUP('Données projet'!$B$10,Paramètres!$A$1:$I$89,5,0)</f>
        <v>8.2291080616414541E-13</v>
      </c>
      <c r="AK197" s="13">
        <f t="shared" si="164"/>
        <v>9.6729238395839706E-12</v>
      </c>
      <c r="AL197" s="20">
        <f t="shared" si="165"/>
        <v>1.8280245341344636E-11</v>
      </c>
      <c r="AM197" s="59">
        <f t="shared" si="193"/>
        <v>318.95329848743836</v>
      </c>
      <c r="AN197" s="59">
        <f ca="1">AVERAGE(OFFSET($AM$3,0,0,'Données projet'!$E$10+1,1))-AVERAGE(OFFSET($H$3,0,0,'Données projet'!$E$10+1,1))</f>
        <v>521.72266623522626</v>
      </c>
      <c r="AO197" s="59">
        <f t="shared" ref="AO197:AO203" si="205">$AO$3</f>
        <v>298.49205684341825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45.587858124006893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45.587858124006893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-6.7984728957526396E-14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376.5647919688821</v>
      </c>
      <c r="BJ197" s="59">
        <f t="shared" ref="BJ197:BJ203" si="206">$BJ$3</f>
        <v>340.34037344565581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15.429993785262054</v>
      </c>
      <c r="BQ197" s="21">
        <f>EXP(-LN(2)/25)*BQ196+(1-EXP(-LN(2)/25))/(LN(2)/25)*Calculateur!BL197*Calculateur!BN197*VLOOKUP('Données projet'!$B$11,Paramètres!$A$1:$I$89,3,0)*0.475*44/12</f>
        <v>2.9288667326870903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18.358860517949143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1.7053025658242404E-13</v>
      </c>
      <c r="BZ197" s="13">
        <f>BY197*VLOOKUP('Données projet'!$B$12,Paramètres!$A$1:$I$89,3,0)*VLOOKUP('Données projet'!$B$12,Paramètres!$A$1:$I$89,5,0)</f>
        <v>1.72917680174578E-13</v>
      </c>
      <c r="CA197" s="13">
        <f t="shared" si="170"/>
        <v>2.4372886112056825E-12</v>
      </c>
      <c r="CB197" s="20">
        <f t="shared" si="171"/>
        <v>4.5461092908206203E-12</v>
      </c>
      <c r="CC197" s="59">
        <f t="shared" si="195"/>
        <v>318.9532984874246</v>
      </c>
      <c r="CD197" s="59">
        <f ca="1">AVERAGE(OFFSET($CC$3,0,0,'Données projet'!$E$12+1,1))-AVERAGE(OFFSET($H$3,0,0,'Données projet'!$E$12+1,1))</f>
        <v>473.09076714002885</v>
      </c>
      <c r="CE197" s="59">
        <f t="shared" ref="CE197:CE203" si="207">$CE$3</f>
        <v>311.6454557566534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28.596401842893968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28.596401842893968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-2.8421709430404007E-14</v>
      </c>
      <c r="CU197" s="17">
        <f>CT197*VLOOKUP('Données projet'!$B$13,Paramètres!$A$1:$I$89,3,0)*VLOOKUP('Données projet'!$B$13,Paramètres!$A$1:$I$89,5,0)</f>
        <v>-2.4829205358400945E-14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379.66247682099424</v>
      </c>
      <c r="CZ197" s="59">
        <f t="shared" ref="CZ197:CZ203" si="208">$CZ$3</f>
        <v>342.92507939604081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14.180837066961669</v>
      </c>
      <c r="DG197" s="21">
        <f>EXP(-LN(2)/25)*DG196+(1-EXP(-LN(2)/25))/(LN(2)/25)*Calculateur!DB197*Calculateur!DD197*VLOOKUP('Données projet'!$B$13,Paramètres!$A$1:$I$89,3,0)*0.475*44/12</f>
        <v>3.0718212194457775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17.252658286407446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9.0949470177292824E-13</v>
      </c>
      <c r="DP197" s="17">
        <f>DO197*VLOOKUP('Données projet'!$B$14,Paramètres!$A$1:$I$89,3,0)*VLOOKUP('Données projet'!$B$14,Paramètres!$A$1:$I$89,5,0)</f>
        <v>8.6547515820711851E-13</v>
      </c>
      <c r="DQ197" s="13">
        <f t="shared" si="176"/>
        <v>1.0113703919726002E-11</v>
      </c>
      <c r="DR197" s="20">
        <f t="shared" si="177"/>
        <v>1.9122070227400184E-11</v>
      </c>
      <c r="DS197" s="59">
        <f t="shared" si="197"/>
        <v>318.95329848743916</v>
      </c>
      <c r="DT197" s="59">
        <f ca="1">AVERAGE(OFFSET($DS$3,0,0,'Données projet'!$E$14+1,1))-AVERAGE(OFFSET($H$3,0,0,'Données projet'!$E$14+1,1))</f>
        <v>544.64394576312384</v>
      </c>
      <c r="DU197" s="59">
        <f t="shared" ref="DU197:DU203" si="209">$DU$3</f>
        <v>310.67291035925484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47.945850785593471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47.945850785593471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-5.4978954722173515E-14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276.72865583771579</v>
      </c>
      <c r="EP197" s="59">
        <f t="shared" ref="EP197:EP203" si="210">$EP$3</f>
        <v>174.3587092851154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14.974387711915195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14.974387711915195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76.987263223841836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4.25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15.583333333333334</v>
      </c>
      <c r="H198" s="67">
        <f t="shared" si="192"/>
        <v>222.56666666666669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341.11752883785607</v>
      </c>
      <c r="T198" s="59">
        <f t="shared" si="204"/>
        <v>423.15445896616234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7.9874663735556855</v>
      </c>
      <c r="AA198" s="21">
        <f>EXP(-LN(2)/25)*AA197+(1-EXP(-LN(2)/25))/(LN(2)/25)*Calculateur!V198*Calculateur!X198*VLOOKUP('Données projet'!$B$9,Paramètres!$A$1:$I$89,3,0)*0.475*44/12</f>
        <v>1.7249147287336195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9.7123811022893047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9.0949470177292824E-13</v>
      </c>
      <c r="AJ198" s="13">
        <f>AI198*VLOOKUP('Données projet'!$B$10,Paramètres!$A$1:$I$89,3,0)*VLOOKUP('Données projet'!$B$10,Paramètres!$A$1:$I$89,5,0)</f>
        <v>8.2291080616414541E-13</v>
      </c>
      <c r="AK198" s="13">
        <f t="shared" si="164"/>
        <v>9.6729238395839706E-12</v>
      </c>
      <c r="AL198" s="20">
        <f t="shared" si="165"/>
        <v>1.8280245341344636E-11</v>
      </c>
      <c r="AM198" s="59">
        <f t="shared" si="193"/>
        <v>318.99863458273234</v>
      </c>
      <c r="AN198" s="59">
        <f ca="1">AVERAGE(OFFSET($AM$3,0,0,'Données projet'!$E$10+1,1))-AVERAGE(OFFSET($H$3,0,0,'Données projet'!$E$10+1,1))</f>
        <v>521.72266623522626</v>
      </c>
      <c r="AO198" s="59">
        <f t="shared" si="205"/>
        <v>298.49205684341825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44.693908032042977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44.693908032042977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-6.7984728957526396E-14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376.5647919688821</v>
      </c>
      <c r="BJ198" s="59">
        <f t="shared" si="206"/>
        <v>340.34037344565581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15.127421018499978</v>
      </c>
      <c r="BQ198" s="21">
        <f>EXP(-LN(2)/25)*BQ197+(1-EXP(-LN(2)/25))/(LN(2)/25)*Calculateur!BL198*Calculateur!BN198*VLOOKUP('Données projet'!$B$11,Paramètres!$A$1:$I$89,3,0)*0.475*44/12</f>
        <v>2.8487767178593542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17.976197736359332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1.7053025658242404E-13</v>
      </c>
      <c r="BZ198" s="13">
        <f>BY198*VLOOKUP('Données projet'!$B$12,Paramètres!$A$1:$I$89,3,0)*VLOOKUP('Données projet'!$B$12,Paramètres!$A$1:$I$89,5,0)</f>
        <v>1.72917680174578E-13</v>
      </c>
      <c r="CA198" s="13">
        <f t="shared" si="170"/>
        <v>2.4372886112056825E-12</v>
      </c>
      <c r="CB198" s="20">
        <f t="shared" si="171"/>
        <v>4.5461092908206203E-12</v>
      </c>
      <c r="CC198" s="59">
        <f t="shared" si="195"/>
        <v>318.99863458271858</v>
      </c>
      <c r="CD198" s="59">
        <f ca="1">AVERAGE(OFFSET($CC$3,0,0,'Données projet'!$E$12+1,1))-AVERAGE(OFFSET($H$3,0,0,'Données projet'!$E$12+1,1))</f>
        <v>473.09076714002885</v>
      </c>
      <c r="CE198" s="59">
        <f t="shared" si="207"/>
        <v>311.6454557566534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28.035643844837679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28.035643844837679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-2.8421709430404007E-14</v>
      </c>
      <c r="CU198" s="17">
        <f>CT198*VLOOKUP('Données projet'!$B$13,Paramètres!$A$1:$I$89,3,0)*VLOOKUP('Données projet'!$B$13,Paramètres!$A$1:$I$89,5,0)</f>
        <v>-2.4829205358400945E-14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379.66247682099424</v>
      </c>
      <c r="CZ198" s="59">
        <f t="shared" si="208"/>
        <v>342.92507939604081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13.902759501535098</v>
      </c>
      <c r="DG198" s="21">
        <f>EXP(-LN(2)/25)*DG197+(1-EXP(-LN(2)/25))/(LN(2)/25)*Calculateur!DB198*Calculateur!DD198*VLOOKUP('Données projet'!$B$13,Paramètres!$A$1:$I$89,3,0)*0.475*44/12</f>
        <v>2.9878221066599755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16.890581608195074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9.0949470177292824E-13</v>
      </c>
      <c r="DP198" s="17">
        <f>DO198*VLOOKUP('Données projet'!$B$14,Paramètres!$A$1:$I$89,3,0)*VLOOKUP('Données projet'!$B$14,Paramètres!$A$1:$I$89,5,0)</f>
        <v>8.6547515820711851E-13</v>
      </c>
      <c r="DQ198" s="13">
        <f t="shared" si="176"/>
        <v>1.0113703919726002E-11</v>
      </c>
      <c r="DR198" s="20">
        <f t="shared" si="177"/>
        <v>1.9122070227400184E-11</v>
      </c>
      <c r="DS198" s="59">
        <f t="shared" si="197"/>
        <v>318.99863458273313</v>
      </c>
      <c r="DT198" s="59">
        <f ca="1">AVERAGE(OFFSET($DS$3,0,0,'Données projet'!$E$14+1,1))-AVERAGE(OFFSET($H$3,0,0,'Données projet'!$E$14+1,1))</f>
        <v>544.64394576312384</v>
      </c>
      <c r="DU198" s="59">
        <f t="shared" si="209"/>
        <v>310.67291035925484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47.00566189576935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47.00566189576935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-5.4978954722173515E-14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276.72865583771579</v>
      </c>
      <c r="EP198" s="59">
        <f t="shared" si="210"/>
        <v>174.3587092851154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14.680749102359187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14.680749102359187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76.999627613467467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4.25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15.583333333333334</v>
      </c>
      <c r="H199" s="67">
        <f t="shared" si="192"/>
        <v>222.56666666666669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341.11752883785607</v>
      </c>
      <c r="T199" s="59">
        <f t="shared" si="204"/>
        <v>423.15445896616234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7.8308370298436891</v>
      </c>
      <c r="AA199" s="21">
        <f>EXP(-LN(2)/25)*AA198+(1-EXP(-LN(2)/25))/(LN(2)/25)*Calculateur!V199*Calculateur!X199*VLOOKUP('Données projet'!$B$9,Paramètres!$A$1:$I$89,3,0)*0.475*44/12</f>
        <v>1.6777468447670754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9.508583874610764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9.0949470177292824E-13</v>
      </c>
      <c r="AJ199" s="13">
        <f>AI199*VLOOKUP('Données projet'!$B$10,Paramètres!$A$1:$I$89,3,0)*VLOOKUP('Données projet'!$B$10,Paramètres!$A$1:$I$89,5,0)</f>
        <v>8.2291080616414541E-13</v>
      </c>
      <c r="AK199" s="13">
        <f t="shared" si="164"/>
        <v>9.6729238395839706E-12</v>
      </c>
      <c r="AL199" s="20">
        <f t="shared" si="165"/>
        <v>1.8280245341344636E-11</v>
      </c>
      <c r="AM199" s="59">
        <f t="shared" si="193"/>
        <v>319.04318419812932</v>
      </c>
      <c r="AN199" s="59">
        <f ca="1">AVERAGE(OFFSET($AM$3,0,0,'Données projet'!$E$10+1,1))-AVERAGE(OFFSET($H$3,0,0,'Données projet'!$E$10+1,1))</f>
        <v>521.72266623522626</v>
      </c>
      <c r="AO199" s="59">
        <f t="shared" si="205"/>
        <v>298.49205684341825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43.817487756126752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43.817487756126752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-6.7984728957526396E-14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376.5647919688821</v>
      </c>
      <c r="BJ199" s="59">
        <f t="shared" si="206"/>
        <v>340.34037344565581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14.830781519142942</v>
      </c>
      <c r="BQ199" s="21">
        <f>EXP(-LN(2)/25)*BQ198+(1-EXP(-LN(2)/25))/(LN(2)/25)*Calculateur!BL199*Calculateur!BN199*VLOOKUP('Données projet'!$B$11,Paramètres!$A$1:$I$89,3,0)*0.475*44/12</f>
        <v>2.7708767686988334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17.601658287841776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1.7053025658242404E-13</v>
      </c>
      <c r="BZ199" s="13">
        <f>BY199*VLOOKUP('Données projet'!$B$12,Paramètres!$A$1:$I$89,3,0)*VLOOKUP('Données projet'!$B$12,Paramètres!$A$1:$I$89,5,0)</f>
        <v>1.72917680174578E-13</v>
      </c>
      <c r="CA199" s="13">
        <f t="shared" si="170"/>
        <v>2.4372886112056825E-12</v>
      </c>
      <c r="CB199" s="20">
        <f t="shared" si="171"/>
        <v>4.5461092908206203E-12</v>
      </c>
      <c r="CC199" s="59">
        <f t="shared" si="195"/>
        <v>319.04318419811557</v>
      </c>
      <c r="CD199" s="59">
        <f ca="1">AVERAGE(OFFSET($CC$3,0,0,'Données projet'!$E$12+1,1))-AVERAGE(OFFSET($H$3,0,0,'Données projet'!$E$12+1,1))</f>
        <v>473.09076714002885</v>
      </c>
      <c r="CE199" s="59">
        <f t="shared" si="207"/>
        <v>311.6454557566534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27.485881969094667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27.485881969094667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-2.8421709430404007E-14</v>
      </c>
      <c r="CU199" s="17">
        <f>CT199*VLOOKUP('Données projet'!$B$13,Paramètres!$A$1:$I$89,3,0)*VLOOKUP('Données projet'!$B$13,Paramètres!$A$1:$I$89,5,0)</f>
        <v>-2.4829205358400945E-14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379.66247682099424</v>
      </c>
      <c r="CZ199" s="59">
        <f t="shared" si="208"/>
        <v>342.92507939604081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13.630134867555975</v>
      </c>
      <c r="DG199" s="21">
        <f>EXP(-LN(2)/25)*DG198+(1-EXP(-LN(2)/25))/(LN(2)/25)*Calculateur!DB199*Calculateur!DD199*VLOOKUP('Données projet'!$B$13,Paramètres!$A$1:$I$89,3,0)*0.475*44/12</f>
        <v>2.9061199540306228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16.536254821586599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9.0949470177292824E-13</v>
      </c>
      <c r="DP199" s="17">
        <f>DO199*VLOOKUP('Données projet'!$B$14,Paramètres!$A$1:$I$89,3,0)*VLOOKUP('Données projet'!$B$14,Paramètres!$A$1:$I$89,5,0)</f>
        <v>8.6547515820711851E-13</v>
      </c>
      <c r="DQ199" s="13">
        <f t="shared" si="176"/>
        <v>1.0113703919726002E-11</v>
      </c>
      <c r="DR199" s="20">
        <f t="shared" si="177"/>
        <v>1.9122070227400184E-11</v>
      </c>
      <c r="DS199" s="59">
        <f t="shared" si="197"/>
        <v>319.04318419813012</v>
      </c>
      <c r="DT199" s="59">
        <f ca="1">AVERAGE(OFFSET($DS$3,0,0,'Données projet'!$E$14+1,1))-AVERAGE(OFFSET($H$3,0,0,'Données projet'!$E$14+1,1))</f>
        <v>544.64394576312384</v>
      </c>
      <c r="DU199" s="59">
        <f t="shared" si="209"/>
        <v>310.67291035925484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46.083909536616083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46.083909536616083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-5.4978954722173515E-14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276.72865583771579</v>
      </c>
      <c r="EP199" s="59">
        <f t="shared" si="210"/>
        <v>174.3587092851154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14.392868566834704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14.392868566834704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77.011777508575733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4.25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15.583333333333334</v>
      </c>
      <c r="H200" s="67">
        <f t="shared" si="192"/>
        <v>222.56666666666669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341.11752883785607</v>
      </c>
      <c r="T200" s="59">
        <f t="shared" si="204"/>
        <v>423.15445896616234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7.6772790920274181</v>
      </c>
      <c r="AA200" s="21">
        <f>EXP(-LN(2)/25)*AA199+(1-EXP(-LN(2)/25))/(LN(2)/25)*Calculateur!V200*Calculateur!X200*VLOOKUP('Données projet'!$B$9,Paramètres!$A$1:$I$89,3,0)*0.475*44/12</f>
        <v>1.6318687690680476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9.3091478610954663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9.0949470177292824E-13</v>
      </c>
      <c r="AJ200" s="13">
        <f>AI200*VLOOKUP('Données projet'!$B$10,Paramètres!$A$1:$I$89,3,0)*VLOOKUP('Données projet'!$B$10,Paramètres!$A$1:$I$89,5,0)</f>
        <v>8.2291080616414541E-13</v>
      </c>
      <c r="AK200" s="13">
        <f t="shared" si="164"/>
        <v>9.6729238395839706E-12</v>
      </c>
      <c r="AL200" s="20">
        <f t="shared" si="165"/>
        <v>1.8280245341344636E-11</v>
      </c>
      <c r="AM200" s="59">
        <f t="shared" si="193"/>
        <v>319.08696097729711</v>
      </c>
      <c r="AN200" s="59">
        <f ca="1">AVERAGE(OFFSET($AM$3,0,0,'Données projet'!$E$10+1,1))-AVERAGE(OFFSET($H$3,0,0,'Données projet'!$E$10+1,1))</f>
        <v>521.72266623522626</v>
      </c>
      <c r="AO200" s="59">
        <f t="shared" si="205"/>
        <v>298.49205684341825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42.958253547257662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42.958253547257662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-6.7984728957526396E-14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376.5647919688821</v>
      </c>
      <c r="BJ200" s="59">
        <f t="shared" si="206"/>
        <v>340.34037344565581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14.539958939436069</v>
      </c>
      <c r="BQ200" s="21">
        <f>EXP(-LN(2)/25)*BQ199+(1-EXP(-LN(2)/25))/(LN(2)/25)*Calculateur!BL200*Calculateur!BN200*VLOOKUP('Données projet'!$B$11,Paramètres!$A$1:$I$89,3,0)*0.475*44/12</f>
        <v>2.6951069977446873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17.235065937180757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1.7053025658242404E-13</v>
      </c>
      <c r="BZ200" s="13">
        <f>BY200*VLOOKUP('Données projet'!$B$12,Paramètres!$A$1:$I$89,3,0)*VLOOKUP('Données projet'!$B$12,Paramètres!$A$1:$I$89,5,0)</f>
        <v>1.72917680174578E-13</v>
      </c>
      <c r="CA200" s="13">
        <f t="shared" si="170"/>
        <v>2.4372886112056825E-12</v>
      </c>
      <c r="CB200" s="20">
        <f t="shared" si="171"/>
        <v>4.5461092908206203E-12</v>
      </c>
      <c r="CC200" s="59">
        <f t="shared" si="195"/>
        <v>319.08696097728335</v>
      </c>
      <c r="CD200" s="59">
        <f ca="1">AVERAGE(OFFSET($CC$3,0,0,'Données projet'!$E$12+1,1))-AVERAGE(OFFSET($H$3,0,0,'Données projet'!$E$12+1,1))</f>
        <v>473.09076714002885</v>
      </c>
      <c r="CE200" s="59">
        <f t="shared" si="207"/>
        <v>311.6454557566534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26.946900588413342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26.946900588413342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-2.8421709430404007E-14</v>
      </c>
      <c r="CU200" s="17">
        <f>CT200*VLOOKUP('Données projet'!$B$13,Paramètres!$A$1:$I$89,3,0)*VLOOKUP('Données projet'!$B$13,Paramètres!$A$1:$I$89,5,0)</f>
        <v>-2.4829205358400945E-14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379.66247682099424</v>
      </c>
      <c r="CZ200" s="59">
        <f t="shared" si="208"/>
        <v>342.92507939604081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13.362856236364577</v>
      </c>
      <c r="DG200" s="21">
        <f>EXP(-LN(2)/25)*DG199+(1-EXP(-LN(2)/25))/(LN(2)/25)*Calculateur!DB200*Calculateur!DD200*VLOOKUP('Données projet'!$B$13,Paramètres!$A$1:$I$89,3,0)*0.475*44/12</f>
        <v>2.8266519510614492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16.189508187426025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9.0949470177292824E-13</v>
      </c>
      <c r="DP200" s="17">
        <f>DO200*VLOOKUP('Données projet'!$B$14,Paramètres!$A$1:$I$89,3,0)*VLOOKUP('Données projet'!$B$14,Paramètres!$A$1:$I$89,5,0)</f>
        <v>8.6547515820711851E-13</v>
      </c>
      <c r="DQ200" s="13">
        <f t="shared" si="176"/>
        <v>1.0113703919726002E-11</v>
      </c>
      <c r="DR200" s="20">
        <f t="shared" si="177"/>
        <v>1.9122070227400184E-11</v>
      </c>
      <c r="DS200" s="59">
        <f t="shared" si="197"/>
        <v>319.08696097729791</v>
      </c>
      <c r="DT200" s="59">
        <f ca="1">AVERAGE(OFFSET($DS$3,0,0,'Données projet'!$E$14+1,1))-AVERAGE(OFFSET($H$3,0,0,'Données projet'!$E$14+1,1))</f>
        <v>544.64394576312384</v>
      </c>
      <c r="DU200" s="59">
        <f t="shared" si="209"/>
        <v>310.67291035925484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45.180232179012386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45.180232179012386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-5.4978954722173515E-14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276.72865583771579</v>
      </c>
      <c r="EP200" s="59">
        <f t="shared" si="210"/>
        <v>174.3587092851154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14.110633193022068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14.110633193022068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77.023716630166945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4.25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15.583333333333334</v>
      </c>
      <c r="H201" s="67">
        <f t="shared" si="192"/>
        <v>222.56666666666669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341.11752883785607</v>
      </c>
      <c r="T201" s="59">
        <f t="shared" si="204"/>
        <v>423.15445896616234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7.5267323317106305</v>
      </c>
      <c r="AA201" s="21">
        <f>EXP(-LN(2)/25)*AA200+(1-EXP(-LN(2)/25))/(LN(2)/25)*Calculateur!V201*Calculateur!X201*VLOOKUP('Données projet'!$B$9,Paramètres!$A$1:$I$89,3,0)*0.475*44/12</f>
        <v>1.587245231761633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9.1139775634722628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9.0949470177292824E-13</v>
      </c>
      <c r="AJ201" s="13">
        <f>AI201*VLOOKUP('Données projet'!$B$10,Paramètres!$A$1:$I$89,3,0)*VLOOKUP('Données projet'!$B$10,Paramètres!$A$1:$I$89,5,0)</f>
        <v>8.2291080616414541E-13</v>
      </c>
      <c r="AK201" s="13">
        <f t="shared" si="164"/>
        <v>9.6729238395839706E-12</v>
      </c>
      <c r="AL201" s="20">
        <f t="shared" si="165"/>
        <v>1.8280245341344636E-11</v>
      </c>
      <c r="AM201" s="59">
        <f t="shared" si="193"/>
        <v>319.12997832721663</v>
      </c>
      <c r="AN201" s="59">
        <f ca="1">AVERAGE(OFFSET($AM$3,0,0,'Données projet'!$E$10+1,1))-AVERAGE(OFFSET($H$3,0,0,'Données projet'!$E$10+1,1))</f>
        <v>521.72266623522626</v>
      </c>
      <c r="AO201" s="59">
        <f t="shared" si="205"/>
        <v>298.49205684341825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42.115868397143373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42.115868397143373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-6.7984728957526396E-14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376.5647919688821</v>
      </c>
      <c r="BJ201" s="59">
        <f t="shared" si="206"/>
        <v>340.34037344565581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14.254839213132989</v>
      </c>
      <c r="BQ201" s="21">
        <f>EXP(-LN(2)/25)*BQ200+(1-EXP(-LN(2)/25))/(LN(2)/25)*Calculateur!BL201*Calculateur!BN201*VLOOKUP('Données projet'!$B$11,Paramètres!$A$1:$I$89,3,0)*0.475*44/12</f>
        <v>2.6214091551618415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16.876248368294831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1.7053025658242404E-13</v>
      </c>
      <c r="BZ201" s="13">
        <f>BY201*VLOOKUP('Données projet'!$B$12,Paramètres!$A$1:$I$89,3,0)*VLOOKUP('Données projet'!$B$12,Paramètres!$A$1:$I$89,5,0)</f>
        <v>1.72917680174578E-13</v>
      </c>
      <c r="CA201" s="13">
        <f t="shared" si="170"/>
        <v>2.4372886112056825E-12</v>
      </c>
      <c r="CB201" s="20">
        <f t="shared" si="171"/>
        <v>4.5461092908206203E-12</v>
      </c>
      <c r="CC201" s="59">
        <f t="shared" si="195"/>
        <v>319.12997832720288</v>
      </c>
      <c r="CD201" s="59">
        <f ca="1">AVERAGE(OFFSET($CC$3,0,0,'Données projet'!$E$12+1,1))-AVERAGE(OFFSET($H$3,0,0,'Données projet'!$E$12+1,1))</f>
        <v>473.09076714002885</v>
      </c>
      <c r="CE201" s="59">
        <f t="shared" si="207"/>
        <v>311.6454557566534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26.418488303860997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26.418488303860997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-2.8421709430404007E-14</v>
      </c>
      <c r="CU201" s="17">
        <f>CT201*VLOOKUP('Données projet'!$B$13,Paramètres!$A$1:$I$89,3,0)*VLOOKUP('Données projet'!$B$13,Paramètres!$A$1:$I$89,5,0)</f>
        <v>-2.4829205358400945E-14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379.66247682099424</v>
      </c>
      <c r="CZ201" s="59">
        <f t="shared" si="208"/>
        <v>342.92507939604081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13.100818776106973</v>
      </c>
      <c r="DG201" s="21">
        <f>EXP(-LN(2)/25)*DG200+(1-EXP(-LN(2)/25))/(LN(2)/25)*Calculateur!DB201*Calculateur!DD201*VLOOKUP('Données projet'!$B$13,Paramètres!$A$1:$I$89,3,0)*0.475*44/12</f>
        <v>2.749357004812508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15.85017578091948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9.0949470177292824E-13</v>
      </c>
      <c r="DP201" s="17">
        <f>DO201*VLOOKUP('Données projet'!$B$14,Paramètres!$A$1:$I$89,3,0)*VLOOKUP('Données projet'!$B$14,Paramètres!$A$1:$I$89,5,0)</f>
        <v>8.6547515820711851E-13</v>
      </c>
      <c r="DQ201" s="13">
        <f t="shared" si="176"/>
        <v>1.0113703919726002E-11</v>
      </c>
      <c r="DR201" s="20">
        <f t="shared" si="177"/>
        <v>1.9122070227400184E-11</v>
      </c>
      <c r="DS201" s="59">
        <f t="shared" si="197"/>
        <v>319.12997832721743</v>
      </c>
      <c r="DT201" s="59">
        <f ca="1">AVERAGE(OFFSET($DS$3,0,0,'Données projet'!$E$14+1,1))-AVERAGE(OFFSET($H$3,0,0,'Données projet'!$E$14+1,1))</f>
        <v>544.64394576312384</v>
      </c>
      <c r="DU201" s="59">
        <f t="shared" si="209"/>
        <v>310.67291035925484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44.294275383202532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44.294275383202532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-5.4978954722173515E-14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276.72865583771579</v>
      </c>
      <c r="EP201" s="59">
        <f t="shared" si="210"/>
        <v>174.3587092851154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13.833932282743318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13.833932282743318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77.035448634690454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4.25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15.583333333333334</v>
      </c>
      <c r="H202" s="67">
        <f t="shared" si="192"/>
        <v>222.56666666666669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341.11752883785607</v>
      </c>
      <c r="T202" s="59">
        <f t="shared" si="204"/>
        <v>423.15445896616234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7.3791377015391983</v>
      </c>
      <c r="AA202" s="21">
        <f>EXP(-LN(2)/25)*AA201+(1-EXP(-LN(2)/25))/(LN(2)/25)*Calculateur!V202*Calculateur!X202*VLOOKUP('Données projet'!$B$9,Paramètres!$A$1:$I$89,3,0)*0.475*44/12</f>
        <v>1.5438419274295121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8.9229796289687098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9.0949470177292824E-13</v>
      </c>
      <c r="AJ202" s="13">
        <f>AI202*VLOOKUP('Données projet'!$B$10,Paramètres!$A$1:$I$89,3,0)*VLOOKUP('Données projet'!$B$10,Paramètres!$A$1:$I$89,5,0)</f>
        <v>8.2291080616414541E-13</v>
      </c>
      <c r="AK202" s="13">
        <f t="shared" si="164"/>
        <v>9.6729238395839706E-12</v>
      </c>
      <c r="AL202" s="20">
        <f t="shared" si="165"/>
        <v>1.8280245341344636E-11</v>
      </c>
      <c r="AM202" s="59">
        <f t="shared" si="193"/>
        <v>319.17224942228734</v>
      </c>
      <c r="AN202" s="59">
        <f ca="1">AVERAGE(OFFSET($AM$3,0,0,'Données projet'!$E$10+1,1))-AVERAGE(OFFSET($H$3,0,0,'Données projet'!$E$10+1,1))</f>
        <v>521.72266623522626</v>
      </c>
      <c r="AO202" s="59">
        <f t="shared" si="205"/>
        <v>298.49205684341825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41.290001906018624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41.290001906018624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-6.7984728957526396E-14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376.5647919688821</v>
      </c>
      <c r="BJ202" s="59">
        <f t="shared" si="206"/>
        <v>340.34037344565581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13.97531051075685</v>
      </c>
      <c r="BQ202" s="21">
        <f>EXP(-LN(2)/25)*BQ201+(1-EXP(-LN(2)/25))/(LN(2)/25)*Calculateur!BL202*Calculateur!BN202*VLOOKUP('Données projet'!$B$11,Paramètres!$A$1:$I$89,3,0)*0.475*44/12</f>
        <v>2.5497265839600249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16.525037094716875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1.7053025658242404E-13</v>
      </c>
      <c r="BZ202" s="13">
        <f>BY202*VLOOKUP('Données projet'!$B$12,Paramètres!$A$1:$I$89,3,0)*VLOOKUP('Données projet'!$B$12,Paramètres!$A$1:$I$89,5,0)</f>
        <v>1.72917680174578E-13</v>
      </c>
      <c r="CA202" s="13">
        <f t="shared" si="170"/>
        <v>2.4372886112056825E-12</v>
      </c>
      <c r="CB202" s="20">
        <f t="shared" si="171"/>
        <v>4.5461092908206203E-12</v>
      </c>
      <c r="CC202" s="59">
        <f t="shared" si="195"/>
        <v>319.17224942227358</v>
      </c>
      <c r="CD202" s="59">
        <f ca="1">AVERAGE(OFFSET($CC$3,0,0,'Données projet'!$E$12+1,1))-AVERAGE(OFFSET($H$3,0,0,'Données projet'!$E$12+1,1))</f>
        <v>473.09076714002885</v>
      </c>
      <c r="CE202" s="59">
        <f t="shared" si="207"/>
        <v>311.6454557566534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25.900437861909055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25.900437861909055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-2.8421709430404007E-14</v>
      </c>
      <c r="CU202" s="17">
        <f>CT202*VLOOKUP('Données projet'!$B$13,Paramètres!$A$1:$I$89,3,0)*VLOOKUP('Données projet'!$B$13,Paramètres!$A$1:$I$89,5,0)</f>
        <v>-2.4829205358400945E-14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379.66247682099424</v>
      </c>
      <c r="CZ202" s="59">
        <f t="shared" si="208"/>
        <v>342.92507939604081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12.843919710617952</v>
      </c>
      <c r="DG202" s="21">
        <f>EXP(-LN(2)/25)*DG201+(1-EXP(-LN(2)/25))/(LN(2)/25)*Calculateur!DB202*Calculateur!DD202*VLOOKUP('Données projet'!$B$13,Paramètres!$A$1:$I$89,3,0)*0.475*44/12</f>
        <v>2.6741756929335088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15.51809540355146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9.0949470177292824E-13</v>
      </c>
      <c r="DP202" s="17">
        <f>DO202*VLOOKUP('Données projet'!$B$14,Paramètres!$A$1:$I$89,3,0)*VLOOKUP('Données projet'!$B$14,Paramètres!$A$1:$I$89,5,0)</f>
        <v>8.6547515820711851E-13</v>
      </c>
      <c r="DQ202" s="13">
        <f t="shared" si="176"/>
        <v>1.0113703919726002E-11</v>
      </c>
      <c r="DR202" s="20">
        <f t="shared" si="177"/>
        <v>1.9122070227400184E-11</v>
      </c>
      <c r="DS202" s="59">
        <f t="shared" si="197"/>
        <v>319.17224942228813</v>
      </c>
      <c r="DT202" s="59">
        <f ca="1">AVERAGE(OFFSET($DS$3,0,0,'Données projet'!$E$14+1,1))-AVERAGE(OFFSET($H$3,0,0,'Données projet'!$E$14+1,1))</f>
        <v>544.64394576312384</v>
      </c>
      <c r="DU202" s="59">
        <f t="shared" si="209"/>
        <v>310.67291035925484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43.425691659778224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43.425691659778224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-5.4978954722173515E-14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276.72865583771579</v>
      </c>
      <c r="EP202" s="59">
        <f t="shared" si="210"/>
        <v>174.3587092851154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13.562657308544244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13.562657308544244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77.046977115164282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4.25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56.45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15.583333333333334</v>
      </c>
      <c r="H203" s="67">
        <f t="shared" si="192"/>
        <v>222.56666666666669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341.11752883785607</v>
      </c>
      <c r="T203" s="59">
        <f t="shared" si="204"/>
        <v>423.15445896616234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7.2344373120415923</v>
      </c>
      <c r="AA203" s="21">
        <f>EXP(-LN(2)/25)*AA202+(1-EXP(-LN(2)/25))/(LN(2)/25)*Calculateur!V203*Calculateur!X203*VLOOKUP('Données projet'!$B$9,Paramètres!$A$1:$I$89,3,0)*0.475*44/12</f>
        <v>1.5016254887368337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8.7360628007784253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9.0949470177292824E-13</v>
      </c>
      <c r="AJ203" s="13">
        <f>AI203*VLOOKUP('Données projet'!$B$10,Paramètres!$A$1:$I$89,3,0)*VLOOKUP('Données projet'!$B$10,Paramètres!$A$1:$I$89,5,0)</f>
        <v>8.2291080616414541E-13</v>
      </c>
      <c r="AK203" s="13">
        <f t="shared" si="164"/>
        <v>9.6729238395839706E-12</v>
      </c>
      <c r="AL203" s="20">
        <f t="shared" si="165"/>
        <v>1.8280245341344636E-11</v>
      </c>
      <c r="AM203" s="59">
        <f t="shared" si="193"/>
        <v>319.21378720836259</v>
      </c>
      <c r="AN203" s="59">
        <f ca="1">AVERAGE(OFFSET($AM$3,0,0,'Données projet'!$E$10+1,1))-AVERAGE(OFFSET($H$3,0,0,'Données projet'!$E$10+1,1))</f>
        <v>521.72266623522626</v>
      </c>
      <c r="AO203" s="59">
        <f t="shared" si="205"/>
        <v>298.49205684341825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40.480330153056009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40.480330153056009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-6.7984728957526396E-14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376.5647919688821</v>
      </c>
      <c r="BJ203" s="59">
        <f t="shared" si="206"/>
        <v>340.34037344565581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13.701263195738635</v>
      </c>
      <c r="BQ203" s="21">
        <f>EXP(-LN(2)/25)*BQ202+(1-EXP(-LN(2)/25))/(LN(2)/25)*Calculateur!BL203*Calculateur!BN203*VLOOKUP('Données projet'!$B$11,Paramètres!$A$1:$I$89,3,0)*0.475*44/12</f>
        <v>2.4800041764373444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16.181267372175981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1.7053025658242404E-13</v>
      </c>
      <c r="BZ203" s="13">
        <f>BY203*VLOOKUP('Données projet'!$B$12,Paramètres!$A$1:$I$89,3,0)*VLOOKUP('Données projet'!$B$12,Paramètres!$A$1:$I$89,5,0)</f>
        <v>1.72917680174578E-13</v>
      </c>
      <c r="CA203" s="13">
        <f t="shared" si="170"/>
        <v>2.4372886112056825E-12</v>
      </c>
      <c r="CB203" s="20">
        <f t="shared" si="171"/>
        <v>4.5461092908206203E-12</v>
      </c>
      <c r="CC203" s="59">
        <f t="shared" si="195"/>
        <v>319.21378720834883</v>
      </c>
      <c r="CD203" s="59">
        <f ca="1">AVERAGE(OFFSET($CC$3,0,0,'Données projet'!$E$12+1,1))-AVERAGE(OFFSET($H$3,0,0,'Données projet'!$E$12+1,1))</f>
        <v>473.09076714002885</v>
      </c>
      <c r="CE203" s="59">
        <f t="shared" si="207"/>
        <v>311.6454557566534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25.392546073144221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25.392546073144221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-2.8421709430404007E-14</v>
      </c>
      <c r="CU203" s="17">
        <f>CT203*VLOOKUP('Données projet'!$B$13,Paramètres!$A$1:$I$89,3,0)*VLOOKUP('Données projet'!$B$13,Paramètres!$A$1:$I$89,5,0)</f>
        <v>-2.4829205358400945E-14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379.66247682099424</v>
      </c>
      <c r="CZ203" s="59">
        <f t="shared" si="208"/>
        <v>342.92507939604081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12.592058279110212</v>
      </c>
      <c r="DG203" s="21">
        <f>EXP(-LN(2)/25)*DG202+(1-EXP(-LN(2)/25))/(LN(2)/25)*Calculateur!DB203*Calculateur!DD203*VLOOKUP('Données projet'!$B$13,Paramètres!$A$1:$I$89,3,0)*0.475*44/12</f>
        <v>2.6010502179814541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15.193108497091666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9.0949470177292824E-13</v>
      </c>
      <c r="DP203" s="17">
        <f>DO203*VLOOKUP('Données projet'!$B$14,Paramètres!$A$1:$I$89,3,0)*VLOOKUP('Données projet'!$B$14,Paramètres!$A$1:$I$89,5,0)</f>
        <v>8.6547515820711851E-13</v>
      </c>
      <c r="DQ203" s="13">
        <f t="shared" si="176"/>
        <v>1.0113703919726002E-11</v>
      </c>
      <c r="DR203" s="20">
        <f t="shared" si="177"/>
        <v>1.9122070227400184E-11</v>
      </c>
      <c r="DS203" s="59">
        <f t="shared" si="197"/>
        <v>319.21378720836339</v>
      </c>
      <c r="DT203" s="59">
        <f ca="1">AVERAGE(OFFSET($DS$3,0,0,'Données projet'!$E$14+1,1))-AVERAGE(OFFSET($H$3,0,0,'Données projet'!$E$14+1,1))</f>
        <v>544.64394576312384</v>
      </c>
      <c r="DU203" s="59">
        <f t="shared" si="209"/>
        <v>310.67291035925484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42.574140333386502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42.574140333386502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-5.4978954722173515E-14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276.72865583771579</v>
      </c>
      <c r="EP203" s="59">
        <f t="shared" si="210"/>
        <v>174.3587092851154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13.296701871127818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13.296701871127818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77.058305602275723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1.4811740527139541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1.3136742413466562</v>
      </c>
      <c r="BV205" s="82">
        <f>EXP(LN('Données projet'!B114)/'Données projet'!A114)</f>
        <v>1.2698531483493882</v>
      </c>
      <c r="CQ205" s="82">
        <f>EXP(LN('Données projet'!B140)/'Données projet'!A140)</f>
        <v>1.4003603312913959</v>
      </c>
      <c r="DL205" s="82">
        <f>EXP(LN('Données projet'!B166)/'Données projet'!A166)</f>
        <v>1.2392705892426346</v>
      </c>
      <c r="EG205" s="82">
        <f>EXP(LN('Données projet'!B192)/'Données projet'!A192)</f>
        <v>1.1644235083052243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307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308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307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309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309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308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307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308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30" sqref="L3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4.5254653465346539</v>
      </c>
      <c r="C6" s="147">
        <f ca="1">IF(OR('Données projet'!B9="",'Données projet'!C9="",'Données projet'!C9=0%),0,Calculateur!S3)</f>
        <v>341.11752883785607</v>
      </c>
      <c r="D6" s="147">
        <f>IF(OR('Données projet'!B9="",'Données projet'!C9="",'Données projet'!C9=0%),0,Calculateur!T3)</f>
        <v>423.15445896616234</v>
      </c>
      <c r="E6" s="147">
        <f ca="1">MIN(C6,D6)</f>
        <v>341.11752883785607</v>
      </c>
      <c r="F6" s="147">
        <f ca="1">E6*B6</f>
        <v>1543.7155558512532</v>
      </c>
      <c r="G6" s="147">
        <f ca="1">F6*(100%-'Données projet'!$C$24)*(100%-'Données projet'!$C$25)*(100%-'Données projet'!$C$26)*(100%-'Données projet'!$C$27)</f>
        <v>1319.8768002528216</v>
      </c>
      <c r="H6" s="148">
        <f>IF(OR('Données projet'!B9="",'Données projet'!C9="",'Données projet'!C9=0%),0,AVERAGE(Calculateur!$AC$3:$AC$33)*B6)</f>
        <v>17.429553187503686</v>
      </c>
      <c r="I6" s="149">
        <f>H6*(100%-'Données projet'!$C$24)*(100%-'Données projet'!$C$25)*(100%-'Données projet'!$C$26)*(100%-'Données projet'!$C$27)</f>
        <v>14.902267975315651</v>
      </c>
      <c r="J6" s="150">
        <f>IF(OR('Données projet'!B9="",'Données projet'!C9="",'Données projet'!C9=0%),0,SUM(Calculateur!$V$3:$V$33)*VLOOKUP('Données projet'!$B$9,Paramètres!$A$1:$I$89,9,0)*B6)</f>
        <v>388.46803402284849</v>
      </c>
      <c r="K6" s="151">
        <f>J6*(100%-'Données projet'!$C$24)*(100%-'Données projet'!$C$25)*(100%-'Données projet'!$C$26)*(100%-'Données projet'!$C$27)</f>
        <v>332.14016908953545</v>
      </c>
      <c r="L6" s="152">
        <f ca="1">G6+I6+K6</f>
        <v>1666.9192373176727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1.3307722772277228</v>
      </c>
      <c r="C7" s="147">
        <f ca="1">IF(OR('Données projet'!B10="",'Données projet'!C10="",'Données projet'!C10=0%),0,Calculateur!AN3)</f>
        <v>521.72266623522626</v>
      </c>
      <c r="D7" s="147">
        <f>IF(OR('Données projet'!B10="",'Données projet'!C10="",'Données projet'!C10=0%),0,Calculateur!AO3)</f>
        <v>298.49205684341825</v>
      </c>
      <c r="E7" s="147">
        <f t="shared" ref="E7:E15" ca="1" si="0">MIN(C7,D7)</f>
        <v>298.49205684341825</v>
      </c>
      <c r="F7" s="147">
        <f t="shared" ref="F7:F15" ca="1" si="1">E7*B7</f>
        <v>397.2249542199026</v>
      </c>
      <c r="G7" s="147">
        <f ca="1">F7*(100%-'Données projet'!$C$24)*(100%-'Données projet'!$C$25)*(100%-'Données projet'!$C$26)*(100%-'Données projet'!$C$27)</f>
        <v>339.62733585801675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20.626970297029704</v>
      </c>
      <c r="K7" s="151">
        <f>J7*(100%-'Données projet'!$C$24)*(100%-'Données projet'!$C$25)*(100%-'Données projet'!$C$26)*(100%-'Données projet'!$C$27)</f>
        <v>17.636059603960394</v>
      </c>
      <c r="L7" s="152">
        <f t="shared" ref="L7:L15" ca="1" si="2">G7+I7+K7</f>
        <v>357.26339546197715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laricio</v>
      </c>
      <c r="B8" s="154">
        <f>'Données projet'!D11</f>
        <v>1.292990099009901</v>
      </c>
      <c r="C8" s="147">
        <f ca="1">IF(OR('Données projet'!B11="",'Données projet'!C11="",'Données projet'!C11=0%),0,Calculateur!BI3)</f>
        <v>376.5647919688821</v>
      </c>
      <c r="D8" s="147">
        <f>IF(OR('Données projet'!B11="",'Données projet'!C11="",'Données projet'!C11=0%),0,Calculateur!BJ3)</f>
        <v>340.34037344565581</v>
      </c>
      <c r="E8" s="147">
        <f t="shared" ca="1" si="0"/>
        <v>340.34037344565581</v>
      </c>
      <c r="F8" s="147">
        <f t="shared" ca="1" si="1"/>
        <v>440.05673315856518</v>
      </c>
      <c r="G8" s="147">
        <f ca="1">F8*(100%-'Données projet'!$C$24)*(100%-'Données projet'!$C$25)*(100%-'Données projet'!$C$26)*(100%-'Données projet'!$C$27)</f>
        <v>376.24850685057322</v>
      </c>
      <c r="H8" s="155">
        <f>IF(OR('Données projet'!B11="",'Données projet'!C11="",'Données projet'!C11=0%),0,AVERAGE(Calculateur!$BS$3:$BS$33)*B8)</f>
        <v>3.7872968772851889</v>
      </c>
      <c r="I8" s="149">
        <f>H8*(100%-'Données projet'!$C$24)*(100%-'Données projet'!$C$25)*(100%-'Données projet'!$C$26)*(100%-'Données projet'!$C$27)</f>
        <v>3.2381388300788365</v>
      </c>
      <c r="J8" s="150">
        <f>IF(OR('Données projet'!B11="",'Données projet'!C11="",'Données projet'!C11=0%),0,SUM(Calculateur!$BL$3:$BL$33)*VLOOKUP('Données projet'!$B$11,Paramètres!$A$1:$I$89,9,0)*B8)</f>
        <v>79.407594479817206</v>
      </c>
      <c r="K8" s="151">
        <f>J8*(100%-'Données projet'!$C$24)*(100%-'Données projet'!$C$25)*(100%-'Données projet'!$C$26)*(100%-'Données projet'!$C$27)</f>
        <v>67.893493280243703</v>
      </c>
      <c r="L8" s="152">
        <f t="shared" ca="1" si="2"/>
        <v>447.38013896089575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pubescent</v>
      </c>
      <c r="B9" s="154">
        <f>'Données projet'!D12</f>
        <v>0.6045148514851485</v>
      </c>
      <c r="C9" s="147">
        <f ca="1">IF(OR('Données projet'!B12="",'Données projet'!C12="",'Données projet'!C12=0%),0,Calculateur!CD3)</f>
        <v>473.09076714002885</v>
      </c>
      <c r="D9" s="147">
        <f>IF(OR('Données projet'!B12="",'Données projet'!C12="",'Données projet'!C12=0%),0,Calculateur!CE3)</f>
        <v>311.6454557566534</v>
      </c>
      <c r="E9" s="147">
        <f t="shared" ca="1" si="0"/>
        <v>311.6454557566534</v>
      </c>
      <c r="F9" s="147">
        <f t="shared" ca="1" si="1"/>
        <v>188.39430640275475</v>
      </c>
      <c r="G9" s="147">
        <f ca="1">F9*(100%-'Données projet'!$C$24)*(100%-'Données projet'!$C$25)*(100%-'Données projet'!$C$26)*(100%-'Données projet'!$C$27)</f>
        <v>161.0771319743553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8.6143366336633669</v>
      </c>
      <c r="K9" s="151">
        <f>J9*(100%-'Données projet'!$C$24)*(100%-'Données projet'!$C$25)*(100%-'Données projet'!$C$26)*(100%-'Données projet'!$C$27)</f>
        <v>7.365257821782178</v>
      </c>
      <c r="L9" s="152">
        <f t="shared" ca="1" si="2"/>
        <v>168.44238979613746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rouge d'Amérique</v>
      </c>
      <c r="B10" s="154">
        <f>'Données projet'!D13</f>
        <v>0.32324752475247526</v>
      </c>
      <c r="C10" s="147">
        <f ca="1">IF(OR('Données projet'!B13="",'Données projet'!C13="",'Données projet'!C13=0%),0,Calculateur!CY3)</f>
        <v>379.66247682099424</v>
      </c>
      <c r="D10" s="147">
        <f>IF(OR('Données projet'!B13="",'Données projet'!C13="",'Données projet'!C13=0%),0,Calculateur!CZ3)</f>
        <v>342.92507939604081</v>
      </c>
      <c r="E10" s="147">
        <f t="shared" ca="1" si="0"/>
        <v>342.92507939604081</v>
      </c>
      <c r="F10" s="147">
        <f t="shared" ca="1" si="1"/>
        <v>110.84968309031625</v>
      </c>
      <c r="G10" s="147">
        <f ca="1">F10*(100%-'Données projet'!$C$24)*(100%-'Données projet'!$C$25)*(100%-'Données projet'!$C$26)*(100%-'Données projet'!$C$27)</f>
        <v>94.776479042220387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8.6468712871287128</v>
      </c>
      <c r="K10" s="151">
        <f>J10*(100%-'Données projet'!$C$24)*(100%-'Données projet'!$C$25)*(100%-'Données projet'!$C$26)*(100%-'Données projet'!$C$27)</f>
        <v>7.3930749504950493</v>
      </c>
      <c r="L10" s="152">
        <f t="shared" ca="1" si="2"/>
        <v>102.16955399271544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Charme</v>
      </c>
      <c r="B11" s="154">
        <f>'Données projet'!D14</f>
        <v>0.20150495049504952</v>
      </c>
      <c r="C11" s="147">
        <f ca="1">IF(OR('Données projet'!B14="",'Données projet'!C14="",'Données projet'!C14=0%),0,Calculateur!DT3)</f>
        <v>544.64394576312384</v>
      </c>
      <c r="D11" s="147">
        <f>IF(OR('Données projet'!B14="",'Données projet'!C14="",'Données projet'!C14=0%),0,Calculateur!DU3)</f>
        <v>310.67291035925484</v>
      </c>
      <c r="E11" s="147">
        <f t="shared" ca="1" si="0"/>
        <v>310.67291035925484</v>
      </c>
      <c r="F11" s="147">
        <f t="shared" ca="1" si="1"/>
        <v>62.602129422094606</v>
      </c>
      <c r="G11" s="147">
        <f ca="1">F11*(100%-'Données projet'!$C$24)*(100%-'Données projet'!$C$25)*(100%-'Données projet'!$C$26)*(100%-'Données projet'!$C$27)</f>
        <v>53.524820655890892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3.1233267326732674</v>
      </c>
      <c r="K11" s="151">
        <f>J11*(100%-'Données projet'!$C$24)*(100%-'Données projet'!$C$25)*(100%-'Données projet'!$C$26)*(100%-'Données projet'!$C$27)</f>
        <v>2.6704443564356435</v>
      </c>
      <c r="L11" s="152">
        <f t="shared" ca="1" si="2"/>
        <v>56.195265012326537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Alisier torminal</v>
      </c>
      <c r="B12" s="154">
        <f>'Données projet'!D15</f>
        <v>0.20150495049504952</v>
      </c>
      <c r="C12" s="147">
        <f ca="1">IF(OR('Données projet'!B15="",'Données projet'!C15="",'Données projet'!C15=0%),0,Calculateur!EO3)</f>
        <v>276.72865583771579</v>
      </c>
      <c r="D12" s="147">
        <f>IF(OR('Données projet'!B15="",'Données projet'!C15="",'Données projet'!C15=0%),0,Calculateur!EP3)</f>
        <v>174.3587092851154</v>
      </c>
      <c r="E12" s="147">
        <f t="shared" ca="1" si="0"/>
        <v>174.3587092851154</v>
      </c>
      <c r="F12" s="147">
        <f t="shared" ca="1" si="1"/>
        <v>35.134143082877905</v>
      </c>
      <c r="G12" s="147">
        <f ca="1">F12*(100%-'Données projet'!$C$24)*(100%-'Données projet'!$C$25)*(100%-'Données projet'!$C$26)*(100%-'Données projet'!$C$27)</f>
        <v>30.039692335860607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0.4533861386138614</v>
      </c>
      <c r="K12" s="151">
        <f>J12*(100%-'Données projet'!$C$24)*(100%-'Données projet'!$C$25)*(100%-'Données projet'!$C$26)*(100%-'Données projet'!$C$27)</f>
        <v>0.38764514851485149</v>
      </c>
      <c r="L12" s="152">
        <f t="shared" ca="1" si="2"/>
        <v>30.42733748437546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2777.9775052277646</v>
      </c>
      <c r="G16" s="166">
        <f t="shared" ca="1" si="3"/>
        <v>2375.1707669697385</v>
      </c>
      <c r="H16" s="167">
        <f t="shared" si="3"/>
        <v>21.216850064788876</v>
      </c>
      <c r="I16" s="167">
        <f t="shared" si="3"/>
        <v>18.140406805394488</v>
      </c>
      <c r="J16" s="168">
        <f t="shared" si="3"/>
        <v>509.34051959177452</v>
      </c>
      <c r="K16" s="168">
        <f t="shared" si="3"/>
        <v>435.48614425096736</v>
      </c>
      <c r="L16" s="169">
        <f t="shared" ca="1" si="3"/>
        <v>2828.7973180261006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310" t="s">
        <v>246</v>
      </c>
      <c r="G17" s="311"/>
      <c r="H17" s="311"/>
      <c r="I17" s="311"/>
      <c r="J17" s="311"/>
      <c r="K17" s="311"/>
      <c r="L17" s="311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300"/>
      <c r="G18" s="300"/>
      <c r="H18" s="300"/>
      <c r="I18" s="300"/>
      <c r="J18" s="300"/>
      <c r="K18" s="300"/>
      <c r="L18" s="30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3" zoomScale="80" zoomScaleNormal="80" workbookViewId="0">
      <selection activeCell="S46" sqref="S4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87" t="s">
        <v>315</v>
      </c>
      <c r="I4" s="287"/>
      <c r="K4" s="282" t="s">
        <v>253</v>
      </c>
      <c r="L4" s="283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71" t="s">
        <v>310</v>
      </c>
      <c r="S7" s="272"/>
      <c r="T7" s="272"/>
      <c r="U7" s="272"/>
      <c r="V7" s="27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1978.8204776784787</v>
      </c>
      <c r="U10" s="178">
        <f>'Données projet'!D9</f>
        <v>4.5254653465346539</v>
      </c>
      <c r="V10" s="177">
        <f>U10*T10</f>
        <v>8955.0834987471062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1557.1882952027868</v>
      </c>
      <c r="U11" s="178">
        <f>'Données projet'!D10</f>
        <v>1.3307722772277228</v>
      </c>
      <c r="V11" s="177">
        <f t="shared" ref="V11" si="0">U11*T11</f>
        <v>2072.2630136793682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1366.4569336756683</v>
      </c>
      <c r="U12" s="178">
        <f>'Données projet'!D11</f>
        <v>1.292990099009901</v>
      </c>
      <c r="V12" s="177">
        <f t="shared" ref="V12:V19" si="1">U12*T12</f>
        <v>1766.8152859660681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582.21706276564987</v>
      </c>
      <c r="U13" s="178">
        <f>'Données projet'!D12</f>
        <v>0.6045148514851485</v>
      </c>
      <c r="V13" s="177">
        <f t="shared" si="1"/>
        <v>351.95886122989623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1053.2292507920556</v>
      </c>
      <c r="U14" s="178">
        <f>'Données projet'!D13</f>
        <v>0.32324752475247526</v>
      </c>
      <c r="V14" s="177">
        <f t="shared" si="1"/>
        <v>340.45374831543597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8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Charme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569.17728911944027</v>
      </c>
      <c r="U15" s="178">
        <f>'Données projet'!D14</f>
        <v>0.20150495049504952</v>
      </c>
      <c r="V15" s="177">
        <f t="shared" si="1"/>
        <v>114.69204146691929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8"/>
      <c r="H16" s="190"/>
      <c r="I16" s="191"/>
      <c r="J16" s="202"/>
      <c r="K16" s="208"/>
      <c r="L16" s="282" t="s">
        <v>254</v>
      </c>
      <c r="M16" s="283"/>
      <c r="N16" s="2"/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232.85613504590074</v>
      </c>
      <c r="U16" s="178">
        <f>'Données projet'!D15</f>
        <v>0.20150495049504952</v>
      </c>
      <c r="V16" s="177">
        <f t="shared" si="1"/>
        <v>46.921663964892794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8"/>
      <c r="I17" s="195"/>
      <c r="J17" s="202"/>
      <c r="K17" s="208"/>
      <c r="L17" s="284" t="s">
        <v>289</v>
      </c>
      <c r="M17" s="285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8"/>
      <c r="J18" s="202"/>
      <c r="K18" s="208"/>
      <c r="L18" s="284" t="s">
        <v>255</v>
      </c>
      <c r="M18" s="285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8"/>
      <c r="H19" s="212" t="s">
        <v>178</v>
      </c>
      <c r="I19" s="212" t="s">
        <v>287</v>
      </c>
      <c r="J19" s="93"/>
      <c r="K19" s="173"/>
      <c r="L19" s="282" t="s">
        <v>288</v>
      </c>
      <c r="M19" s="283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8"/>
      <c r="H20" s="190">
        <v>1</v>
      </c>
      <c r="I20" s="191">
        <v>3476.3975724662905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1336.3464283227736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>
        <v>5</v>
      </c>
      <c r="D23" s="182">
        <f>B23*C23</f>
        <v>0</v>
      </c>
      <c r="E23" s="193"/>
      <c r="F23" s="230"/>
      <c r="H23" s="190">
        <v>4</v>
      </c>
      <c r="I23" s="191">
        <v>683.58490566037733</v>
      </c>
      <c r="K23" s="208"/>
      <c r="L23" s="286" t="s">
        <v>260</v>
      </c>
      <c r="M23" s="286"/>
      <c r="N23" s="286"/>
      <c r="O23" s="23"/>
      <c r="P23" s="23"/>
      <c r="Q23" s="234"/>
      <c r="R23" s="23"/>
      <c r="S23" s="36" t="s">
        <v>264</v>
      </c>
      <c r="T23" s="27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-39800.064460965245</v>
      </c>
      <c r="U23" s="276"/>
      <c r="V23" s="27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49.784615384615385</v>
      </c>
      <c r="C24" s="193">
        <v>5</v>
      </c>
      <c r="D24" s="182">
        <f t="shared" ref="D24:D42" si="2">B24*C24</f>
        <v>248.92307692307693</v>
      </c>
      <c r="E24" s="193"/>
      <c r="F24" s="233"/>
      <c r="H24" s="190">
        <v>5</v>
      </c>
      <c r="I24" s="2">
        <v>0</v>
      </c>
      <c r="K24" s="208"/>
      <c r="O24" s="23"/>
      <c r="P24" s="23"/>
      <c r="Q24" s="234"/>
      <c r="R24" s="23"/>
      <c r="S24" s="36" t="s">
        <v>261</v>
      </c>
      <c r="T24" s="27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77"/>
      <c r="V24" s="27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48.723076923076931</v>
      </c>
      <c r="C25" s="193">
        <v>5</v>
      </c>
      <c r="D25" s="182">
        <f t="shared" si="2"/>
        <v>243.61538461538464</v>
      </c>
      <c r="E25" s="193"/>
      <c r="F25" s="233"/>
      <c r="H25" s="190">
        <v>6</v>
      </c>
      <c r="I25" s="191">
        <v>480.95914270463459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78">
        <f ca="1">T23-T24</f>
        <v>-39800.064460965245</v>
      </c>
      <c r="U25" s="278"/>
      <c r="V25" s="27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26</v>
      </c>
      <c r="B26" s="181">
        <f>'Données projet'!D39</f>
        <v>46.984615384615381</v>
      </c>
      <c r="C26" s="193">
        <v>8.5</v>
      </c>
      <c r="D26" s="182">
        <f t="shared" si="2"/>
        <v>399.36923076923074</v>
      </c>
      <c r="E26" s="193"/>
      <c r="F26" s="233"/>
      <c r="G26" s="229"/>
      <c r="H26" s="190">
        <v>7</v>
      </c>
      <c r="I26" s="191">
        <v>20</v>
      </c>
      <c r="K26" s="208"/>
      <c r="L26" s="265" t="s">
        <v>258</v>
      </c>
      <c r="M26" s="266"/>
      <c r="N26" s="266"/>
      <c r="O26" s="266"/>
      <c r="P26" s="267"/>
      <c r="Q26" s="234"/>
      <c r="R26" s="23"/>
      <c r="S26" s="186" t="s">
        <v>265</v>
      </c>
      <c r="T26" s="275" t="str">
        <f ca="1">IF(T25&lt;0,"Votre projet est additionnel","Votre projet n'est pas additionnel")</f>
        <v>Votre projet est additionnel</v>
      </c>
      <c r="U26" s="275"/>
      <c r="V26" s="27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30</v>
      </c>
      <c r="B27" s="181">
        <f>'Données projet'!D40</f>
        <v>0</v>
      </c>
      <c r="C27" s="193">
        <v>8.5</v>
      </c>
      <c r="D27" s="182">
        <f t="shared" si="2"/>
        <v>0</v>
      </c>
      <c r="E27" s="193"/>
      <c r="F27" s="233"/>
      <c r="G27" s="229"/>
      <c r="H27" s="190">
        <v>8</v>
      </c>
      <c r="I27" s="191">
        <v>20</v>
      </c>
      <c r="K27" s="208"/>
      <c r="L27" s="268"/>
      <c r="M27" s="269"/>
      <c r="N27" s="269"/>
      <c r="O27" s="269"/>
      <c r="P27" s="270"/>
      <c r="Q27" s="234"/>
      <c r="R27" s="23"/>
      <c r="S27" s="274" t="s">
        <v>267</v>
      </c>
      <c r="T27" s="274"/>
      <c r="U27" s="274"/>
      <c r="V27" s="27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32</v>
      </c>
      <c r="B28" s="181">
        <f>'Données projet'!D41</f>
        <v>64.523076923076914</v>
      </c>
      <c r="C28" s="193">
        <v>12</v>
      </c>
      <c r="D28" s="182">
        <f t="shared" si="2"/>
        <v>774.27692307692291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36</v>
      </c>
      <c r="B29" s="181">
        <f>'Données projet'!D42</f>
        <v>0</v>
      </c>
      <c r="C29" s="193">
        <v>12</v>
      </c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40</v>
      </c>
      <c r="B30" s="181">
        <f>'Données projet'!D43</f>
        <v>92.66153846153847</v>
      </c>
      <c r="C30" s="193">
        <v>12</v>
      </c>
      <c r="D30" s="182">
        <f t="shared" si="2"/>
        <v>1111.9384615384615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0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45</v>
      </c>
      <c r="B31" s="181">
        <f>'Données projet'!D44</f>
        <v>0</v>
      </c>
      <c r="C31" s="193">
        <v>12</v>
      </c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52120.869126691265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48</v>
      </c>
      <c r="B32" s="181">
        <f>'Données projet'!D45</f>
        <v>83.969230769230762</v>
      </c>
      <c r="C32" s="193">
        <v>12</v>
      </c>
      <c r="D32" s="182">
        <f t="shared" si="2"/>
        <v>1007.6307692307691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54</v>
      </c>
      <c r="B33" s="181">
        <f>'Données projet'!D46</f>
        <v>0</v>
      </c>
      <c r="C33" s="193">
        <v>29.5</v>
      </c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53620.869126691265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56</v>
      </c>
      <c r="B34" s="181">
        <f>'Données projet'!D47</f>
        <v>446.47692307692301</v>
      </c>
      <c r="C34" s="193">
        <v>29.5</v>
      </c>
      <c r="D34" s="182">
        <f t="shared" si="2"/>
        <v>13171.06923076923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>
        <v>10</v>
      </c>
      <c r="D54" s="179">
        <f>B54*C54</f>
        <v>60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28</v>
      </c>
      <c r="C55" s="191">
        <v>10</v>
      </c>
      <c r="D55" s="179">
        <f t="shared" ref="D55:D73" si="4">B55*C55</f>
        <v>280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28</v>
      </c>
      <c r="C56" s="191">
        <v>10</v>
      </c>
      <c r="D56" s="179">
        <f t="shared" si="4"/>
        <v>280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28</v>
      </c>
      <c r="C57" s="191">
        <v>10</v>
      </c>
      <c r="D57" s="179">
        <f t="shared" si="4"/>
        <v>280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28</v>
      </c>
      <c r="C58" s="191">
        <v>10</v>
      </c>
      <c r="D58" s="179">
        <f t="shared" si="4"/>
        <v>280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28</v>
      </c>
      <c r="C59" s="191">
        <v>58</v>
      </c>
      <c r="D59" s="179">
        <f t="shared" si="4"/>
        <v>1624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28</v>
      </c>
      <c r="C60" s="191">
        <v>58</v>
      </c>
      <c r="D60" s="179">
        <f t="shared" si="4"/>
        <v>1624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28</v>
      </c>
      <c r="C61" s="191">
        <v>58</v>
      </c>
      <c r="D61" s="179">
        <f t="shared" si="4"/>
        <v>1624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28</v>
      </c>
      <c r="C62" s="191">
        <v>58</v>
      </c>
      <c r="D62" s="179">
        <f t="shared" si="4"/>
        <v>1624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28</v>
      </c>
      <c r="C63" s="191">
        <v>106</v>
      </c>
      <c r="D63" s="179">
        <f t="shared" si="4"/>
        <v>2968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70</v>
      </c>
      <c r="B64" s="181">
        <f>'Données projet'!D72</f>
        <v>28</v>
      </c>
      <c r="C64" s="191">
        <v>106</v>
      </c>
      <c r="D64" s="179">
        <f t="shared" si="4"/>
        <v>2968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75</v>
      </c>
      <c r="B65" s="181">
        <f>'Données projet'!D73</f>
        <v>28</v>
      </c>
      <c r="C65" s="191">
        <v>106</v>
      </c>
      <c r="D65" s="179">
        <f t="shared" si="4"/>
        <v>2968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80</v>
      </c>
      <c r="B66" s="181">
        <f>'Données projet'!D74</f>
        <v>28</v>
      </c>
      <c r="C66" s="191">
        <v>106</v>
      </c>
      <c r="D66" s="179">
        <f t="shared" si="4"/>
        <v>2968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90</v>
      </c>
      <c r="B67" s="181">
        <f>'Données projet'!D75</f>
        <v>28</v>
      </c>
      <c r="C67" s="191">
        <v>106</v>
      </c>
      <c r="D67" s="179">
        <f t="shared" si="4"/>
        <v>2968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100</v>
      </c>
      <c r="B68" s="181">
        <f>'Données projet'!D76</f>
        <v>27</v>
      </c>
      <c r="C68" s="191">
        <v>106</v>
      </c>
      <c r="D68" s="179">
        <f t="shared" si="4"/>
        <v>2862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110</v>
      </c>
      <c r="B69" s="181">
        <f>'Données projet'!D77</f>
        <v>25</v>
      </c>
      <c r="C69" s="191">
        <v>106</v>
      </c>
      <c r="D69" s="179">
        <f t="shared" si="4"/>
        <v>2650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120</v>
      </c>
      <c r="B70" s="181">
        <f>'Données projet'!D78</f>
        <v>23</v>
      </c>
      <c r="C70" s="191">
        <v>106</v>
      </c>
      <c r="D70" s="179">
        <f t="shared" si="4"/>
        <v>2438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130</v>
      </c>
      <c r="B71" s="181">
        <f>'Données projet'!D79</f>
        <v>22</v>
      </c>
      <c r="C71" s="191">
        <v>106</v>
      </c>
      <c r="D71" s="179">
        <f t="shared" si="4"/>
        <v>2332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140</v>
      </c>
      <c r="B72" s="181">
        <f>'Données projet'!D80</f>
        <v>20</v>
      </c>
      <c r="C72" s="191">
        <v>106</v>
      </c>
      <c r="D72" s="179">
        <f t="shared" si="4"/>
        <v>2120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150</v>
      </c>
      <c r="B73" s="181">
        <f>'Données projet'!D81</f>
        <v>316</v>
      </c>
      <c r="C73" s="191">
        <v>106</v>
      </c>
      <c r="D73" s="179">
        <f t="shared" si="4"/>
        <v>33496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0</v>
      </c>
      <c r="C85" s="191">
        <v>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19</v>
      </c>
      <c r="B86" s="181">
        <f>'Données projet'!D89</f>
        <v>46.53846153846154</v>
      </c>
      <c r="C86" s="191">
        <v>5</v>
      </c>
      <c r="D86" s="179">
        <f t="shared" ref="D86:D104" si="6">B86*C86</f>
        <v>232.69230769230771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24</v>
      </c>
      <c r="B87" s="181">
        <f>'Données projet'!D90</f>
        <v>40.41538461538461</v>
      </c>
      <c r="C87" s="191">
        <v>8.5</v>
      </c>
      <c r="D87" s="179">
        <f t="shared" si="6"/>
        <v>343.53076923076918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55.869230769230761</v>
      </c>
      <c r="C88" s="191">
        <v>8.5</v>
      </c>
      <c r="D88" s="179">
        <f t="shared" si="6"/>
        <v>474.88846153846146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37</v>
      </c>
      <c r="B89" s="181">
        <f>'Données projet'!D92</f>
        <v>43.623076923076923</v>
      </c>
      <c r="C89" s="191">
        <v>12</v>
      </c>
      <c r="D89" s="179">
        <f t="shared" si="6"/>
        <v>523.47692307692307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41</v>
      </c>
      <c r="B90" s="181">
        <f>'Données projet'!D93</f>
        <v>0</v>
      </c>
      <c r="C90" s="191">
        <v>12</v>
      </c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46</v>
      </c>
      <c r="B91" s="181">
        <f>'Données projet'!D94</f>
        <v>72.561538461538461</v>
      </c>
      <c r="C91" s="191">
        <v>12</v>
      </c>
      <c r="D91" s="179">
        <f t="shared" si="6"/>
        <v>870.73846153846148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0</v>
      </c>
      <c r="C92" s="191">
        <v>12</v>
      </c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56</v>
      </c>
      <c r="B93" s="181">
        <f>'Données projet'!D96</f>
        <v>60.092307692307699</v>
      </c>
      <c r="C93" s="191">
        <v>29.5</v>
      </c>
      <c r="D93" s="179">
        <f t="shared" si="6"/>
        <v>1772.7230769230771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59</v>
      </c>
      <c r="B94" s="181">
        <f>'Données projet'!D97</f>
        <v>0</v>
      </c>
      <c r="C94" s="191">
        <v>29.5</v>
      </c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66</v>
      </c>
      <c r="B95" s="181">
        <f>'Données projet'!D98</f>
        <v>68.146153846153851</v>
      </c>
      <c r="C95" s="191">
        <v>29.5</v>
      </c>
      <c r="D95" s="179">
        <f t="shared" si="6"/>
        <v>2010.3115384615387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68</v>
      </c>
      <c r="B96" s="181">
        <f>'Données projet'!D99</f>
        <v>0</v>
      </c>
      <c r="C96" s="191">
        <v>29.5</v>
      </c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76</v>
      </c>
      <c r="B97" s="181">
        <f>'Données projet'!D100</f>
        <v>520.22307692307686</v>
      </c>
      <c r="C97" s="191">
        <v>29.5</v>
      </c>
      <c r="D97" s="179">
        <f t="shared" si="6"/>
        <v>15346.580769230768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0</v>
      </c>
      <c r="C116" s="191">
        <v>5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18</v>
      </c>
      <c r="C117" s="191">
        <v>5</v>
      </c>
      <c r="D117" s="179">
        <f t="shared" ref="D117:D135" si="8">B117*C117</f>
        <v>90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18</v>
      </c>
      <c r="C118" s="191">
        <v>5</v>
      </c>
      <c r="D118" s="179">
        <f t="shared" si="8"/>
        <v>90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21</v>
      </c>
      <c r="C119" s="191">
        <v>5</v>
      </c>
      <c r="D119" s="179">
        <f t="shared" si="8"/>
        <v>105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23</v>
      </c>
      <c r="C120" s="191">
        <v>5</v>
      </c>
      <c r="D120" s="179">
        <f t="shared" si="8"/>
        <v>115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25</v>
      </c>
      <c r="C121" s="191">
        <v>5</v>
      </c>
      <c r="D121" s="179">
        <f t="shared" si="8"/>
        <v>125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26</v>
      </c>
      <c r="C122" s="191">
        <v>18.5</v>
      </c>
      <c r="D122" s="179">
        <f t="shared" si="8"/>
        <v>481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27</v>
      </c>
      <c r="C123" s="191">
        <v>18.5</v>
      </c>
      <c r="D123" s="179">
        <f t="shared" si="8"/>
        <v>499.5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27</v>
      </c>
      <c r="C124" s="191">
        <v>18.5</v>
      </c>
      <c r="D124" s="179">
        <f t="shared" si="8"/>
        <v>499.5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27</v>
      </c>
      <c r="C125" s="191">
        <v>18.5</v>
      </c>
      <c r="D125" s="179">
        <f t="shared" si="8"/>
        <v>499.5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27</v>
      </c>
      <c r="C126" s="191">
        <v>32</v>
      </c>
      <c r="D126" s="179">
        <f t="shared" si="8"/>
        <v>864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26</v>
      </c>
      <c r="C127" s="191">
        <v>32</v>
      </c>
      <c r="D127" s="179">
        <f t="shared" si="8"/>
        <v>832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75</v>
      </c>
      <c r="B128" s="181">
        <f>'Données projet'!D126</f>
        <v>26</v>
      </c>
      <c r="C128" s="191">
        <v>32</v>
      </c>
      <c r="D128" s="179">
        <f t="shared" si="8"/>
        <v>832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80</v>
      </c>
      <c r="B129" s="181">
        <f>'Données projet'!D127</f>
        <v>25</v>
      </c>
      <c r="C129" s="191">
        <v>32</v>
      </c>
      <c r="D129" s="179">
        <f t="shared" si="8"/>
        <v>800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85</v>
      </c>
      <c r="B130" s="181">
        <f>'Données projet'!D128</f>
        <v>24</v>
      </c>
      <c r="C130" s="191">
        <v>32</v>
      </c>
      <c r="D130" s="179">
        <f t="shared" si="8"/>
        <v>768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90</v>
      </c>
      <c r="B131" s="181">
        <f>'Données projet'!D129</f>
        <v>23</v>
      </c>
      <c r="C131" s="191">
        <v>32</v>
      </c>
      <c r="D131" s="179">
        <f t="shared" si="8"/>
        <v>736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100</v>
      </c>
      <c r="B132" s="181">
        <f>'Données projet'!D130</f>
        <v>21</v>
      </c>
      <c r="C132" s="191">
        <v>32</v>
      </c>
      <c r="D132" s="179">
        <f t="shared" si="8"/>
        <v>672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110</v>
      </c>
      <c r="B133" s="181">
        <f>'Données projet'!D131</f>
        <v>20</v>
      </c>
      <c r="C133" s="191">
        <v>32</v>
      </c>
      <c r="D133" s="179">
        <f t="shared" si="8"/>
        <v>640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120</v>
      </c>
      <c r="B134" s="181">
        <f>'Données projet'!D132</f>
        <v>318</v>
      </c>
      <c r="C134" s="191">
        <v>32</v>
      </c>
      <c r="D134" s="179">
        <f t="shared" si="8"/>
        <v>10176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0</v>
      </c>
      <c r="C147" s="191">
        <v>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0</v>
      </c>
      <c r="C148" s="191">
        <v>5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54</v>
      </c>
      <c r="C149" s="191">
        <v>5</v>
      </c>
      <c r="D149" s="182">
        <f t="shared" si="10"/>
        <v>270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5">
        <f>'Données projet'!D143</f>
        <v>26.000000000000004</v>
      </c>
      <c r="C150" s="191">
        <v>5</v>
      </c>
      <c r="D150" s="182">
        <f t="shared" si="10"/>
        <v>130.00000000000003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5">
        <f>'Données projet'!D144</f>
        <v>27</v>
      </c>
      <c r="C151" s="191">
        <v>5</v>
      </c>
      <c r="D151" s="182">
        <f t="shared" si="10"/>
        <v>135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5">
        <f>'Données projet'!D145</f>
        <v>27</v>
      </c>
      <c r="C152" s="191">
        <v>32</v>
      </c>
      <c r="D152" s="182">
        <f t="shared" si="10"/>
        <v>864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5">
        <f>'Données projet'!D146</f>
        <v>27</v>
      </c>
      <c r="C153" s="191">
        <v>32</v>
      </c>
      <c r="D153" s="182">
        <f t="shared" si="10"/>
        <v>864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5">
        <f>'Données projet'!D147</f>
        <v>26.000000000000004</v>
      </c>
      <c r="C154" s="191">
        <v>32</v>
      </c>
      <c r="D154" s="182">
        <f t="shared" si="10"/>
        <v>832.00000000000011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5">
        <f>'Données projet'!D148</f>
        <v>24</v>
      </c>
      <c r="C155" s="191">
        <v>32</v>
      </c>
      <c r="D155" s="182">
        <f t="shared" si="10"/>
        <v>768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5">
        <f>'Données projet'!D149</f>
        <v>23</v>
      </c>
      <c r="C156" s="191">
        <v>32</v>
      </c>
      <c r="D156" s="182">
        <f t="shared" si="10"/>
        <v>736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5">
        <f>'Données projet'!D150</f>
        <v>21</v>
      </c>
      <c r="C157" s="191">
        <v>32</v>
      </c>
      <c r="D157" s="182">
        <f t="shared" si="10"/>
        <v>672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5">
        <f>'Données projet'!D151</f>
        <v>20</v>
      </c>
      <c r="C158" s="191">
        <v>32</v>
      </c>
      <c r="D158" s="182">
        <f t="shared" si="10"/>
        <v>640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5">
        <f>'Données projet'!D152</f>
        <v>18</v>
      </c>
      <c r="C159" s="191">
        <v>32</v>
      </c>
      <c r="D159" s="182">
        <f t="shared" si="10"/>
        <v>576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5">
        <f>'Données projet'!D153</f>
        <v>16</v>
      </c>
      <c r="C160" s="191">
        <v>32</v>
      </c>
      <c r="D160" s="182">
        <f t="shared" si="10"/>
        <v>512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5">
        <f>'Données projet'!D154</f>
        <v>15</v>
      </c>
      <c r="C161" s="191">
        <v>32</v>
      </c>
      <c r="D161" s="182">
        <f t="shared" si="10"/>
        <v>480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85</v>
      </c>
      <c r="B162" s="175">
        <f>'Données projet'!D155</f>
        <v>14</v>
      </c>
      <c r="C162" s="191">
        <v>32</v>
      </c>
      <c r="D162" s="182">
        <f t="shared" si="10"/>
        <v>448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90</v>
      </c>
      <c r="B163" s="175">
        <f>'Données projet'!D156</f>
        <v>12</v>
      </c>
      <c r="C163" s="191">
        <v>32</v>
      </c>
      <c r="D163" s="182">
        <f t="shared" si="10"/>
        <v>384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95</v>
      </c>
      <c r="B164" s="175">
        <f>'Données projet'!D157</f>
        <v>12</v>
      </c>
      <c r="C164" s="191">
        <v>32</v>
      </c>
      <c r="D164" s="182">
        <f t="shared" si="10"/>
        <v>384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100</v>
      </c>
      <c r="B165" s="175">
        <f>'Données projet'!D158</f>
        <v>243</v>
      </c>
      <c r="C165" s="191">
        <v>32</v>
      </c>
      <c r="D165" s="182">
        <f t="shared" si="10"/>
        <v>7776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Charme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20</v>
      </c>
      <c r="B178" s="181">
        <f>'Données projet'!D166</f>
        <v>6</v>
      </c>
      <c r="C178" s="193">
        <v>5</v>
      </c>
      <c r="D178" s="179">
        <f>B178*C178</f>
        <v>30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25</v>
      </c>
      <c r="B179" s="181">
        <f>'Données projet'!D167</f>
        <v>28</v>
      </c>
      <c r="C179" s="193">
        <v>5</v>
      </c>
      <c r="D179" s="179">
        <f t="shared" ref="D179:D197" si="11">B179*C179</f>
        <v>140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30</v>
      </c>
      <c r="B180" s="181">
        <f>'Données projet'!D168</f>
        <v>28</v>
      </c>
      <c r="C180" s="193">
        <v>5</v>
      </c>
      <c r="D180" s="179">
        <f t="shared" si="11"/>
        <v>140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35</v>
      </c>
      <c r="B181" s="181">
        <f>'Données projet'!D169</f>
        <v>28</v>
      </c>
      <c r="C181" s="193">
        <v>5</v>
      </c>
      <c r="D181" s="179">
        <f t="shared" si="11"/>
        <v>140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40</v>
      </c>
      <c r="B182" s="181">
        <f>'Données projet'!D170</f>
        <v>28</v>
      </c>
      <c r="C182" s="193">
        <v>5</v>
      </c>
      <c r="D182" s="179">
        <f t="shared" si="11"/>
        <v>140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45</v>
      </c>
      <c r="B183" s="181">
        <f>'Données projet'!D171</f>
        <v>28</v>
      </c>
      <c r="C183" s="193">
        <v>18.5</v>
      </c>
      <c r="D183" s="179">
        <f t="shared" si="11"/>
        <v>518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50</v>
      </c>
      <c r="B184" s="181">
        <f>'Données projet'!D172</f>
        <v>28</v>
      </c>
      <c r="C184" s="193">
        <v>18.5</v>
      </c>
      <c r="D184" s="179">
        <f t="shared" si="11"/>
        <v>518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55</v>
      </c>
      <c r="B185" s="181">
        <f>'Données projet'!D173</f>
        <v>28</v>
      </c>
      <c r="C185" s="193">
        <v>18.5</v>
      </c>
      <c r="D185" s="179">
        <f t="shared" si="11"/>
        <v>518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60</v>
      </c>
      <c r="B186" s="181">
        <f>'Données projet'!D174</f>
        <v>28</v>
      </c>
      <c r="C186" s="193">
        <v>18.5</v>
      </c>
      <c r="D186" s="179">
        <f t="shared" si="11"/>
        <v>518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65</v>
      </c>
      <c r="B187" s="181">
        <f>'Données projet'!D175</f>
        <v>28</v>
      </c>
      <c r="C187" s="193">
        <v>32</v>
      </c>
      <c r="D187" s="179">
        <f t="shared" si="11"/>
        <v>896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70</v>
      </c>
      <c r="B188" s="181">
        <f>'Données projet'!D176</f>
        <v>28</v>
      </c>
      <c r="C188" s="193">
        <v>32</v>
      </c>
      <c r="D188" s="179">
        <f t="shared" si="11"/>
        <v>896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75</v>
      </c>
      <c r="B189" s="181">
        <f>'Données projet'!D177</f>
        <v>28</v>
      </c>
      <c r="C189" s="193">
        <v>32</v>
      </c>
      <c r="D189" s="179">
        <f t="shared" si="11"/>
        <v>896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80</v>
      </c>
      <c r="B190" s="181">
        <f>'Données projet'!D178</f>
        <v>28</v>
      </c>
      <c r="C190" s="193">
        <v>32</v>
      </c>
      <c r="D190" s="179">
        <f t="shared" si="11"/>
        <v>896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90</v>
      </c>
      <c r="B191" s="181">
        <f>'Données projet'!D179</f>
        <v>28</v>
      </c>
      <c r="C191" s="193">
        <v>32</v>
      </c>
      <c r="D191" s="179">
        <f t="shared" si="11"/>
        <v>896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100</v>
      </c>
      <c r="B192" s="181">
        <f>'Données projet'!D180</f>
        <v>27</v>
      </c>
      <c r="C192" s="193">
        <v>32</v>
      </c>
      <c r="D192" s="179">
        <f t="shared" si="11"/>
        <v>864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110</v>
      </c>
      <c r="B193" s="181">
        <f>'Données projet'!D181</f>
        <v>25</v>
      </c>
      <c r="C193" s="193">
        <v>32</v>
      </c>
      <c r="D193" s="179">
        <f t="shared" si="11"/>
        <v>800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120</v>
      </c>
      <c r="B194" s="181">
        <f>'Données projet'!D182</f>
        <v>23</v>
      </c>
      <c r="C194" s="193">
        <v>32</v>
      </c>
      <c r="D194" s="179">
        <f t="shared" si="11"/>
        <v>736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130</v>
      </c>
      <c r="B195" s="181">
        <f>'Données projet'!D183</f>
        <v>22</v>
      </c>
      <c r="C195" s="193">
        <v>32</v>
      </c>
      <c r="D195" s="179">
        <f t="shared" si="11"/>
        <v>704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140</v>
      </c>
      <c r="B196" s="181">
        <f>'Données projet'!D184</f>
        <v>20</v>
      </c>
      <c r="C196" s="193">
        <v>32</v>
      </c>
      <c r="D196" s="179">
        <f t="shared" si="11"/>
        <v>640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150</v>
      </c>
      <c r="B197" s="181">
        <f>'Données projet'!D185</f>
        <v>316</v>
      </c>
      <c r="C197" s="193">
        <v>32</v>
      </c>
      <c r="D197" s="179">
        <f t="shared" si="11"/>
        <v>10112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20</v>
      </c>
      <c r="B209" s="181">
        <f>'Données projet'!D192</f>
        <v>0</v>
      </c>
      <c r="C209" s="193">
        <v>5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25</v>
      </c>
      <c r="B210" s="181">
        <f>'Données projet'!D193</f>
        <v>0</v>
      </c>
      <c r="C210" s="193">
        <v>5</v>
      </c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30</v>
      </c>
      <c r="B211" s="181">
        <f>'Données projet'!D194</f>
        <v>9</v>
      </c>
      <c r="C211" s="193">
        <v>5</v>
      </c>
      <c r="D211" s="179">
        <f t="shared" si="12"/>
        <v>45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35</v>
      </c>
      <c r="B212" s="181">
        <f>'Données projet'!D195</f>
        <v>8</v>
      </c>
      <c r="C212" s="193">
        <v>5</v>
      </c>
      <c r="D212" s="179">
        <f t="shared" si="12"/>
        <v>40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40</v>
      </c>
      <c r="B213" s="181">
        <f>'Données projet'!D196</f>
        <v>9</v>
      </c>
      <c r="C213" s="193">
        <v>5</v>
      </c>
      <c r="D213" s="179">
        <f t="shared" si="12"/>
        <v>45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45</v>
      </c>
      <c r="B214" s="181">
        <f>'Données projet'!D197</f>
        <v>9</v>
      </c>
      <c r="C214" s="193">
        <v>21.5</v>
      </c>
      <c r="D214" s="179">
        <f t="shared" si="12"/>
        <v>193.5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50</v>
      </c>
      <c r="B215" s="181">
        <f>'Données projet'!D198</f>
        <v>9</v>
      </c>
      <c r="C215" s="193">
        <v>21.5</v>
      </c>
      <c r="D215" s="179">
        <f t="shared" si="12"/>
        <v>193.5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55</v>
      </c>
      <c r="B216" s="181">
        <f>'Données projet'!D199</f>
        <v>10</v>
      </c>
      <c r="C216" s="193">
        <v>21.5</v>
      </c>
      <c r="D216" s="179">
        <f t="shared" si="12"/>
        <v>215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60</v>
      </c>
      <c r="B217" s="181">
        <f>'Données projet'!D200</f>
        <v>10</v>
      </c>
      <c r="C217" s="193">
        <v>21.5</v>
      </c>
      <c r="D217" s="179">
        <f t="shared" si="12"/>
        <v>215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65</v>
      </c>
      <c r="B218" s="181">
        <f>'Données projet'!D201</f>
        <v>10</v>
      </c>
      <c r="C218" s="193">
        <v>38</v>
      </c>
      <c r="D218" s="179">
        <f t="shared" si="12"/>
        <v>380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70</v>
      </c>
      <c r="B219" s="181">
        <f>'Données projet'!D202</f>
        <v>10</v>
      </c>
      <c r="C219" s="193">
        <v>38</v>
      </c>
      <c r="D219" s="179">
        <f t="shared" si="12"/>
        <v>380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75</v>
      </c>
      <c r="B220" s="181">
        <f>'Données projet'!D203</f>
        <v>10</v>
      </c>
      <c r="C220" s="193">
        <v>38</v>
      </c>
      <c r="D220" s="179">
        <f t="shared" si="12"/>
        <v>380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80</v>
      </c>
      <c r="B221" s="181">
        <f>'Données projet'!D204</f>
        <v>9</v>
      </c>
      <c r="C221" s="193">
        <v>38</v>
      </c>
      <c r="D221" s="179">
        <f t="shared" si="12"/>
        <v>342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85</v>
      </c>
      <c r="B222" s="181">
        <f>'Données projet'!D205</f>
        <v>9</v>
      </c>
      <c r="C222" s="193">
        <v>38</v>
      </c>
      <c r="D222" s="179">
        <f t="shared" si="12"/>
        <v>342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90</v>
      </c>
      <c r="B223" s="181">
        <f>'Données projet'!D206</f>
        <v>9</v>
      </c>
      <c r="C223" s="193">
        <v>38</v>
      </c>
      <c r="D223" s="179">
        <f t="shared" si="12"/>
        <v>342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100</v>
      </c>
      <c r="B224" s="181">
        <f>'Données projet'!D207</f>
        <v>9</v>
      </c>
      <c r="C224" s="193">
        <v>38</v>
      </c>
      <c r="D224" s="179">
        <f t="shared" si="12"/>
        <v>342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110</v>
      </c>
      <c r="B225" s="181">
        <f>'Données projet'!D208</f>
        <v>10</v>
      </c>
      <c r="C225" s="193">
        <v>38</v>
      </c>
      <c r="D225" s="179">
        <f t="shared" si="12"/>
        <v>380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120</v>
      </c>
      <c r="B226" s="181">
        <f>'Données projet'!D209</f>
        <v>191</v>
      </c>
      <c r="C226" s="193">
        <v>38</v>
      </c>
      <c r="D226" s="179">
        <f t="shared" si="12"/>
        <v>7258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1197388f83ee5b5d199aaa701c4fb573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b517ef330833454aeaa2e766103329f1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ABADF0-4551-4E35-B6FE-7152F394A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2026-03-20T14:02:26Z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