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twoman\OneDrive\Documents\Sylvair\Dossier Bas Carbone\Pour envoi\"/>
    </mc:Choice>
  </mc:AlternateContent>
  <xr:revisionPtr revIDLastSave="0" documentId="8_{05BD42BC-83D4-4FE3-BF0E-FC8D6821C92B}" xr6:coauthVersionLast="45" xr6:coauthVersionMax="45" xr10:uidLastSave="{00000000-0000-0000-0000-000000000000}"/>
  <bookViews>
    <workbookView xWindow="-110" yWindow="-110" windowWidth="21820" windowHeight="14020" activeTab="2" xr2:uid="{A288AD3A-6710-454D-B796-7F3BAC56AB4F}"/>
  </bookViews>
  <sheets>
    <sheet name="Document" sheetId="2" r:id="rId1"/>
    <sheet name="VAN" sheetId="3" r:id="rId2"/>
    <sheet name="Calcul 1 pour 1 ha" sheetId="4" r:id="rId3"/>
    <sheet name="Calcul parcelle " sheetId="1" r:id="rId4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9" i="1" l="1"/>
  <c r="B27" i="4"/>
  <c r="B1" i="4"/>
  <c r="L25" i="4" l="1"/>
  <c r="L26" i="4"/>
  <c r="L27" i="4"/>
  <c r="L28" i="4"/>
  <c r="L29" i="4"/>
  <c r="L30" i="4"/>
  <c r="L31" i="4"/>
  <c r="L32" i="4"/>
  <c r="L33" i="4"/>
  <c r="L20" i="4"/>
  <c r="L21" i="4"/>
  <c r="L22" i="4"/>
  <c r="L23" i="4"/>
  <c r="L5" i="4"/>
  <c r="L6" i="4"/>
  <c r="L7" i="4"/>
  <c r="L8" i="4"/>
  <c r="L9" i="4"/>
  <c r="L10" i="4"/>
  <c r="L11" i="4"/>
  <c r="L12" i="4"/>
  <c r="L13" i="4"/>
  <c r="L14" i="4"/>
  <c r="L15" i="4"/>
  <c r="L16" i="4"/>
  <c r="L17" i="4"/>
  <c r="L18" i="4"/>
  <c r="K69" i="4"/>
  <c r="N69" i="4"/>
  <c r="J69" i="4" s="1"/>
  <c r="O41" i="4" l="1"/>
  <c r="O42" i="4" s="1"/>
  <c r="O43" i="4" s="1"/>
  <c r="O44" i="4" s="1"/>
  <c r="O45" i="4" s="1"/>
  <c r="O46" i="4" s="1"/>
  <c r="O47" i="4" s="1"/>
  <c r="O48" i="4" s="1"/>
  <c r="O49" i="4" s="1"/>
  <c r="O50" i="4" s="1"/>
  <c r="O51" i="4" s="1"/>
  <c r="O52" i="4" s="1"/>
  <c r="O53" i="4" s="1"/>
  <c r="O54" i="4" s="1"/>
  <c r="O55" i="4" s="1"/>
  <c r="O56" i="4" s="1"/>
  <c r="O57" i="4" s="1"/>
  <c r="O58" i="4" s="1"/>
  <c r="O59" i="4" s="1"/>
  <c r="O60" i="4" s="1"/>
  <c r="O61" i="4" s="1"/>
  <c r="O62" i="4" s="1"/>
  <c r="O63" i="4" s="1"/>
  <c r="O64" i="4" s="1"/>
  <c r="O65" i="4" s="1"/>
  <c r="O66" i="4" s="1"/>
  <c r="O67" i="4" s="1"/>
  <c r="O68" i="4" s="1"/>
  <c r="O69" i="4" s="1"/>
  <c r="O70" i="4" s="1"/>
  <c r="O7" i="4"/>
  <c r="O8" i="4" s="1"/>
  <c r="O9" i="4" s="1"/>
  <c r="O10" i="4" s="1"/>
  <c r="O11" i="4" s="1"/>
  <c r="O12" i="4" s="1"/>
  <c r="O13" i="4" s="1"/>
  <c r="O14" i="4" s="1"/>
  <c r="O15" i="4" s="1"/>
  <c r="O16" i="4" s="1"/>
  <c r="O17" i="4" s="1"/>
  <c r="O18" i="4" s="1"/>
  <c r="O19" i="4" s="1"/>
  <c r="O20" i="4" s="1"/>
  <c r="O21" i="4" s="1"/>
  <c r="O22" i="4" s="1"/>
  <c r="O23" i="4" s="1"/>
  <c r="O24" i="4" s="1"/>
  <c r="O25" i="4" s="1"/>
  <c r="O26" i="4" s="1"/>
  <c r="O27" i="4" s="1"/>
  <c r="O28" i="4" s="1"/>
  <c r="O29" i="4" s="1"/>
  <c r="O30" i="4" s="1"/>
  <c r="O31" i="4" s="1"/>
  <c r="O32" i="4" s="1"/>
  <c r="O33" i="4" s="1"/>
  <c r="O34" i="4" s="1"/>
  <c r="O6" i="4"/>
  <c r="O5" i="4"/>
  <c r="K42" i="4"/>
  <c r="L42" i="4" s="1"/>
  <c r="N42" i="4"/>
  <c r="J42" i="4" s="1"/>
  <c r="K43" i="4"/>
  <c r="L43" i="4" s="1"/>
  <c r="N43" i="4"/>
  <c r="J43" i="4" s="1"/>
  <c r="K44" i="4"/>
  <c r="L44" i="4" s="1"/>
  <c r="N44" i="4"/>
  <c r="J44" i="4" s="1"/>
  <c r="K45" i="4"/>
  <c r="L45" i="4" s="1"/>
  <c r="N45" i="4"/>
  <c r="J45" i="4" s="1"/>
  <c r="K46" i="4"/>
  <c r="L46" i="4" s="1"/>
  <c r="N46" i="4"/>
  <c r="J46" i="4" s="1"/>
  <c r="K47" i="4"/>
  <c r="L47" i="4" s="1"/>
  <c r="N47" i="4"/>
  <c r="J47" i="4" s="1"/>
  <c r="K48" i="4"/>
  <c r="L48" i="4" s="1"/>
  <c r="N48" i="4"/>
  <c r="J48" i="4" s="1"/>
  <c r="K49" i="4"/>
  <c r="L49" i="4" s="1"/>
  <c r="N49" i="4"/>
  <c r="J49" i="4" s="1"/>
  <c r="K50" i="4"/>
  <c r="L50" i="4" s="1"/>
  <c r="N50" i="4"/>
  <c r="J50" i="4" s="1"/>
  <c r="K51" i="4"/>
  <c r="L51" i="4" s="1"/>
  <c r="N51" i="4"/>
  <c r="J51" i="4" s="1"/>
  <c r="K52" i="4"/>
  <c r="L52" i="4" s="1"/>
  <c r="N52" i="4"/>
  <c r="J52" i="4" s="1"/>
  <c r="K53" i="4"/>
  <c r="L53" i="4" s="1"/>
  <c r="N53" i="4"/>
  <c r="J53" i="4" s="1"/>
  <c r="K54" i="4"/>
  <c r="L54" i="4" s="1"/>
  <c r="N54" i="4"/>
  <c r="J54" i="4" s="1"/>
  <c r="K55" i="4"/>
  <c r="L55" i="4" s="1"/>
  <c r="N55" i="4"/>
  <c r="J55" i="4" s="1"/>
  <c r="K56" i="4"/>
  <c r="L56" i="4" s="1"/>
  <c r="N56" i="4"/>
  <c r="J56" i="4" s="1"/>
  <c r="K57" i="4"/>
  <c r="L57" i="4" s="1"/>
  <c r="N57" i="4"/>
  <c r="J57" i="4" s="1"/>
  <c r="K58" i="4"/>
  <c r="L58" i="4" s="1"/>
  <c r="N58" i="4"/>
  <c r="J58" i="4" s="1"/>
  <c r="K59" i="4"/>
  <c r="L59" i="4" s="1"/>
  <c r="N59" i="4"/>
  <c r="J59" i="4" s="1"/>
  <c r="K60" i="4"/>
  <c r="L60" i="4" s="1"/>
  <c r="N60" i="4"/>
  <c r="J60" i="4" s="1"/>
  <c r="K61" i="4"/>
  <c r="L61" i="4" s="1"/>
  <c r="N61" i="4"/>
  <c r="J61" i="4" s="1"/>
  <c r="K62" i="4"/>
  <c r="L62" i="4" s="1"/>
  <c r="N62" i="4"/>
  <c r="J62" i="4" s="1"/>
  <c r="K63" i="4"/>
  <c r="L63" i="4" s="1"/>
  <c r="N63" i="4"/>
  <c r="J63" i="4" s="1"/>
  <c r="K64" i="4"/>
  <c r="L64" i="4" s="1"/>
  <c r="N64" i="4"/>
  <c r="J64" i="4" s="1"/>
  <c r="K65" i="4"/>
  <c r="L65" i="4" s="1"/>
  <c r="N65" i="4"/>
  <c r="J65" i="4" s="1"/>
  <c r="K66" i="4"/>
  <c r="L66" i="4" s="1"/>
  <c r="N66" i="4"/>
  <c r="J66" i="4" s="1"/>
  <c r="K67" i="4"/>
  <c r="L67" i="4" s="1"/>
  <c r="N67" i="4"/>
  <c r="J67" i="4" s="1"/>
  <c r="K68" i="4"/>
  <c r="L68" i="4" s="1"/>
  <c r="N68" i="4"/>
  <c r="J68" i="4" s="1"/>
  <c r="L69" i="4"/>
  <c r="K70" i="4"/>
  <c r="L70" i="4" s="1"/>
  <c r="N70" i="4"/>
  <c r="J5" i="4"/>
  <c r="G25" i="4"/>
  <c r="G26" i="4" s="1"/>
  <c r="G27" i="4" s="1"/>
  <c r="G28" i="4" s="1"/>
  <c r="G29" i="4" s="1"/>
  <c r="G30" i="4" s="1"/>
  <c r="G31" i="4" s="1"/>
  <c r="G32" i="4" s="1"/>
  <c r="G33" i="4" s="1"/>
  <c r="G21" i="4"/>
  <c r="G22" i="4" s="1"/>
  <c r="G23" i="4" s="1"/>
  <c r="G20" i="4"/>
  <c r="G7" i="4"/>
  <c r="G8" i="4" s="1"/>
  <c r="G9" i="4" s="1"/>
  <c r="G10" i="4" s="1"/>
  <c r="G11" i="4" s="1"/>
  <c r="G12" i="4" s="1"/>
  <c r="G13" i="4" s="1"/>
  <c r="G14" i="4" s="1"/>
  <c r="G15" i="4" s="1"/>
  <c r="G16" i="4" s="1"/>
  <c r="G17" i="4" s="1"/>
  <c r="G18" i="4" s="1"/>
  <c r="G6" i="4"/>
  <c r="J70" i="4" l="1"/>
  <c r="H37" i="3"/>
  <c r="J3" i="3" l="1"/>
  <c r="K3" i="3"/>
  <c r="J4" i="3"/>
  <c r="K4" i="3"/>
  <c r="J5" i="3"/>
  <c r="K5" i="3"/>
  <c r="J6" i="3"/>
  <c r="K6" i="3"/>
  <c r="J7" i="3"/>
  <c r="K7" i="3"/>
  <c r="J8" i="3"/>
  <c r="K8" i="3"/>
  <c r="J9" i="3"/>
  <c r="K9" i="3"/>
  <c r="J10" i="3"/>
  <c r="K10" i="3"/>
  <c r="J11" i="3"/>
  <c r="K11" i="3"/>
  <c r="J12" i="3"/>
  <c r="K12" i="3"/>
  <c r="J13" i="3"/>
  <c r="K13" i="3"/>
  <c r="J14" i="3"/>
  <c r="K14" i="3"/>
  <c r="J15" i="3"/>
  <c r="K15" i="3"/>
  <c r="J16" i="3"/>
  <c r="K16" i="3"/>
  <c r="J17" i="3"/>
  <c r="K17" i="3"/>
  <c r="J18" i="3"/>
  <c r="K18" i="3"/>
  <c r="J19" i="3"/>
  <c r="K19" i="3"/>
  <c r="J20" i="3"/>
  <c r="K20" i="3"/>
  <c r="J21" i="3"/>
  <c r="K21" i="3"/>
  <c r="J22" i="3"/>
  <c r="K22" i="3"/>
  <c r="J23" i="3"/>
  <c r="K23" i="3"/>
  <c r="J24" i="3"/>
  <c r="K24" i="3"/>
  <c r="J25" i="3"/>
  <c r="K25" i="3"/>
  <c r="J26" i="3"/>
  <c r="K26" i="3"/>
  <c r="J27" i="3"/>
  <c r="K27" i="3" s="1"/>
  <c r="J28" i="3"/>
  <c r="K28" i="3"/>
  <c r="J29" i="3"/>
  <c r="K29" i="3"/>
  <c r="J30" i="3"/>
  <c r="K30" i="3"/>
  <c r="J31" i="3"/>
  <c r="K31" i="3" s="1"/>
  <c r="J32" i="3"/>
  <c r="K32" i="3"/>
  <c r="J33" i="3"/>
  <c r="K33" i="3" s="1"/>
  <c r="J34" i="3"/>
  <c r="K34" i="3"/>
  <c r="J35" i="3"/>
  <c r="K35" i="3" s="1"/>
  <c r="J36" i="3"/>
  <c r="K36" i="3"/>
  <c r="J37" i="3"/>
  <c r="K37" i="3" s="1"/>
  <c r="Q4" i="3"/>
  <c r="C8" i="3"/>
  <c r="E36" i="4"/>
  <c r="B8" i="4"/>
  <c r="N41" i="4"/>
  <c r="J41" i="4" s="1"/>
  <c r="K41" i="4"/>
  <c r="N34" i="4"/>
  <c r="N33" i="4"/>
  <c r="N32" i="4"/>
  <c r="N31" i="4"/>
  <c r="N30" i="4"/>
  <c r="N29" i="4"/>
  <c r="N28" i="4"/>
  <c r="N27" i="4"/>
  <c r="N26" i="4"/>
  <c r="N25" i="4"/>
  <c r="N24" i="4"/>
  <c r="N23" i="4"/>
  <c r="N22" i="4"/>
  <c r="N21" i="4"/>
  <c r="N20" i="4"/>
  <c r="N19" i="4"/>
  <c r="N18" i="4"/>
  <c r="N17" i="4"/>
  <c r="N16" i="4"/>
  <c r="N15" i="4"/>
  <c r="N14" i="4"/>
  <c r="N13" i="4"/>
  <c r="N12" i="4"/>
  <c r="N11" i="4"/>
  <c r="N10" i="4"/>
  <c r="N9" i="4"/>
  <c r="N8" i="4"/>
  <c r="A8" i="4"/>
  <c r="N7" i="4"/>
  <c r="J7" i="4" s="1"/>
  <c r="B7" i="4"/>
  <c r="A7" i="4"/>
  <c r="N6" i="4"/>
  <c r="J6" i="4" s="1"/>
  <c r="N5" i="4"/>
  <c r="B5" i="4"/>
  <c r="K5" i="4"/>
  <c r="J4" i="4"/>
  <c r="A1" i="4"/>
  <c r="C4" i="3"/>
  <c r="C3" i="3"/>
  <c r="C2" i="3"/>
  <c r="K34" i="4"/>
  <c r="C15" i="1"/>
  <c r="C16" i="1"/>
  <c r="B28" i="4" l="1"/>
  <c r="B10" i="1" s="1"/>
  <c r="J8" i="4"/>
  <c r="C7" i="3"/>
  <c r="C9" i="3" s="1"/>
  <c r="K6" i="4"/>
  <c r="L34" i="4"/>
  <c r="J34" i="4" s="1"/>
  <c r="L41" i="4"/>
  <c r="K8" i="4"/>
  <c r="K7" i="4"/>
  <c r="C10" i="1" l="1"/>
  <c r="D10" i="1" s="1"/>
  <c r="J9" i="4"/>
  <c r="K9" i="4"/>
  <c r="J10" i="4" l="1"/>
  <c r="K10" i="4"/>
  <c r="J11" i="4" l="1"/>
  <c r="K11" i="4"/>
  <c r="J12" i="4" l="1"/>
  <c r="K12" i="4"/>
  <c r="J13" i="4" l="1"/>
  <c r="K13" i="4"/>
  <c r="J14" i="4" l="1"/>
  <c r="K14" i="4"/>
  <c r="J15" i="4" l="1"/>
  <c r="K15" i="4"/>
  <c r="J16" i="4" l="1"/>
  <c r="K16" i="4"/>
  <c r="J17" i="4" l="1"/>
  <c r="K17" i="4"/>
  <c r="J18" i="4" l="1"/>
  <c r="K18" i="4"/>
  <c r="J20" i="4" l="1"/>
  <c r="K19" i="4"/>
  <c r="J21" i="4" l="1"/>
  <c r="L19" i="4"/>
  <c r="J19" i="4"/>
  <c r="K20" i="4"/>
  <c r="J22" i="4" l="1"/>
  <c r="K21" i="4"/>
  <c r="J23" i="4" l="1"/>
  <c r="K22" i="4"/>
  <c r="K23" i="4" l="1"/>
  <c r="K24" i="4" l="1"/>
  <c r="L24" i="4" l="1"/>
  <c r="J24" i="4" s="1"/>
  <c r="J36" i="4" s="1"/>
  <c r="K25" i="4"/>
  <c r="J25" i="4" s="1"/>
  <c r="K26" i="4" l="1"/>
  <c r="J26" i="4" s="1"/>
  <c r="C9" i="1" l="1"/>
  <c r="D9" i="1" s="1"/>
  <c r="K27" i="4"/>
  <c r="J27" i="4" s="1"/>
  <c r="K28" i="4" l="1"/>
  <c r="J28" i="4" s="1"/>
  <c r="K29" i="4" l="1"/>
  <c r="J29" i="4" s="1"/>
  <c r="K30" i="4" l="1"/>
  <c r="J30" i="4" s="1"/>
  <c r="K31" i="4" l="1"/>
  <c r="J31" i="4" s="1"/>
  <c r="K32" i="4" l="1"/>
  <c r="J32" i="4" s="1"/>
  <c r="K33" i="4"/>
  <c r="J33" i="4" s="1"/>
  <c r="B29" i="4" l="1"/>
  <c r="B8" i="1"/>
  <c r="C8" i="1" l="1"/>
  <c r="D8" i="1" s="1"/>
  <c r="B11" i="1"/>
  <c r="C11" i="1" s="1"/>
  <c r="D11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Raphaele Carteron</author>
    <author>a11152</author>
  </authors>
  <commentList>
    <comment ref="I24" authorId="0" shapeId="0" xr:uid="{B439A4A9-8C58-4D91-AF61-496C28A00B66}">
      <text>
        <r>
          <rPr>
            <sz val="9"/>
            <color indexed="81"/>
            <rFont val="Tahoma"/>
            <charset val="1"/>
          </rPr>
          <t xml:space="preserve">Devis à 250 € le dégagement, je me base dessus
Sur le gain : </t>
        </r>
      </text>
    </comment>
    <comment ref="H37" authorId="1" shapeId="0" xr:uid="{C293EE48-3867-4003-9358-486F9BA5692C}">
      <text>
        <r>
          <rPr>
            <b/>
            <sz val="9"/>
            <color indexed="81"/>
            <rFont val="Tahoma"/>
            <family val="2"/>
          </rPr>
          <t xml:space="preserve">A 35 ans, je pars sur une hypotèse de 250  m3 par hectare 
Revenu pour 1 m3 = 40€ aujourd'hui, avec une inflation de 1,5% dessus
Pour 250 m3 = 10 000 € 
Ajustement à la surface de la parcelle 
</t>
        </r>
      </text>
    </comment>
  </commentList>
</comments>
</file>

<file path=xl/sharedStrings.xml><?xml version="1.0" encoding="utf-8"?>
<sst xmlns="http://schemas.openxmlformats.org/spreadsheetml/2006/main" count="141" uniqueCount="115">
  <si>
    <t>Vaux en Beaujolais</t>
  </si>
  <si>
    <t>Surface</t>
  </si>
  <si>
    <t xml:space="preserve">Douglas </t>
  </si>
  <si>
    <t>Calcul Bas Carbone</t>
  </si>
  <si>
    <t xml:space="preserve">Repère </t>
  </si>
  <si>
    <t>REA forêt</t>
  </si>
  <si>
    <t>REA produit</t>
  </si>
  <si>
    <t>Refoa</t>
  </si>
  <si>
    <t>Centrum hout</t>
  </si>
  <si>
    <t xml:space="preserve"> </t>
  </si>
  <si>
    <t>REA de référence</t>
  </si>
  <si>
    <t>Bas Carbone</t>
  </si>
  <si>
    <t>Parcelle 4a</t>
  </si>
  <si>
    <t>tCO2 pour 1 Ha</t>
  </si>
  <si>
    <t>Forêt Privée</t>
  </si>
  <si>
    <t>Document 0</t>
  </si>
  <si>
    <t>Document 1</t>
  </si>
  <si>
    <t>Document 2</t>
  </si>
  <si>
    <t>Document 3</t>
  </si>
  <si>
    <t>Document 4</t>
  </si>
  <si>
    <t>Document 5</t>
  </si>
  <si>
    <t>Document 6</t>
  </si>
  <si>
    <t>Document 7</t>
  </si>
  <si>
    <t>Document 8</t>
  </si>
  <si>
    <t>Document 9</t>
  </si>
  <si>
    <t>Document 10</t>
  </si>
  <si>
    <t>Document 11</t>
  </si>
  <si>
    <t>Document 2 bis</t>
  </si>
  <si>
    <t>Document 2 ter</t>
  </si>
  <si>
    <t>Document 4 bis</t>
  </si>
  <si>
    <t>Document 4 ter</t>
  </si>
  <si>
    <t>le cas échéant</t>
  </si>
  <si>
    <t>facultatif</t>
  </si>
  <si>
    <t>obligatoire</t>
  </si>
  <si>
    <t>Liste des projets individuels + lettre attestant du mandat détenu et comportant les mentions obligatoires</t>
  </si>
  <si>
    <t>Matrice cadastrale de moins d'1 an ou acte notarié</t>
  </si>
  <si>
    <t>Avenant du document de gestion durable</t>
  </si>
  <si>
    <t>Rédaction d'un document de gestion durable dans les 12 mois à compter de la date de réception des travaux</t>
  </si>
  <si>
    <r>
      <rPr>
        <b/>
        <sz val="11"/>
        <color theme="1"/>
        <rFont val="Calibri"/>
        <family val="2"/>
        <scheme val="minor"/>
      </rPr>
      <t>PSG ou CBPS+</t>
    </r>
    <r>
      <rPr>
        <sz val="11"/>
        <color theme="1"/>
        <rFont val="Calibri"/>
        <family val="2"/>
        <scheme val="minor"/>
      </rPr>
      <t xml:space="preserve"> : copie de la décision d’agrément du document de gestion par le conseil de centre du CRPF. 
</t>
    </r>
    <r>
      <rPr>
        <b/>
        <sz val="11"/>
        <color theme="1"/>
        <rFont val="Calibri"/>
        <family val="2"/>
        <scheme val="minor"/>
      </rPr>
      <t>CBPS</t>
    </r>
    <r>
      <rPr>
        <sz val="11"/>
        <color theme="1"/>
        <rFont val="Calibri"/>
        <family val="2"/>
        <scheme val="minor"/>
      </rPr>
      <t xml:space="preserve"> : courrier du CRPF notifiant l’adhésion du propriétaire au CBPS. 
</t>
    </r>
    <r>
      <rPr>
        <b/>
        <sz val="11"/>
        <color theme="1"/>
        <rFont val="Calibri"/>
        <family val="2"/>
        <scheme val="minor"/>
      </rPr>
      <t>RTG</t>
    </r>
    <r>
      <rPr>
        <sz val="11"/>
        <color theme="1"/>
        <rFont val="Calibri"/>
        <family val="2"/>
        <scheme val="minor"/>
      </rPr>
      <t xml:space="preserve"> : décision d’agrément du RTG par le conseil de centre du CRPF + adhésion du propriétaire au RTG (signée par le propriétaire et le rédacteur) ou, en son absence, copie du RTG</t>
    </r>
  </si>
  <si>
    <t xml:space="preserve">Mandat dûment signé par les propriétaires identifiant le représentant </t>
  </si>
  <si>
    <t>Orthophotos d’au moins 10 ans et de mois d’un an (avec superposition du fond cadastral) prouvant la nature non boisée des parcelles</t>
  </si>
  <si>
    <t xml:space="preserve">Photographies in situ de moins d’un an de la parcelle </t>
  </si>
  <si>
    <t xml:space="preserve">Arrêté préfectoral portant décision d’examen au cas par cas en application de l’article R. 122-3 du Code de l’environnement </t>
  </si>
  <si>
    <t>Devis</t>
  </si>
  <si>
    <t>Feuille de calcul des VAN</t>
  </si>
  <si>
    <t xml:space="preserve">Copie des pages du PDPFCI ou PRDFCI si existant </t>
  </si>
  <si>
    <t xml:space="preserve">Copie de la table de production retenue </t>
  </si>
  <si>
    <t xml:space="preserve">Feuille de calcul détaillant les rabais et les modalités de calcul des REA et REI </t>
  </si>
  <si>
    <t>Lien</t>
  </si>
  <si>
    <t xml:space="preserve">VAN </t>
  </si>
  <si>
    <t xml:space="preserve">Accru </t>
  </si>
  <si>
    <t xml:space="preserve"> valeur actualisée nette (en €) </t>
  </si>
  <si>
    <t>Ci</t>
  </si>
  <si>
    <t>dépenses liées au projet de reboisement (en €). Cela peut comprendre : la récolte du peuplement à substituer (chablis, incendiés, dépérissants, morts…), le débardage, le broyage éventuel, l’achat des plants, l’opération de plantation, les dégagements des plants, les coûts liés aux éclaircies…</t>
  </si>
  <si>
    <t>Ri</t>
  </si>
  <si>
    <t>n</t>
  </si>
  <si>
    <t>durée de révolution de l’essence plantée (pour la plupart des essences, n &gt; 30 ans) ;</t>
  </si>
  <si>
    <t>r</t>
  </si>
  <si>
    <t>taux d’actualisation, fixé par défaut à 4,5 %.</t>
  </si>
  <si>
    <t>VAN de référence</t>
  </si>
  <si>
    <t>Delta</t>
  </si>
  <si>
    <t>Boisement</t>
  </si>
  <si>
    <t>i</t>
  </si>
  <si>
    <t>R</t>
  </si>
  <si>
    <t>C</t>
  </si>
  <si>
    <t>(1+r)i</t>
  </si>
  <si>
    <t xml:space="preserve">recettes liées au projet (en €). Elles concerneront la vente des bois issus des éclaircies jusqu'à la coupe finale (sans la coupe finale ?!) </t>
  </si>
  <si>
    <t xml:space="preserve">Essence </t>
  </si>
  <si>
    <t>Infradensité</t>
  </si>
  <si>
    <t>Année</t>
  </si>
  <si>
    <t>Volume en m³</t>
  </si>
  <si>
    <t>BA - stock biomasse aerienne en tMS</t>
  </si>
  <si>
    <t>Br - stock biomasse racinaire</t>
  </si>
  <si>
    <t>tc - Taux de carbone dans la matière sèche, en tC/tMS</t>
  </si>
  <si>
    <t>S - Stock carbone organique dans le sol - en tC</t>
  </si>
  <si>
    <t>L - stock de la litière, cste en tC</t>
  </si>
  <si>
    <t xml:space="preserve">M - stock de bois mort, cste </t>
  </si>
  <si>
    <t>Douglas (Pseudotsuga menziesii)</t>
  </si>
  <si>
    <t>Densité du bois</t>
  </si>
  <si>
    <t>Volume final</t>
  </si>
  <si>
    <t>Accroissement</t>
  </si>
  <si>
    <t>REE</t>
  </si>
  <si>
    <t>Scenario de référence, sur base d'accrus, avec une infradensité à 0,4</t>
  </si>
  <si>
    <t>Pour déterminer les REE</t>
  </si>
  <si>
    <t xml:space="preserve">Coef </t>
  </si>
  <si>
    <t xml:space="preserve">S(projet) </t>
  </si>
  <si>
    <t xml:space="preserve">VAN de boisement </t>
  </si>
  <si>
    <t>Vt</t>
  </si>
  <si>
    <t>P</t>
  </si>
  <si>
    <t>AM</t>
  </si>
  <si>
    <t>Coef d'ajustement du revenu des éclaircies</t>
  </si>
  <si>
    <t xml:space="preserve">Taux d'actualisatoin </t>
  </si>
  <si>
    <t>Accroissemnet moyen</t>
  </si>
  <si>
    <t>Prix moyen boix à l'age de la coupe</t>
  </si>
  <si>
    <t>Volume commercialisable</t>
  </si>
  <si>
    <t>VAN!A1</t>
  </si>
  <si>
    <t>https://d.docs.live.net/d1bb846c3331c618/Documents/Sylvair/Dossier%20Bas%20Carbone/Table%20de%20production%20douglas%20Decourt.pdf</t>
  </si>
  <si>
    <t>Calcul 1'!A1</t>
  </si>
  <si>
    <t>Attestation signée par un professionnel indiquant le choix de la classe de fertilité ou justification pour le choix d’une classe moyenne</t>
  </si>
  <si>
    <t>Vincent</t>
  </si>
  <si>
    <t>En attente</t>
  </si>
  <si>
    <t>(risque Incendie) - Sans objet</t>
  </si>
  <si>
    <t>Rabais de 10%</t>
  </si>
  <si>
    <t>Parcelle 4a - E213</t>
  </si>
  <si>
    <t>https://d.docs.live.net/d1bb846c3331c618/Documents/Sylvair/Dossier%20Bas%20Carbone/Doc%204%20ter%20-%20photo%20in%20situ%20Avril%202020.pptx</t>
  </si>
  <si>
    <t>https://d.docs.live.net/d1bb846c3331c618/Documents/Sylvair/Dossier%20Bas%20Carbone/Doc%204%20-%20photo%20geoportail%202006%202010%20et%202020.pptx</t>
  </si>
  <si>
    <t>Bail</t>
  </si>
  <si>
    <t>Acte Vincent</t>
  </si>
  <si>
    <t>A suivre dans quelques mois</t>
  </si>
  <si>
    <t>Accroissement courant</t>
  </si>
  <si>
    <t>Forêt</t>
  </si>
  <si>
    <t>Accrus</t>
  </si>
  <si>
    <t>REA</t>
  </si>
  <si>
    <t>https://d.docs.live.net/d1bb846c3331c618/Documents/Sylvair/Dossier%20Bas%20Carbone/2020-ARA-KKP-2659_Boisement_Vaux-en-Beaujolais_69vs%5b9049%5d.pdf</t>
  </si>
  <si>
    <t>Coef de substitution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</si>
</sst>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\ &quot;€&quot;"/>
    <numFmt numFmtId="165" formatCode="General\ &quot;ans&quot;"/>
    <numFmt numFmtId="166" formatCode="0.0"/>
    <numFmt numFmtId="167" formatCode="0.00&quot; t/m³&quot;"/>
    <numFmt numFmtId="168" formatCode="0&quot; m³/ha&quot;"/>
  </numFmts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20"/>
      <color theme="0"/>
      <name val="Calibri"/>
      <family val="2"/>
      <scheme val="minor"/>
    </font>
    <font>
      <sz val="22"/>
      <color theme="9" tint="-0.499984740745262"/>
      <name val="Calibri"/>
      <family val="2"/>
      <scheme val="minor"/>
    </font>
    <font>
      <sz val="11"/>
      <color theme="0"/>
      <name val="Arial"/>
      <family val="2"/>
    </font>
    <font>
      <sz val="11"/>
      <color theme="9" tint="-0.499984740745262"/>
      <name val="Calibri"/>
      <family val="2"/>
      <scheme val="minor"/>
    </font>
    <font>
      <sz val="18"/>
      <color theme="0"/>
      <name val="Calibri"/>
      <family val="2"/>
      <scheme val="minor"/>
    </font>
    <font>
      <i/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indexed="81"/>
      <name val="Tahoma"/>
      <charset val="1"/>
    </font>
  </fonts>
  <fills count="15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/>
        <bgColor indexed="64"/>
      </patternFill>
    </fill>
  </fills>
  <borders count="5">
    <border>
      <left/>
      <right/>
      <top/>
      <bottom/>
      <diagonal/>
    </border>
    <border>
      <left style="hair">
        <color theme="0"/>
      </left>
      <right style="hair">
        <color theme="0"/>
      </right>
      <top style="hair">
        <color theme="0"/>
      </top>
      <bottom style="hair">
        <color theme="0"/>
      </bottom>
      <diagonal/>
    </border>
    <border>
      <left style="hair">
        <color theme="0"/>
      </left>
      <right/>
      <top style="hair">
        <color theme="0"/>
      </top>
      <bottom style="hair">
        <color theme="0"/>
      </bottom>
      <diagonal/>
    </border>
    <border>
      <left/>
      <right/>
      <top style="hair">
        <color theme="0"/>
      </top>
      <bottom style="hair">
        <color theme="0"/>
      </bottom>
      <diagonal/>
    </border>
    <border>
      <left/>
      <right style="hair">
        <color theme="0"/>
      </right>
      <top style="hair">
        <color theme="0"/>
      </top>
      <bottom style="hair">
        <color theme="0"/>
      </bottom>
      <diagonal/>
    </border>
  </borders>
  <cellStyleXfs count="2">
    <xf numFmtId="0" fontId="0" fillId="0" borderId="0"/>
    <xf numFmtId="0" fontId="13" fillId="0" borderId="0" applyNumberFormat="0" applyFill="0" applyBorder="0" applyAlignment="0" applyProtection="0"/>
  </cellStyleXfs>
  <cellXfs count="78">
    <xf numFmtId="0" fontId="0" fillId="0" borderId="0" xfId="0"/>
    <xf numFmtId="3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2" fillId="2" borderId="0" xfId="0" applyFont="1" applyFill="1" applyAlignment="1">
      <alignment vertical="center"/>
    </xf>
    <xf numFmtId="0" fontId="2" fillId="2" borderId="0" xfId="0" applyFont="1" applyFill="1" applyAlignment="1">
      <alignment vertical="center" wrapText="1"/>
    </xf>
    <xf numFmtId="0" fontId="5" fillId="4" borderId="1" xfId="0" applyFont="1" applyFill="1" applyBorder="1" applyAlignment="1">
      <alignment vertical="center" wrapText="1"/>
    </xf>
    <xf numFmtId="164" fontId="0" fillId="4" borderId="1" xfId="0" applyNumberFormat="1" applyFill="1" applyBorder="1" applyAlignment="1">
      <alignment vertical="center"/>
    </xf>
    <xf numFmtId="165" fontId="0" fillId="4" borderId="1" xfId="0" applyNumberFormat="1" applyFill="1" applyBorder="1" applyAlignment="1">
      <alignment vertical="center"/>
    </xf>
    <xf numFmtId="0" fontId="5" fillId="5" borderId="1" xfId="0" applyFont="1" applyFill="1" applyBorder="1" applyAlignment="1">
      <alignment vertical="center" wrapText="1"/>
    </xf>
    <xf numFmtId="164" fontId="0" fillId="5" borderId="1" xfId="0" applyNumberFormat="1" applyFill="1" applyBorder="1" applyAlignment="1">
      <alignment vertical="center"/>
    </xf>
    <xf numFmtId="10" fontId="0" fillId="4" borderId="1" xfId="0" applyNumberForma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164" fontId="2" fillId="2" borderId="1" xfId="0" applyNumberFormat="1" applyFont="1" applyFill="1" applyBorder="1" applyAlignment="1">
      <alignment vertical="center"/>
    </xf>
    <xf numFmtId="0" fontId="2" fillId="3" borderId="1" xfId="0" applyFont="1" applyFill="1" applyBorder="1" applyAlignment="1">
      <alignment vertical="center"/>
    </xf>
    <xf numFmtId="0" fontId="2" fillId="3" borderId="1" xfId="0" applyFont="1" applyFill="1" applyBorder="1" applyAlignment="1">
      <alignment horizontal="center" vertical="center"/>
    </xf>
    <xf numFmtId="0" fontId="0" fillId="6" borderId="1" xfId="0" applyFill="1" applyBorder="1" applyAlignment="1">
      <alignment vertical="center"/>
    </xf>
    <xf numFmtId="0" fontId="0" fillId="6" borderId="1" xfId="0" applyFill="1" applyBorder="1" applyAlignment="1">
      <alignment horizontal="center" vertical="center"/>
    </xf>
    <xf numFmtId="10" fontId="0" fillId="6" borderId="1" xfId="0" applyNumberFormat="1" applyFill="1" applyBorder="1" applyAlignment="1">
      <alignment horizontal="center" vertical="center"/>
    </xf>
    <xf numFmtId="1" fontId="0" fillId="6" borderId="1" xfId="0" applyNumberFormat="1" applyFill="1" applyBorder="1" applyAlignment="1">
      <alignment horizontal="center" vertical="center"/>
    </xf>
    <xf numFmtId="3" fontId="0" fillId="6" borderId="1" xfId="0" applyNumberFormat="1" applyFill="1" applyBorder="1" applyAlignment="1">
      <alignment horizontal="center" vertical="center"/>
    </xf>
    <xf numFmtId="0" fontId="7" fillId="7" borderId="0" xfId="0" applyFont="1" applyFill="1"/>
    <xf numFmtId="166" fontId="7" fillId="7" borderId="0" xfId="0" applyNumberFormat="1" applyFont="1" applyFill="1" applyAlignment="1">
      <alignment horizontal="center" vertical="center"/>
    </xf>
    <xf numFmtId="0" fontId="2" fillId="7" borderId="0" xfId="0" applyFont="1" applyFill="1"/>
    <xf numFmtId="0" fontId="2" fillId="7" borderId="0" xfId="0" applyFont="1" applyFill="1" applyAlignment="1">
      <alignment horizontal="center"/>
    </xf>
    <xf numFmtId="0" fontId="2" fillId="7" borderId="0" xfId="0" applyFont="1" applyFill="1" applyAlignment="1">
      <alignment horizontal="center" vertical="center"/>
    </xf>
    <xf numFmtId="0" fontId="2" fillId="8" borderId="0" xfId="0" applyFont="1" applyFill="1" applyAlignment="1">
      <alignment vertical="center"/>
    </xf>
    <xf numFmtId="0" fontId="2" fillId="8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8" borderId="0" xfId="0" applyFont="1" applyFill="1" applyAlignment="1">
      <alignment horizontal="center" vertical="center" wrapText="1"/>
    </xf>
    <xf numFmtId="0" fontId="0" fillId="9" borderId="0" xfId="0" applyFill="1" applyAlignment="1">
      <alignment horizontal="center" vertical="center" wrapText="1"/>
    </xf>
    <xf numFmtId="0" fontId="2" fillId="10" borderId="0" xfId="0" applyFont="1" applyFill="1" applyAlignment="1">
      <alignment horizontal="center" vertical="center" wrapText="1"/>
    </xf>
    <xf numFmtId="0" fontId="8" fillId="0" borderId="0" xfId="0" applyFont="1"/>
    <xf numFmtId="167" fontId="0" fillId="0" borderId="0" xfId="0" applyNumberFormat="1" applyAlignment="1">
      <alignment horizontal="center" vertical="center"/>
    </xf>
    <xf numFmtId="166" fontId="0" fillId="0" borderId="0" xfId="0" applyNumberFormat="1" applyAlignment="1">
      <alignment horizontal="center"/>
    </xf>
    <xf numFmtId="166" fontId="0" fillId="0" borderId="0" xfId="0" applyNumberFormat="1" applyAlignment="1">
      <alignment horizontal="center" vertical="center"/>
    </xf>
    <xf numFmtId="0" fontId="9" fillId="10" borderId="0" xfId="0" applyFont="1" applyFill="1" applyAlignment="1">
      <alignment vertical="center" wrapText="1"/>
    </xf>
    <xf numFmtId="0" fontId="9" fillId="8" borderId="0" xfId="0" applyFont="1" applyFill="1" applyAlignment="1">
      <alignment horizontal="center" vertical="center" wrapText="1"/>
    </xf>
    <xf numFmtId="0" fontId="9" fillId="8" borderId="0" xfId="0" applyFont="1" applyFill="1" applyAlignment="1">
      <alignment vertical="center" wrapText="1"/>
    </xf>
    <xf numFmtId="0" fontId="10" fillId="0" borderId="0" xfId="0" applyFont="1"/>
    <xf numFmtId="0" fontId="9" fillId="10" borderId="0" xfId="0" applyFont="1" applyFill="1" applyAlignment="1">
      <alignment horizontal="center" vertical="center" wrapText="1"/>
    </xf>
    <xf numFmtId="168" fontId="0" fillId="0" borderId="0" xfId="0" applyNumberFormat="1" applyAlignment="1">
      <alignment horizontal="center" vertical="center"/>
    </xf>
    <xf numFmtId="166" fontId="11" fillId="10" borderId="0" xfId="0" applyNumberFormat="1" applyFont="1" applyFill="1" applyAlignment="1">
      <alignment horizontal="center"/>
    </xf>
    <xf numFmtId="0" fontId="2" fillId="3" borderId="0" xfId="0" applyFont="1" applyFill="1" applyAlignment="1">
      <alignment horizontal="center"/>
    </xf>
    <xf numFmtId="1" fontId="0" fillId="0" borderId="0" xfId="0" applyNumberFormat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2" fontId="0" fillId="6" borderId="1" xfId="0" applyNumberFormat="1" applyFill="1" applyBorder="1" applyAlignment="1">
      <alignment horizontal="center" vertical="center"/>
    </xf>
    <xf numFmtId="0" fontId="2" fillId="3" borderId="0" xfId="0" applyFont="1" applyFill="1" applyAlignment="1">
      <alignment vertical="center" wrapText="1"/>
    </xf>
    <xf numFmtId="0" fontId="12" fillId="3" borderId="0" xfId="0" applyFont="1" applyFill="1" applyAlignment="1">
      <alignment vertical="center" wrapText="1"/>
    </xf>
    <xf numFmtId="0" fontId="0" fillId="0" borderId="0" xfId="0" applyAlignment="1">
      <alignment horizontal="left" vertical="center" wrapText="1"/>
    </xf>
    <xf numFmtId="0" fontId="13" fillId="0" borderId="0" xfId="1" applyAlignment="1">
      <alignment vertical="center" wrapText="1"/>
    </xf>
    <xf numFmtId="0" fontId="13" fillId="0" borderId="0" xfId="1" quotePrefix="1" applyAlignment="1">
      <alignment vertical="center" wrapText="1"/>
    </xf>
    <xf numFmtId="0" fontId="2" fillId="10" borderId="0" xfId="0" applyFont="1" applyFill="1"/>
    <xf numFmtId="166" fontId="0" fillId="12" borderId="0" xfId="0" applyNumberFormat="1" applyFill="1"/>
    <xf numFmtId="0" fontId="14" fillId="0" borderId="0" xfId="0" applyFont="1" applyAlignment="1">
      <alignment horizontal="left" vertical="center" wrapText="1"/>
    </xf>
    <xf numFmtId="0" fontId="0" fillId="13" borderId="0" xfId="0" applyFill="1" applyAlignment="1">
      <alignment horizontal="left" vertical="center" wrapText="1"/>
    </xf>
    <xf numFmtId="0" fontId="0" fillId="13" borderId="0" xfId="0" applyFill="1" applyAlignment="1">
      <alignment vertical="center" wrapText="1"/>
    </xf>
    <xf numFmtId="0" fontId="14" fillId="13" borderId="0" xfId="0" applyFont="1" applyFill="1" applyAlignment="1">
      <alignment horizontal="left" vertical="center" wrapText="1"/>
    </xf>
    <xf numFmtId="0" fontId="14" fillId="13" borderId="0" xfId="0" applyFont="1" applyFill="1" applyAlignment="1">
      <alignment vertical="center" wrapText="1"/>
    </xf>
    <xf numFmtId="0" fontId="0" fillId="14" borderId="0" xfId="0" applyFill="1" applyAlignment="1">
      <alignment horizontal="left" vertical="center" wrapText="1"/>
    </xf>
    <xf numFmtId="0" fontId="0" fillId="14" borderId="0" xfId="0" applyFill="1" applyAlignment="1">
      <alignment vertical="center" wrapText="1"/>
    </xf>
    <xf numFmtId="0" fontId="13" fillId="14" borderId="0" xfId="1" applyFill="1" applyAlignment="1">
      <alignment vertical="center" wrapText="1"/>
    </xf>
    <xf numFmtId="0" fontId="14" fillId="0" borderId="0" xfId="0" applyFont="1" applyFill="1" applyAlignment="1">
      <alignment horizontal="left" vertical="center" wrapText="1"/>
    </xf>
    <xf numFmtId="0" fontId="0" fillId="0" borderId="0" xfId="0" applyFill="1" applyAlignment="1">
      <alignment horizontal="left" vertical="center" wrapText="1"/>
    </xf>
    <xf numFmtId="0" fontId="13" fillId="0" borderId="0" xfId="1" applyFill="1" applyAlignment="1">
      <alignment vertical="center" wrapText="1"/>
    </xf>
    <xf numFmtId="166" fontId="0" fillId="13" borderId="0" xfId="0" applyNumberFormat="1" applyFill="1" applyAlignment="1">
      <alignment horizontal="center" vertical="center"/>
    </xf>
    <xf numFmtId="0" fontId="2" fillId="7" borderId="0" xfId="0" applyFont="1" applyFill="1" applyAlignment="1">
      <alignment horizontal="center" vertical="center" wrapText="1"/>
    </xf>
    <xf numFmtId="2" fontId="4" fillId="0" borderId="0" xfId="0" applyNumberFormat="1" applyFont="1" applyAlignment="1">
      <alignment horizontal="center"/>
    </xf>
    <xf numFmtId="0" fontId="0" fillId="0" borderId="0" xfId="0" applyAlignment="1">
      <alignment horizontal="left" vertical="center" wrapText="1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0" fillId="11" borderId="0" xfId="0" applyFill="1" applyAlignment="1">
      <alignment horizontal="center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'Calcul 1 pour 1 ha'!$J$4</c:f>
              <c:strCache>
                <c:ptCount val="1"/>
                <c:pt idx="0">
                  <c:v>S(projet) en tCO² pour Douglas (Pseudotsuga menziesii)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'Calcul 1 pour 1 ha'!$J$5:$J$34</c:f>
              <c:numCache>
                <c:formatCode>0.0</c:formatCode>
                <c:ptCount val="30"/>
                <c:pt idx="0">
                  <c:v>178.32165621587853</c:v>
                </c:pt>
                <c:pt idx="1">
                  <c:v>190.77062551452201</c:v>
                </c:pt>
                <c:pt idx="2">
                  <c:v>203.07930352343951</c:v>
                </c:pt>
                <c:pt idx="3">
                  <c:v>215.29157496316617</c:v>
                </c:pt>
                <c:pt idx="4">
                  <c:v>227.42757879464833</c:v>
                </c:pt>
                <c:pt idx="5">
                  <c:v>239.49899360700184</c:v>
                </c:pt>
                <c:pt idx="6">
                  <c:v>251.51350161321116</c:v>
                </c:pt>
                <c:pt idx="7">
                  <c:v>263.47658144489412</c:v>
                </c:pt>
                <c:pt idx="8">
                  <c:v>275.39236854881369</c:v>
                </c:pt>
                <c:pt idx="9">
                  <c:v>287.26411936125766</c:v>
                </c:pt>
                <c:pt idx="10">
                  <c:v>299.09448357628196</c:v>
                </c:pt>
                <c:pt idx="11">
                  <c:v>310.88567425896292</c:v>
                </c:pt>
                <c:pt idx="12">
                  <c:v>322.63957952840599</c:v>
                </c:pt>
                <c:pt idx="13">
                  <c:v>334.35783886995705</c:v>
                </c:pt>
                <c:pt idx="14">
                  <c:v>346.48052086534085</c:v>
                </c:pt>
                <c:pt idx="15">
                  <c:v>373.3191906994312</c:v>
                </c:pt>
                <c:pt idx="16">
                  <c:v>400.07020464025152</c:v>
                </c:pt>
                <c:pt idx="17">
                  <c:v>426.74358273760038</c:v>
                </c:pt>
                <c:pt idx="18">
                  <c:v>453.34698161373473</c:v>
                </c:pt>
                <c:pt idx="19">
                  <c:v>479.88645573355598</c:v>
                </c:pt>
                <c:pt idx="20">
                  <c:v>506.77829001794731</c:v>
                </c:pt>
                <c:pt idx="21">
                  <c:v>533.61404128509901</c:v>
                </c:pt>
                <c:pt idx="22">
                  <c:v>560.39731299682285</c:v>
                </c:pt>
                <c:pt idx="23">
                  <c:v>587.13119121232091</c:v>
                </c:pt>
                <c:pt idx="24">
                  <c:v>613.81835461750961</c:v>
                </c:pt>
                <c:pt idx="25">
                  <c:v>634.43500429345465</c:v>
                </c:pt>
                <c:pt idx="26">
                  <c:v>655.01974414677295</c:v>
                </c:pt>
                <c:pt idx="27">
                  <c:v>675.57357888541799</c:v>
                </c:pt>
                <c:pt idx="28">
                  <c:v>696.09744551053996</c:v>
                </c:pt>
                <c:pt idx="29">
                  <c:v>716.59222130437638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E53-4CF8-B2C4-42667A1B9525}"/>
            </c:ext>
          </c:extLst>
        </c:ser>
        <c:ser>
          <c:idx val="1"/>
          <c:order val="1"/>
          <c:tx>
            <c:strRef>
              <c:f>'Calcul 1 pour 1 ha'!$J$40</c:f>
              <c:strCache>
                <c:ptCount val="1"/>
                <c:pt idx="0">
                  <c:v>S(projet) 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Ref>
              <c:f>'Calcul 1 pour 1 ha'!$J$41:$J$70</c:f>
              <c:numCache>
                <c:formatCode>0.0</c:formatCode>
                <c:ptCount val="30"/>
                <c:pt idx="0">
                  <c:v>169.27261344583385</c:v>
                </c:pt>
                <c:pt idx="1">
                  <c:v>172.98132346078552</c:v>
                </c:pt>
                <c:pt idx="2">
                  <c:v>176.64946375214174</c:v>
                </c:pt>
                <c:pt idx="3">
                  <c:v>180.28266816793496</c:v>
                </c:pt>
                <c:pt idx="4">
                  <c:v>183.88373911974665</c:v>
                </c:pt>
                <c:pt idx="5">
                  <c:v>187.45446570511388</c:v>
                </c:pt>
                <c:pt idx="6">
                  <c:v>190.99615476418299</c:v>
                </c:pt>
                <c:pt idx="7">
                  <c:v>194.50984422969043</c:v>
                </c:pt>
                <c:pt idx="8">
                  <c:v>197.9964055782313</c:v>
                </c:pt>
                <c:pt idx="9">
                  <c:v>201.45659915401507</c:v>
                </c:pt>
                <c:pt idx="10">
                  <c:v>204.89110666587024</c:v>
                </c:pt>
                <c:pt idx="11">
                  <c:v>208.30055153226181</c:v>
                </c:pt>
                <c:pt idx="12">
                  <c:v>211.68551227484491</c:v>
                </c:pt>
                <c:pt idx="13">
                  <c:v>215.04653170320947</c:v>
                </c:pt>
                <c:pt idx="14">
                  <c:v>218.38412343121371</c:v>
                </c:pt>
                <c:pt idx="15">
                  <c:v>221.69877663562158</c:v>
                </c:pt>
                <c:pt idx="16">
                  <c:v>224.99095961897595</c:v>
                </c:pt>
                <c:pt idx="17">
                  <c:v>228.26112253619715</c:v>
                </c:pt>
                <c:pt idx="18">
                  <c:v>231.50969952213313</c:v>
                </c:pt>
                <c:pt idx="19">
                  <c:v>234.73711038088032</c:v>
                </c:pt>
                <c:pt idx="20">
                  <c:v>237.94376194850059</c:v>
                </c:pt>
                <c:pt idx="21">
                  <c:v>241.13004920825117</c:v>
                </c:pt>
                <c:pt idx="22">
                  <c:v>244.29635621545572</c:v>
                </c:pt>
                <c:pt idx="23">
                  <c:v>247.44305687396084</c:v>
                </c:pt>
                <c:pt idx="24">
                  <c:v>250.57051559544396</c:v>
                </c:pt>
                <c:pt idx="25">
                  <c:v>253.67908786519769</c:v>
                </c:pt>
                <c:pt idx="26">
                  <c:v>256.76912073246609</c:v>
                </c:pt>
                <c:pt idx="27">
                  <c:v>259.84095323932388</c:v>
                </c:pt>
                <c:pt idx="28">
                  <c:v>262.89491679903767</c:v>
                </c:pt>
                <c:pt idx="29">
                  <c:v>265.93133553255109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E53-4CF8-B2C4-42667A1B95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8573552"/>
        <c:axId val="521851960"/>
      </c:lineChart>
      <c:catAx>
        <c:axId val="98573552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521851960"/>
        <c:crosses val="autoZero"/>
        <c:auto val="1"/>
        <c:lblAlgn val="ctr"/>
        <c:lblOffset val="100"/>
        <c:noMultiLvlLbl val="0"/>
      </c:catAx>
      <c:valAx>
        <c:axId val="5218519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9857355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11543</xdr:colOff>
      <xdr:row>26</xdr:row>
      <xdr:rowOff>80019</xdr:rowOff>
    </xdr:from>
    <xdr:to>
      <xdr:col>2</xdr:col>
      <xdr:colOff>554181</xdr:colOff>
      <xdr:row>42</xdr:row>
      <xdr:rowOff>73636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FADB68AB-8299-49B0-87E6-CE7A859B39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543" y="5864292"/>
          <a:ext cx="5345547" cy="2949253"/>
        </a:xfrm>
        <a:prstGeom prst="rect">
          <a:avLst/>
        </a:prstGeom>
      </xdr:spPr>
    </xdr:pic>
    <xdr:clientData/>
  </xdr:twoCellAnchor>
  <xdr:twoCellAnchor>
    <xdr:from>
      <xdr:col>0</xdr:col>
      <xdr:colOff>138545</xdr:colOff>
      <xdr:row>9</xdr:row>
      <xdr:rowOff>93518</xdr:rowOff>
    </xdr:from>
    <xdr:to>
      <xdr:col>2</xdr:col>
      <xdr:colOff>1916545</xdr:colOff>
      <xdr:row>25</xdr:row>
      <xdr:rowOff>34637</xdr:rowOff>
    </xdr:to>
    <xdr:grpSp>
      <xdr:nvGrpSpPr>
        <xdr:cNvPr id="5" name="Groupe 4">
          <a:extLst>
            <a:ext uri="{FF2B5EF4-FFF2-40B4-BE49-F238E27FC236}">
              <a16:creationId xmlns:a16="http://schemas.microsoft.com/office/drawing/2014/main" id="{29D4F291-0C9D-4318-935D-525392BB4506}"/>
            </a:ext>
          </a:extLst>
        </xdr:cNvPr>
        <xdr:cNvGrpSpPr/>
      </xdr:nvGrpSpPr>
      <xdr:grpSpPr>
        <a:xfrm>
          <a:off x="138545" y="2737427"/>
          <a:ext cx="6569364" cy="2896755"/>
          <a:chOff x="3022600" y="3314700"/>
          <a:chExt cx="8653971" cy="3835226"/>
        </a:xfrm>
      </xdr:grpSpPr>
      <xdr:pic>
        <xdr:nvPicPr>
          <xdr:cNvPr id="3" name="Image 2">
            <a:extLst>
              <a:ext uri="{FF2B5EF4-FFF2-40B4-BE49-F238E27FC236}">
                <a16:creationId xmlns:a16="http://schemas.microsoft.com/office/drawing/2014/main" id="{0C96CD5F-AE54-40C6-9E8C-FB6CCDC5611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>
            <a:fillRect/>
          </a:stretch>
        </xdr:blipFill>
        <xdr:spPr>
          <a:xfrm>
            <a:off x="3048000" y="3314700"/>
            <a:ext cx="8628571" cy="2495238"/>
          </a:xfrm>
          <a:prstGeom prst="rect">
            <a:avLst/>
          </a:prstGeom>
        </xdr:spPr>
      </xdr:pic>
      <xdr:pic>
        <xdr:nvPicPr>
          <xdr:cNvPr id="4" name="Image 3">
            <a:extLst>
              <a:ext uri="{FF2B5EF4-FFF2-40B4-BE49-F238E27FC236}">
                <a16:creationId xmlns:a16="http://schemas.microsoft.com/office/drawing/2014/main" id="{4A209379-9759-4FE5-969A-8F38A27C75E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/>
          <a:stretch>
            <a:fillRect/>
          </a:stretch>
        </xdr:blipFill>
        <xdr:spPr>
          <a:xfrm>
            <a:off x="3022600" y="5759450"/>
            <a:ext cx="8638095" cy="1390476"/>
          </a:xfrm>
          <a:prstGeom prst="rect">
            <a:avLst/>
          </a:prstGeom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21</xdr:row>
      <xdr:rowOff>0</xdr:rowOff>
    </xdr:from>
    <xdr:to>
      <xdr:col>6</xdr:col>
      <xdr:colOff>312498</xdr:colOff>
      <xdr:row>37</xdr:row>
      <xdr:rowOff>100017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3ECF89A0-AF01-4EBB-9967-61947DE9A2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../Doc%204%20-%20photo%20geoportail%202006%202010%20et%202020.pptx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../Doc%204%20ter%20-%20photo%20in%20situ%20Avril%202020.pptx" TargetMode="External"/><Relationship Id="rId1" Type="http://schemas.openxmlformats.org/officeDocument/2006/relationships/hyperlink" Target="../Table%20de%20production%20douglas%20Decourt.pdf" TargetMode="External"/><Relationship Id="rId6" Type="http://schemas.openxmlformats.org/officeDocument/2006/relationships/hyperlink" Target="../2020-ARA-KKP-2659_Boisement_Vaux-en-Beaujolais_69vs%5b9049%5d.pdf" TargetMode="External"/><Relationship Id="rId5" Type="http://schemas.openxmlformats.org/officeDocument/2006/relationships/hyperlink" Target="../Document%201%20Parcelles%20vaux%20en%20beaujolais.pdf" TargetMode="External"/><Relationship Id="rId4" Type="http://schemas.openxmlformats.org/officeDocument/2006/relationships/hyperlink" Target="../Document%200%20bail%20terrain%20Sylvair%20Mai%202020%202021.docx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C20CB8-0408-4B46-BE88-81B2EB7F6012}">
  <sheetPr>
    <tabColor theme="4" tint="-0.499984740745262"/>
  </sheetPr>
  <dimension ref="A1:D17"/>
  <sheetViews>
    <sheetView zoomScale="85" zoomScaleNormal="85" workbookViewId="0">
      <selection activeCell="D11" sqref="D11"/>
    </sheetView>
  </sheetViews>
  <sheetFormatPr baseColWidth="10" defaultColWidth="10.90625" defaultRowHeight="14.5" x14ac:dyDescent="0.35"/>
  <cols>
    <col min="1" max="1" width="14.08984375" style="5" customWidth="1"/>
    <col min="2" max="2" width="14.08984375" style="3" customWidth="1"/>
    <col min="3" max="3" width="79.26953125" style="3" customWidth="1"/>
    <col min="4" max="4" width="46.1796875" style="5" customWidth="1"/>
    <col min="5" max="16384" width="10.90625" style="5"/>
  </cols>
  <sheetData>
    <row r="1" spans="1:4" x14ac:dyDescent="0.35">
      <c r="C1" s="5" t="s">
        <v>14</v>
      </c>
      <c r="D1" s="5" t="s">
        <v>48</v>
      </c>
    </row>
    <row r="2" spans="1:4" s="6" customFormat="1" ht="29" x14ac:dyDescent="0.35">
      <c r="A2" s="52" t="s">
        <v>15</v>
      </c>
      <c r="B2" s="59" t="s">
        <v>31</v>
      </c>
      <c r="C2" s="67" t="s">
        <v>34</v>
      </c>
      <c r="D2" s="69" t="s">
        <v>106</v>
      </c>
    </row>
    <row r="3" spans="1:4" s="6" customFormat="1" x14ac:dyDescent="0.35">
      <c r="A3" s="52" t="s">
        <v>16</v>
      </c>
      <c r="B3" s="54" t="s">
        <v>33</v>
      </c>
      <c r="C3" s="68" t="s">
        <v>35</v>
      </c>
      <c r="D3" s="69" t="s">
        <v>107</v>
      </c>
    </row>
    <row r="4" spans="1:4" s="6" customFormat="1" ht="87" x14ac:dyDescent="0.35">
      <c r="A4" s="52" t="s">
        <v>17</v>
      </c>
      <c r="B4" s="54" t="s">
        <v>33</v>
      </c>
      <c r="C4" s="60" t="s">
        <v>38</v>
      </c>
      <c r="D4" s="61" t="s">
        <v>108</v>
      </c>
    </row>
    <row r="5" spans="1:4" s="6" customFormat="1" x14ac:dyDescent="0.35">
      <c r="A5" s="53" t="s">
        <v>27</v>
      </c>
      <c r="B5" s="73" t="s">
        <v>33</v>
      </c>
      <c r="C5" s="4" t="s">
        <v>36</v>
      </c>
    </row>
    <row r="6" spans="1:4" s="6" customFormat="1" ht="29" x14ac:dyDescent="0.35">
      <c r="A6" s="53" t="s">
        <v>28</v>
      </c>
      <c r="B6" s="73"/>
      <c r="C6" s="4" t="s">
        <v>37</v>
      </c>
    </row>
    <row r="7" spans="1:4" s="6" customFormat="1" x14ac:dyDescent="0.35">
      <c r="A7" s="52" t="s">
        <v>18</v>
      </c>
      <c r="B7" s="59" t="s">
        <v>31</v>
      </c>
      <c r="C7" s="62" t="s">
        <v>39</v>
      </c>
      <c r="D7" s="63"/>
    </row>
    <row r="8" spans="1:4" s="6" customFormat="1" ht="43.5" customHeight="1" x14ac:dyDescent="0.35">
      <c r="A8" s="52" t="s">
        <v>19</v>
      </c>
      <c r="B8" s="54" t="s">
        <v>33</v>
      </c>
      <c r="C8" s="73" t="s">
        <v>40</v>
      </c>
      <c r="D8" s="55" t="s">
        <v>105</v>
      </c>
    </row>
    <row r="9" spans="1:4" s="6" customFormat="1" x14ac:dyDescent="0.35">
      <c r="A9" s="52" t="s">
        <v>29</v>
      </c>
      <c r="B9" s="54" t="s">
        <v>33</v>
      </c>
      <c r="C9" s="73"/>
    </row>
    <row r="10" spans="1:4" s="6" customFormat="1" ht="43.5" x14ac:dyDescent="0.35">
      <c r="A10" s="52" t="s">
        <v>30</v>
      </c>
      <c r="B10" s="54" t="s">
        <v>33</v>
      </c>
      <c r="C10" s="4" t="s">
        <v>41</v>
      </c>
      <c r="D10" s="55" t="s">
        <v>104</v>
      </c>
    </row>
    <row r="11" spans="1:4" s="6" customFormat="1" ht="58" x14ac:dyDescent="0.35">
      <c r="A11" s="52" t="s">
        <v>20</v>
      </c>
      <c r="B11" s="54" t="s">
        <v>33</v>
      </c>
      <c r="C11" s="4" t="s">
        <v>42</v>
      </c>
      <c r="D11" s="55" t="s">
        <v>113</v>
      </c>
    </row>
    <row r="12" spans="1:4" s="6" customFormat="1" ht="29" x14ac:dyDescent="0.35">
      <c r="A12" s="52" t="s">
        <v>21</v>
      </c>
      <c r="B12" s="54" t="s">
        <v>33</v>
      </c>
      <c r="C12" s="60" t="s">
        <v>98</v>
      </c>
      <c r="D12" s="61" t="s">
        <v>99</v>
      </c>
    </row>
    <row r="13" spans="1:4" s="6" customFormat="1" x14ac:dyDescent="0.35">
      <c r="A13" s="52" t="s">
        <v>22</v>
      </c>
      <c r="B13" s="54" t="s">
        <v>32</v>
      </c>
      <c r="C13" s="64" t="s">
        <v>43</v>
      </c>
      <c r="D13" s="65" t="s">
        <v>100</v>
      </c>
    </row>
    <row r="14" spans="1:4" s="6" customFormat="1" x14ac:dyDescent="0.35">
      <c r="A14" s="52" t="s">
        <v>23</v>
      </c>
      <c r="B14" s="54" t="s">
        <v>32</v>
      </c>
      <c r="C14" s="64" t="s">
        <v>44</v>
      </c>
      <c r="D14" s="66" t="s">
        <v>95</v>
      </c>
    </row>
    <row r="15" spans="1:4" s="6" customFormat="1" x14ac:dyDescent="0.35">
      <c r="A15" s="52" t="s">
        <v>24</v>
      </c>
      <c r="B15" s="54" t="s">
        <v>31</v>
      </c>
      <c r="C15" s="4" t="s">
        <v>45</v>
      </c>
      <c r="D15" s="6" t="s">
        <v>101</v>
      </c>
    </row>
    <row r="16" spans="1:4" s="6" customFormat="1" ht="58" x14ac:dyDescent="0.35">
      <c r="A16" s="52" t="s">
        <v>25</v>
      </c>
      <c r="B16" s="54" t="s">
        <v>33</v>
      </c>
      <c r="C16" s="4" t="s">
        <v>46</v>
      </c>
      <c r="D16" s="55" t="s">
        <v>96</v>
      </c>
    </row>
    <row r="17" spans="1:4" s="6" customFormat="1" x14ac:dyDescent="0.35">
      <c r="A17" s="52" t="s">
        <v>26</v>
      </c>
      <c r="B17" s="54" t="s">
        <v>33</v>
      </c>
      <c r="C17" s="4" t="s">
        <v>47</v>
      </c>
      <c r="D17" s="56" t="s">
        <v>97</v>
      </c>
    </row>
  </sheetData>
  <mergeCells count="2">
    <mergeCell ref="B5:B6"/>
    <mergeCell ref="C8:C9"/>
  </mergeCells>
  <phoneticPr fontId="3" type="noConversion"/>
  <hyperlinks>
    <hyperlink ref="D14" location="VAN!A1" display="VAN!A1" xr:uid="{42F80C05-E35C-4D57-BC96-5F4868AB69ED}"/>
    <hyperlink ref="D16" r:id="rId1" xr:uid="{A631B758-D757-4A7C-8F2E-E7402E5B4F40}"/>
    <hyperlink ref="D17" location="'Calcul 1'!A1" display="'Calcul 1'!A1" xr:uid="{CB92EB9C-6B7A-45ED-8AAF-D99483C1C194}"/>
    <hyperlink ref="D10" r:id="rId2" xr:uid="{0BD1F659-659D-4F3A-A621-049A1813D443}"/>
    <hyperlink ref="D8" r:id="rId3" xr:uid="{9FB5A238-65B7-42B5-9FE7-8554F765AC4C}"/>
    <hyperlink ref="D2" r:id="rId4" display="Bail agricole ? " xr:uid="{583B2F1C-9950-45FB-ACAC-1DA3AE19F1E0}"/>
    <hyperlink ref="D3" r:id="rId5" display="Vincent" xr:uid="{1D3515BF-AE91-46C7-BDD8-9FFF237A67FD}"/>
    <hyperlink ref="D11" r:id="rId6" xr:uid="{2A04F78E-A86E-46EC-BF43-E8B0024D81B1}"/>
  </hyperlinks>
  <pageMargins left="0.7" right="0.7" top="0.75" bottom="0.75" header="0.3" footer="0.3"/>
  <pageSetup paperSize="9" orientation="portrait" horizontalDpi="300" verticalDpi="300" r:id="rId7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B61975-021D-4132-BAC5-9ECD2222DE81}">
  <sheetPr>
    <tabColor rgb="FFC00000"/>
  </sheetPr>
  <dimension ref="A1:S37"/>
  <sheetViews>
    <sheetView zoomScale="55" zoomScaleNormal="55" workbookViewId="0">
      <selection activeCell="D9" sqref="D9"/>
    </sheetView>
  </sheetViews>
  <sheetFormatPr baseColWidth="10" defaultColWidth="10.7265625" defaultRowHeight="14.5" x14ac:dyDescent="0.35"/>
  <cols>
    <col min="2" max="2" width="57.81640625" customWidth="1"/>
    <col min="3" max="3" width="43.54296875" customWidth="1"/>
    <col min="15" max="18" width="18.26953125" customWidth="1"/>
    <col min="19" max="19" width="32.1796875" customWidth="1"/>
  </cols>
  <sheetData>
    <row r="1" spans="1:19" x14ac:dyDescent="0.35">
      <c r="A1" s="8" t="s">
        <v>49</v>
      </c>
      <c r="B1" s="9" t="s">
        <v>51</v>
      </c>
      <c r="C1" s="8"/>
      <c r="G1" s="74" t="s">
        <v>61</v>
      </c>
      <c r="H1" s="75"/>
      <c r="I1" s="75"/>
      <c r="J1" s="75"/>
      <c r="K1" s="76"/>
      <c r="O1" s="74" t="s">
        <v>50</v>
      </c>
      <c r="P1" s="75"/>
      <c r="Q1" s="75"/>
      <c r="R1" s="75"/>
      <c r="S1" s="76"/>
    </row>
    <row r="2" spans="1:19" ht="65" x14ac:dyDescent="0.35">
      <c r="A2" s="10" t="s">
        <v>52</v>
      </c>
      <c r="B2" s="10" t="s">
        <v>53</v>
      </c>
      <c r="C2" s="11">
        <f>SUM(I3:I37)</f>
        <v>3126</v>
      </c>
      <c r="G2" s="19" t="s">
        <v>62</v>
      </c>
      <c r="H2" s="20" t="s">
        <v>63</v>
      </c>
      <c r="I2" s="20" t="s">
        <v>64</v>
      </c>
      <c r="J2" s="20" t="s">
        <v>65</v>
      </c>
      <c r="K2" s="20"/>
      <c r="O2" s="20" t="s">
        <v>87</v>
      </c>
      <c r="P2" s="20" t="s">
        <v>88</v>
      </c>
      <c r="Q2" s="20" t="s">
        <v>89</v>
      </c>
      <c r="R2" s="20" t="s">
        <v>57</v>
      </c>
      <c r="S2" s="20"/>
    </row>
    <row r="3" spans="1:19" ht="29" x14ac:dyDescent="0.35">
      <c r="A3" s="10" t="s">
        <v>54</v>
      </c>
      <c r="B3" s="10" t="s">
        <v>66</v>
      </c>
      <c r="C3" s="11">
        <f>SUM(H3:H37)</f>
        <v>9554.4989739605116</v>
      </c>
      <c r="G3" s="21">
        <v>1</v>
      </c>
      <c r="H3" s="22"/>
      <c r="I3" s="22">
        <v>1801</v>
      </c>
      <c r="J3" s="23">
        <f>POWER((1+$C$5),G3)</f>
        <v>1.0449999999999999</v>
      </c>
      <c r="K3" s="24">
        <f>(H3-I3)/J3</f>
        <v>-1723.4449760765551</v>
      </c>
      <c r="O3" s="50" t="s">
        <v>94</v>
      </c>
      <c r="P3" s="50" t="s">
        <v>93</v>
      </c>
      <c r="Q3" s="50" t="s">
        <v>92</v>
      </c>
      <c r="R3" s="50" t="s">
        <v>91</v>
      </c>
      <c r="S3" s="50" t="s">
        <v>90</v>
      </c>
    </row>
    <row r="4" spans="1:19" ht="26" x14ac:dyDescent="0.35">
      <c r="A4" s="10" t="s">
        <v>55</v>
      </c>
      <c r="B4" s="10" t="s">
        <v>56</v>
      </c>
      <c r="C4" s="12">
        <f>G37</f>
        <v>35</v>
      </c>
      <c r="G4" s="21">
        <v>2</v>
      </c>
      <c r="H4" s="22"/>
      <c r="I4" s="22"/>
      <c r="J4" s="23">
        <f t="shared" ref="J4:J37" si="0">POWER((1+$C$5),G4)</f>
        <v>1.0920249999999998</v>
      </c>
      <c r="K4" s="24">
        <f>(H4-I4)/J4</f>
        <v>0</v>
      </c>
      <c r="O4" s="22">
        <v>45</v>
      </c>
      <c r="P4" s="22">
        <v>35</v>
      </c>
      <c r="Q4" s="51">
        <f>45/35</f>
        <v>1.2857142857142858</v>
      </c>
      <c r="R4" s="22">
        <v>4.4999999999999998E-2</v>
      </c>
      <c r="S4" s="22">
        <v>1.3</v>
      </c>
    </row>
    <row r="5" spans="1:19" x14ac:dyDescent="0.35">
      <c r="A5" s="10" t="s">
        <v>57</v>
      </c>
      <c r="B5" s="10" t="s">
        <v>58</v>
      </c>
      <c r="C5" s="15">
        <v>4.4999999999999998E-2</v>
      </c>
      <c r="G5" s="21">
        <v>3</v>
      </c>
      <c r="H5" s="22"/>
      <c r="I5" s="22"/>
      <c r="J5" s="23">
        <f t="shared" si="0"/>
        <v>1.1411661249999998</v>
      </c>
      <c r="K5" s="24">
        <f t="shared" ref="K5:K36" si="1">(H5-I5)/J5</f>
        <v>0</v>
      </c>
    </row>
    <row r="6" spans="1:19" x14ac:dyDescent="0.35">
      <c r="A6" s="5"/>
      <c r="B6" s="6"/>
      <c r="C6" s="5"/>
      <c r="G6" s="21">
        <v>4</v>
      </c>
      <c r="H6" s="22"/>
      <c r="I6" s="22"/>
      <c r="J6" s="23">
        <f t="shared" si="0"/>
        <v>1.1925186006249995</v>
      </c>
      <c r="K6" s="24">
        <f t="shared" si="1"/>
        <v>0</v>
      </c>
    </row>
    <row r="7" spans="1:19" x14ac:dyDescent="0.35">
      <c r="A7" s="10"/>
      <c r="B7" s="10" t="s">
        <v>86</v>
      </c>
      <c r="C7" s="11">
        <f>+SUM(K3:K37)</f>
        <v>-412.77166283791826</v>
      </c>
      <c r="G7" s="21">
        <v>5</v>
      </c>
      <c r="H7" s="22"/>
      <c r="I7" s="22">
        <v>825</v>
      </c>
      <c r="J7" s="23">
        <f t="shared" si="0"/>
        <v>1.2461819376531245</v>
      </c>
      <c r="K7" s="24">
        <f t="shared" si="1"/>
        <v>-662.02211336306436</v>
      </c>
    </row>
    <row r="8" spans="1:19" x14ac:dyDescent="0.35">
      <c r="A8" s="13"/>
      <c r="B8" s="13" t="s">
        <v>59</v>
      </c>
      <c r="C8" s="14">
        <f>+((O4*P4)/((1+R4)^(O4/Q4)))*S4</f>
        <v>438.68596970690339</v>
      </c>
      <c r="G8" s="21">
        <v>6</v>
      </c>
      <c r="H8" s="22"/>
      <c r="I8" s="22"/>
      <c r="J8" s="23">
        <f t="shared" si="0"/>
        <v>1.3022601248475147</v>
      </c>
      <c r="K8" s="24">
        <f>(H8-I8)/J8</f>
        <v>0</v>
      </c>
    </row>
    <row r="9" spans="1:19" x14ac:dyDescent="0.35">
      <c r="A9" s="16"/>
      <c r="B9" s="17" t="s">
        <v>60</v>
      </c>
      <c r="C9" s="18">
        <f>+C7-C8</f>
        <v>-851.45763254482165</v>
      </c>
      <c r="G9" s="21">
        <v>7</v>
      </c>
      <c r="H9" s="22"/>
      <c r="I9" s="22"/>
      <c r="J9" s="23">
        <f t="shared" si="0"/>
        <v>1.360861830465653</v>
      </c>
      <c r="K9" s="24">
        <f t="shared" si="1"/>
        <v>0</v>
      </c>
    </row>
    <row r="10" spans="1:19" x14ac:dyDescent="0.35">
      <c r="G10" s="21">
        <v>8</v>
      </c>
      <c r="H10" s="22"/>
      <c r="I10" s="22"/>
      <c r="J10" s="23">
        <f t="shared" si="0"/>
        <v>1.4221006128366069</v>
      </c>
      <c r="K10" s="24">
        <f t="shared" si="1"/>
        <v>0</v>
      </c>
    </row>
    <row r="11" spans="1:19" x14ac:dyDescent="0.35">
      <c r="G11" s="21">
        <v>9</v>
      </c>
      <c r="H11" s="22"/>
      <c r="I11" s="22"/>
      <c r="J11" s="23">
        <f t="shared" si="0"/>
        <v>1.4860951404142542</v>
      </c>
      <c r="K11" s="24">
        <f t="shared" si="1"/>
        <v>0</v>
      </c>
    </row>
    <row r="12" spans="1:19" x14ac:dyDescent="0.35">
      <c r="G12" s="21">
        <v>10</v>
      </c>
      <c r="H12" s="22"/>
      <c r="I12" s="22"/>
      <c r="J12" s="23">
        <f t="shared" si="0"/>
        <v>1.5529694217328953</v>
      </c>
      <c r="K12" s="24">
        <f t="shared" si="1"/>
        <v>0</v>
      </c>
    </row>
    <row r="13" spans="1:19" x14ac:dyDescent="0.35">
      <c r="G13" s="21">
        <v>11</v>
      </c>
      <c r="H13" s="22"/>
      <c r="I13" s="22"/>
      <c r="J13" s="23">
        <f t="shared" si="0"/>
        <v>1.6228530457108756</v>
      </c>
      <c r="K13" s="24">
        <f t="shared" si="1"/>
        <v>0</v>
      </c>
    </row>
    <row r="14" spans="1:19" x14ac:dyDescent="0.35">
      <c r="G14" s="21">
        <v>12</v>
      </c>
      <c r="H14" s="22"/>
      <c r="I14" s="22"/>
      <c r="J14" s="23">
        <f t="shared" si="0"/>
        <v>1.6958814327678646</v>
      </c>
      <c r="K14" s="24">
        <f t="shared" si="1"/>
        <v>0</v>
      </c>
    </row>
    <row r="15" spans="1:19" x14ac:dyDescent="0.35">
      <c r="G15" s="21">
        <v>13</v>
      </c>
      <c r="H15" s="22"/>
      <c r="I15" s="22"/>
      <c r="J15" s="23">
        <f t="shared" si="0"/>
        <v>1.7721960972424187</v>
      </c>
      <c r="K15" s="24">
        <f t="shared" si="1"/>
        <v>0</v>
      </c>
    </row>
    <row r="16" spans="1:19" x14ac:dyDescent="0.35">
      <c r="G16" s="21">
        <v>14</v>
      </c>
      <c r="H16" s="22"/>
      <c r="I16" s="22"/>
      <c r="J16" s="23">
        <f t="shared" si="0"/>
        <v>1.851944921618327</v>
      </c>
      <c r="K16" s="24">
        <f t="shared" si="1"/>
        <v>0</v>
      </c>
    </row>
    <row r="17" spans="7:11" x14ac:dyDescent="0.35">
      <c r="G17" s="21">
        <v>15</v>
      </c>
      <c r="H17" s="22"/>
      <c r="I17" s="22"/>
      <c r="J17" s="23">
        <f t="shared" si="0"/>
        <v>1.9352824430911519</v>
      </c>
      <c r="K17" s="24">
        <f t="shared" si="1"/>
        <v>0</v>
      </c>
    </row>
    <row r="18" spans="7:11" x14ac:dyDescent="0.35">
      <c r="G18" s="21">
        <v>16</v>
      </c>
      <c r="H18" s="22"/>
      <c r="I18" s="22"/>
      <c r="J18" s="23">
        <f t="shared" si="0"/>
        <v>2.0223701530302529</v>
      </c>
      <c r="K18" s="24">
        <f t="shared" si="1"/>
        <v>0</v>
      </c>
    </row>
    <row r="19" spans="7:11" x14ac:dyDescent="0.35">
      <c r="G19" s="21">
        <v>17</v>
      </c>
      <c r="H19" s="22"/>
      <c r="I19" s="22"/>
      <c r="J19" s="23">
        <f t="shared" si="0"/>
        <v>2.1133768099166144</v>
      </c>
      <c r="K19" s="24">
        <f t="shared" si="1"/>
        <v>0</v>
      </c>
    </row>
    <row r="20" spans="7:11" x14ac:dyDescent="0.35">
      <c r="G20" s="21">
        <v>18</v>
      </c>
      <c r="H20" s="22"/>
      <c r="I20" s="22"/>
      <c r="J20" s="23">
        <f t="shared" si="0"/>
        <v>2.2084787663628616</v>
      </c>
      <c r="K20" s="24">
        <f t="shared" si="1"/>
        <v>0</v>
      </c>
    </row>
    <row r="21" spans="7:11" x14ac:dyDescent="0.35">
      <c r="G21" s="21">
        <v>19</v>
      </c>
      <c r="H21" s="22"/>
      <c r="I21" s="22"/>
      <c r="J21" s="23">
        <f t="shared" si="0"/>
        <v>2.3078603108491902</v>
      </c>
      <c r="K21" s="24">
        <f t="shared" si="1"/>
        <v>0</v>
      </c>
    </row>
    <row r="22" spans="7:11" x14ac:dyDescent="0.35">
      <c r="G22" s="21">
        <v>20</v>
      </c>
      <c r="H22" s="22"/>
      <c r="I22" s="22"/>
      <c r="J22" s="23">
        <f t="shared" si="0"/>
        <v>2.4117140248374032</v>
      </c>
      <c r="K22" s="24">
        <f t="shared" si="1"/>
        <v>0</v>
      </c>
    </row>
    <row r="23" spans="7:11" x14ac:dyDescent="0.35">
      <c r="G23" s="21">
        <v>21</v>
      </c>
      <c r="H23" s="22"/>
      <c r="I23" s="22"/>
      <c r="J23" s="23">
        <f t="shared" si="0"/>
        <v>2.5202411559550866</v>
      </c>
      <c r="K23" s="24">
        <f t="shared" si="1"/>
        <v>0</v>
      </c>
    </row>
    <row r="24" spans="7:11" x14ac:dyDescent="0.35">
      <c r="G24" s="21">
        <v>22</v>
      </c>
      <c r="H24" s="22">
        <v>400</v>
      </c>
      <c r="I24" s="22">
        <v>250</v>
      </c>
      <c r="J24" s="23">
        <f t="shared" si="0"/>
        <v>2.6336520079730645</v>
      </c>
      <c r="K24" s="24">
        <f t="shared" si="1"/>
        <v>56.955132851983883</v>
      </c>
    </row>
    <row r="25" spans="7:11" x14ac:dyDescent="0.35">
      <c r="G25" s="21">
        <v>23</v>
      </c>
      <c r="H25" s="22"/>
      <c r="I25" s="22"/>
      <c r="J25" s="23">
        <f t="shared" si="0"/>
        <v>2.7521663483318526</v>
      </c>
      <c r="K25" s="24">
        <f t="shared" si="1"/>
        <v>0</v>
      </c>
    </row>
    <row r="26" spans="7:11" x14ac:dyDescent="0.35">
      <c r="G26" s="21">
        <v>24</v>
      </c>
      <c r="H26" s="22"/>
      <c r="I26" s="22"/>
      <c r="J26" s="23">
        <f t="shared" si="0"/>
        <v>2.8760138340067853</v>
      </c>
      <c r="K26" s="24">
        <f t="shared" si="1"/>
        <v>0</v>
      </c>
    </row>
    <row r="27" spans="7:11" x14ac:dyDescent="0.35">
      <c r="G27" s="21">
        <v>25</v>
      </c>
      <c r="H27" s="22"/>
      <c r="I27" s="22"/>
      <c r="J27" s="23">
        <f t="shared" si="0"/>
        <v>3.0054344565370905</v>
      </c>
      <c r="K27" s="24">
        <f t="shared" si="1"/>
        <v>0</v>
      </c>
    </row>
    <row r="28" spans="7:11" x14ac:dyDescent="0.35">
      <c r="G28" s="21">
        <v>26</v>
      </c>
      <c r="H28" s="22"/>
      <c r="I28" s="22"/>
      <c r="J28" s="23">
        <f t="shared" si="0"/>
        <v>3.1406790070812587</v>
      </c>
      <c r="K28" s="24">
        <f t="shared" si="1"/>
        <v>0</v>
      </c>
    </row>
    <row r="29" spans="7:11" x14ac:dyDescent="0.35">
      <c r="G29" s="21">
        <v>27</v>
      </c>
      <c r="H29" s="22"/>
      <c r="I29" s="22"/>
      <c r="J29" s="23">
        <f t="shared" si="0"/>
        <v>3.2820095623999155</v>
      </c>
      <c r="K29" s="24">
        <f t="shared" si="1"/>
        <v>0</v>
      </c>
    </row>
    <row r="30" spans="7:11" x14ac:dyDescent="0.35">
      <c r="G30" s="21">
        <v>28</v>
      </c>
      <c r="H30" s="22"/>
      <c r="I30" s="22"/>
      <c r="J30" s="23">
        <f t="shared" si="0"/>
        <v>3.4296999927079108</v>
      </c>
      <c r="K30" s="24">
        <f t="shared" si="1"/>
        <v>0</v>
      </c>
    </row>
    <row r="31" spans="7:11" x14ac:dyDescent="0.35">
      <c r="G31" s="21">
        <v>29</v>
      </c>
      <c r="H31" s="22"/>
      <c r="I31" s="22"/>
      <c r="J31" s="23">
        <f t="shared" si="0"/>
        <v>3.5840364923797674</v>
      </c>
      <c r="K31" s="24">
        <f t="shared" si="1"/>
        <v>0</v>
      </c>
    </row>
    <row r="32" spans="7:11" x14ac:dyDescent="0.35">
      <c r="G32" s="21">
        <v>30</v>
      </c>
      <c r="H32" s="22">
        <v>400</v>
      </c>
      <c r="I32" s="22">
        <v>250</v>
      </c>
      <c r="J32" s="23">
        <f t="shared" si="0"/>
        <v>3.7453181345368556</v>
      </c>
      <c r="K32" s="24">
        <f t="shared" si="1"/>
        <v>40.050002326050453</v>
      </c>
    </row>
    <row r="33" spans="7:11" x14ac:dyDescent="0.35">
      <c r="G33" s="21">
        <v>31</v>
      </c>
      <c r="H33" s="22"/>
      <c r="I33" s="22"/>
      <c r="J33" s="23">
        <f t="shared" si="0"/>
        <v>3.9138574505910149</v>
      </c>
      <c r="K33" s="24">
        <f t="shared" si="1"/>
        <v>0</v>
      </c>
    </row>
    <row r="34" spans="7:11" x14ac:dyDescent="0.35">
      <c r="G34" s="21">
        <v>32</v>
      </c>
      <c r="H34" s="22"/>
      <c r="I34" s="22"/>
      <c r="J34" s="23">
        <f t="shared" si="0"/>
        <v>4.0899810358676083</v>
      </c>
      <c r="K34" s="24">
        <f t="shared" si="1"/>
        <v>0</v>
      </c>
    </row>
    <row r="35" spans="7:11" x14ac:dyDescent="0.35">
      <c r="G35" s="21">
        <v>33</v>
      </c>
      <c r="H35" s="22"/>
      <c r="I35" s="22"/>
      <c r="J35" s="23">
        <f t="shared" si="0"/>
        <v>4.27403018248165</v>
      </c>
      <c r="K35" s="24">
        <f t="shared" si="1"/>
        <v>0</v>
      </c>
    </row>
    <row r="36" spans="7:11" x14ac:dyDescent="0.35">
      <c r="G36" s="21">
        <v>34</v>
      </c>
      <c r="H36" s="22"/>
      <c r="I36" s="22"/>
      <c r="J36" s="23">
        <f t="shared" si="0"/>
        <v>4.4663615406933239</v>
      </c>
      <c r="K36" s="24">
        <f t="shared" si="1"/>
        <v>0</v>
      </c>
    </row>
    <row r="37" spans="7:11" x14ac:dyDescent="0.35">
      <c r="G37" s="21">
        <v>35</v>
      </c>
      <c r="H37" s="25">
        <f>+('Calcul parcelle '!B4)*10000*POWER(1.015,35)</f>
        <v>8754.4989739605116</v>
      </c>
      <c r="I37" s="22"/>
      <c r="J37" s="23">
        <f t="shared" si="0"/>
        <v>4.6673478100245234</v>
      </c>
      <c r="K37" s="24">
        <f>(H37-I37)/J37</f>
        <v>1875.6902914236668</v>
      </c>
    </row>
  </sheetData>
  <mergeCells count="2">
    <mergeCell ref="G1:K1"/>
    <mergeCell ref="O1:S1"/>
  </mergeCells>
  <pageMargins left="0.7" right="0.7" top="0.75" bottom="0.75" header="0.3" footer="0.3"/>
  <pageSetup paperSize="9" orientation="portrait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6436D3-5042-4235-923A-BA8174D908BC}">
  <sheetPr>
    <tabColor theme="4" tint="-0.249977111117893"/>
  </sheetPr>
  <dimension ref="A1:P70"/>
  <sheetViews>
    <sheetView tabSelected="1" zoomScale="59" zoomScaleNormal="70" workbookViewId="0">
      <selection activeCell="I14" sqref="I14"/>
    </sheetView>
  </sheetViews>
  <sheetFormatPr baseColWidth="10" defaultColWidth="10.7265625" defaultRowHeight="14.5" x14ac:dyDescent="0.35"/>
  <cols>
    <col min="1" max="1" width="20.6328125" customWidth="1"/>
    <col min="2" max="2" width="17.7265625" style="33" customWidth="1"/>
    <col min="3" max="3" width="10.90625" style="2"/>
    <col min="4" max="4" width="10.1796875" style="2" customWidth="1"/>
    <col min="5" max="5" width="17.36328125" style="2" bestFit="1" customWidth="1"/>
    <col min="6" max="6" width="2.453125" customWidth="1"/>
    <col min="7" max="7" width="14.81640625" style="33" bestFit="1" customWidth="1"/>
    <col min="8" max="8" width="14.81640625" style="33" customWidth="1"/>
    <col min="9" max="9" width="3.453125" customWidth="1"/>
    <col min="10" max="16" width="23.08984375" style="2" customWidth="1"/>
  </cols>
  <sheetData>
    <row r="1" spans="1:16" s="28" customFormat="1" ht="26" x14ac:dyDescent="0.6">
      <c r="A1" s="26" t="str">
        <f>"Gain en tCO² sur 30 ans pour "&amp;A5</f>
        <v>Gain en tCO² sur 30 ans pour Douglas (Pseudotsuga menziesii)</v>
      </c>
      <c r="B1" s="27">
        <f>J34+J36-J70</f>
        <v>491.93112096491109</v>
      </c>
      <c r="D1" s="29"/>
      <c r="E1" s="29"/>
      <c r="G1" s="30"/>
      <c r="H1" s="30"/>
      <c r="J1" s="29"/>
      <c r="K1" s="29"/>
      <c r="L1" s="29"/>
      <c r="M1" s="29"/>
      <c r="N1" s="29"/>
      <c r="O1" s="29"/>
      <c r="P1" s="29"/>
    </row>
    <row r="4" spans="1:16" s="5" customFormat="1" ht="43.5" x14ac:dyDescent="0.35">
      <c r="A4" s="31" t="s">
        <v>67</v>
      </c>
      <c r="B4" s="32" t="s">
        <v>68</v>
      </c>
      <c r="C4" s="33"/>
      <c r="D4" s="30" t="s">
        <v>69</v>
      </c>
      <c r="E4" s="30" t="s">
        <v>55</v>
      </c>
      <c r="G4" s="30" t="s">
        <v>70</v>
      </c>
      <c r="H4" s="71" t="s">
        <v>109</v>
      </c>
      <c r="J4" s="34" t="str">
        <f>"S(projet) en tCO² pour "&amp;A5</f>
        <v>S(projet) en tCO² pour Douglas (Pseudotsuga menziesii)</v>
      </c>
      <c r="K4" s="35" t="s">
        <v>71</v>
      </c>
      <c r="L4" s="35" t="s">
        <v>72</v>
      </c>
      <c r="M4" s="36" t="s">
        <v>73</v>
      </c>
      <c r="N4" s="36" t="s">
        <v>74</v>
      </c>
      <c r="O4" s="36" t="s">
        <v>75</v>
      </c>
      <c r="P4" s="36" t="s">
        <v>76</v>
      </c>
    </row>
    <row r="5" spans="1:16" ht="28.5" x14ac:dyDescent="0.65">
      <c r="A5" s="37" t="s">
        <v>77</v>
      </c>
      <c r="B5" s="38">
        <f>VLOOKUP(A5,A14:B14,2,0)</f>
        <v>0.53</v>
      </c>
      <c r="D5" s="2">
        <v>1</v>
      </c>
      <c r="E5" s="2">
        <v>1</v>
      </c>
      <c r="G5" s="33">
        <v>8.4</v>
      </c>
      <c r="H5" s="33">
        <v>8.4</v>
      </c>
      <c r="J5" s="39">
        <f t="shared" ref="J5:J18" si="0">(SUM(K5:L5)*M5+N5+O5+P5)*(44/12)</f>
        <v>178.32165621587853</v>
      </c>
      <c r="K5" s="39">
        <f t="shared" ref="K5:K34" si="1">G5*$B$5</f>
        <v>4.4520000000000008</v>
      </c>
      <c r="L5" s="39">
        <f t="shared" ref="L5:L18" si="2">EXP(-1.0587+0.8836*LN(K5))+0.284</f>
        <v>1.582003213179733</v>
      </c>
      <c r="M5" s="2">
        <v>0.47499999999999998</v>
      </c>
      <c r="N5" s="39">
        <f t="shared" ref="N5:N34" si="3">45+(25*(1-EXP(-0.0175*E5)))</f>
        <v>45.433694108373167</v>
      </c>
      <c r="O5" s="72">
        <f>1/3</f>
        <v>0.33333333333333331</v>
      </c>
      <c r="P5" s="2">
        <v>0</v>
      </c>
    </row>
    <row r="6" spans="1:16" x14ac:dyDescent="0.35">
      <c r="D6" s="2">
        <v>2</v>
      </c>
      <c r="E6" s="2">
        <v>2</v>
      </c>
      <c r="G6" s="40">
        <f>G5+H5</f>
        <v>16.8</v>
      </c>
      <c r="H6" s="33">
        <v>8.4</v>
      </c>
      <c r="J6" s="39">
        <f t="shared" si="0"/>
        <v>190.77062551452201</v>
      </c>
      <c r="K6" s="39">
        <f t="shared" si="1"/>
        <v>8.9040000000000017</v>
      </c>
      <c r="L6" s="39">
        <f t="shared" si="2"/>
        <v>2.6787813743662312</v>
      </c>
      <c r="M6" s="2">
        <v>0.47499999999999998</v>
      </c>
      <c r="N6" s="39">
        <f t="shared" si="3"/>
        <v>45.859864593560836</v>
      </c>
      <c r="O6" s="72">
        <f>O5+(1/3)</f>
        <v>0.66666666666666663</v>
      </c>
      <c r="P6" s="2">
        <v>0</v>
      </c>
    </row>
    <row r="7" spans="1:16" x14ac:dyDescent="0.35">
      <c r="A7" s="41" t="str">
        <f>"Volume final pour "&amp;A5</f>
        <v>Volume final pour Douglas (Pseudotsuga menziesii)</v>
      </c>
      <c r="B7" s="33">
        <f>VLOOKUP(A5,A19:B19,2,0)</f>
        <v>450</v>
      </c>
      <c r="D7" s="2">
        <v>3</v>
      </c>
      <c r="E7" s="2">
        <v>3</v>
      </c>
      <c r="G7" s="40">
        <f t="shared" ref="G7:G33" si="4">G6+H6</f>
        <v>25.200000000000003</v>
      </c>
      <c r="H7" s="33">
        <v>8.4</v>
      </c>
      <c r="J7" s="39">
        <f t="shared" si="0"/>
        <v>203.07930352343951</v>
      </c>
      <c r="K7" s="39">
        <f t="shared" si="1"/>
        <v>13.356000000000002</v>
      </c>
      <c r="L7" s="39">
        <f t="shared" si="2"/>
        <v>3.7105739446246546</v>
      </c>
      <c r="M7" s="2">
        <v>0.47499999999999998</v>
      </c>
      <c r="N7" s="39">
        <f t="shared" si="3"/>
        <v>46.278641973604969</v>
      </c>
      <c r="O7" s="72">
        <f t="shared" ref="O7:O34" si="5">O6+(1/3)</f>
        <v>1</v>
      </c>
      <c r="P7" s="2">
        <v>0</v>
      </c>
    </row>
    <row r="8" spans="1:16" x14ac:dyDescent="0.35">
      <c r="A8" s="41" t="str">
        <f>"Coefficient de substitution "&amp;A5</f>
        <v>Coefficient de substitution Douglas (Pseudotsuga menziesii)</v>
      </c>
      <c r="B8" s="33">
        <f>VLOOKUP(A5,A23:B23,2,0)</f>
        <v>0.43</v>
      </c>
      <c r="D8" s="2">
        <v>4</v>
      </c>
      <c r="E8" s="2">
        <v>4</v>
      </c>
      <c r="G8" s="40">
        <f t="shared" si="4"/>
        <v>33.6</v>
      </c>
      <c r="H8" s="33">
        <v>8.4</v>
      </c>
      <c r="J8" s="39">
        <f t="shared" si="0"/>
        <v>215.29157496316617</v>
      </c>
      <c r="K8" s="39">
        <f t="shared" si="1"/>
        <v>17.808000000000003</v>
      </c>
      <c r="L8" s="39">
        <f t="shared" si="2"/>
        <v>4.7023078845871087</v>
      </c>
      <c r="M8" s="2">
        <v>0.47499999999999998</v>
      </c>
      <c r="N8" s="39">
        <f t="shared" si="3"/>
        <v>46.690154502351291</v>
      </c>
      <c r="O8" s="72">
        <f t="shared" si="5"/>
        <v>1.3333333333333333</v>
      </c>
      <c r="P8" s="2">
        <v>0</v>
      </c>
    </row>
    <row r="9" spans="1:16" x14ac:dyDescent="0.35">
      <c r="D9" s="2">
        <v>5</v>
      </c>
      <c r="E9" s="2">
        <v>5</v>
      </c>
      <c r="G9" s="40">
        <f t="shared" si="4"/>
        <v>42</v>
      </c>
      <c r="H9" s="33">
        <v>8.4</v>
      </c>
      <c r="J9" s="39">
        <f t="shared" si="0"/>
        <v>227.42757879464833</v>
      </c>
      <c r="K9" s="39">
        <f t="shared" si="1"/>
        <v>22.26</v>
      </c>
      <c r="L9" s="39">
        <f t="shared" si="2"/>
        <v>5.665280909971866</v>
      </c>
      <c r="M9" s="2">
        <v>0.47499999999999998</v>
      </c>
      <c r="N9" s="39">
        <f t="shared" si="3"/>
        <v>47.094528208728065</v>
      </c>
      <c r="O9" s="72">
        <f t="shared" si="5"/>
        <v>1.6666666666666665</v>
      </c>
      <c r="P9" s="2">
        <v>0</v>
      </c>
    </row>
    <row r="10" spans="1:16" x14ac:dyDescent="0.35">
      <c r="D10" s="2">
        <v>6</v>
      </c>
      <c r="E10" s="2">
        <v>6</v>
      </c>
      <c r="G10" s="40">
        <f t="shared" si="4"/>
        <v>50.4</v>
      </c>
      <c r="H10" s="33">
        <v>8.4</v>
      </c>
      <c r="J10" s="39">
        <f t="shared" si="0"/>
        <v>239.49899360700184</v>
      </c>
      <c r="K10" s="39">
        <f t="shared" si="1"/>
        <v>26.712</v>
      </c>
      <c r="L10" s="39">
        <f t="shared" si="2"/>
        <v>6.6059377095174323</v>
      </c>
      <c r="M10" s="2">
        <v>0.47499999999999998</v>
      </c>
      <c r="N10" s="39">
        <f t="shared" si="3"/>
        <v>47.491886935343359</v>
      </c>
      <c r="O10" s="72">
        <f t="shared" si="5"/>
        <v>1.9999999999999998</v>
      </c>
      <c r="P10" s="2">
        <v>0</v>
      </c>
    </row>
    <row r="11" spans="1:16" x14ac:dyDescent="0.35">
      <c r="D11" s="2">
        <v>7</v>
      </c>
      <c r="E11" s="2">
        <v>7</v>
      </c>
      <c r="G11" s="40">
        <f t="shared" si="4"/>
        <v>58.8</v>
      </c>
      <c r="H11" s="33">
        <v>8.4</v>
      </c>
      <c r="J11" s="39">
        <f t="shared" si="0"/>
        <v>251.51350161321116</v>
      </c>
      <c r="K11" s="39">
        <f t="shared" si="1"/>
        <v>31.164000000000001</v>
      </c>
      <c r="L11" s="39">
        <f t="shared" si="2"/>
        <v>7.5284329248660065</v>
      </c>
      <c r="M11" s="2">
        <v>0.47499999999999998</v>
      </c>
      <c r="N11" s="39">
        <f t="shared" si="3"/>
        <v>47.882352376412911</v>
      </c>
      <c r="O11" s="72">
        <f t="shared" si="5"/>
        <v>2.333333333333333</v>
      </c>
      <c r="P11" s="2">
        <v>0</v>
      </c>
    </row>
    <row r="12" spans="1:16" x14ac:dyDescent="0.35">
      <c r="D12" s="2">
        <v>8</v>
      </c>
      <c r="E12" s="2">
        <v>8</v>
      </c>
      <c r="G12" s="40">
        <f t="shared" si="4"/>
        <v>67.2</v>
      </c>
      <c r="H12" s="33">
        <v>8.4</v>
      </c>
      <c r="J12" s="39">
        <f t="shared" si="0"/>
        <v>263.47658144489412</v>
      </c>
      <c r="K12" s="39">
        <f t="shared" si="1"/>
        <v>35.616000000000007</v>
      </c>
      <c r="L12" s="39">
        <f t="shared" si="2"/>
        <v>8.4356604279465301</v>
      </c>
      <c r="M12" s="2">
        <v>0.47499999999999998</v>
      </c>
      <c r="N12" s="39">
        <f t="shared" si="3"/>
        <v>48.266044115029857</v>
      </c>
      <c r="O12" s="72">
        <f t="shared" si="5"/>
        <v>2.6666666666666665</v>
      </c>
      <c r="P12" s="2">
        <v>0</v>
      </c>
    </row>
    <row r="13" spans="1:16" x14ac:dyDescent="0.35">
      <c r="B13" s="42" t="s">
        <v>78</v>
      </c>
      <c r="D13" s="2">
        <v>9</v>
      </c>
      <c r="E13" s="2">
        <v>9</v>
      </c>
      <c r="G13" s="40">
        <f t="shared" si="4"/>
        <v>75.600000000000009</v>
      </c>
      <c r="H13" s="33">
        <v>8.4</v>
      </c>
      <c r="J13" s="39">
        <f t="shared" si="0"/>
        <v>275.39236854881369</v>
      </c>
      <c r="K13" s="39">
        <f t="shared" si="1"/>
        <v>40.068000000000005</v>
      </c>
      <c r="L13" s="39">
        <f t="shared" si="2"/>
        <v>9.3297472514397786</v>
      </c>
      <c r="M13" s="2">
        <v>0.47499999999999998</v>
      </c>
      <c r="N13" s="39">
        <f t="shared" si="3"/>
        <v>48.643079659788015</v>
      </c>
      <c r="O13" s="72">
        <f t="shared" si="5"/>
        <v>3</v>
      </c>
      <c r="P13" s="2">
        <v>0</v>
      </c>
    </row>
    <row r="14" spans="1:16" x14ac:dyDescent="0.35">
      <c r="A14" s="43" t="s">
        <v>77</v>
      </c>
      <c r="B14" s="38">
        <v>0.53</v>
      </c>
      <c r="D14" s="2">
        <v>10</v>
      </c>
      <c r="E14" s="2">
        <v>10</v>
      </c>
      <c r="G14" s="40">
        <f t="shared" si="4"/>
        <v>84.000000000000014</v>
      </c>
      <c r="H14" s="33">
        <v>8.4</v>
      </c>
      <c r="J14" s="39">
        <f t="shared" si="0"/>
        <v>287.26411936125766</v>
      </c>
      <c r="K14" s="39">
        <f t="shared" si="1"/>
        <v>44.52000000000001</v>
      </c>
      <c r="L14" s="39">
        <f t="shared" si="2"/>
        <v>10.212320024619803</v>
      </c>
      <c r="M14" s="2">
        <v>0.47499999999999998</v>
      </c>
      <c r="N14" s="39">
        <f t="shared" si="3"/>
        <v>49.013574480769819</v>
      </c>
      <c r="O14" s="72">
        <f t="shared" si="5"/>
        <v>3.3333333333333335</v>
      </c>
      <c r="P14" s="2">
        <v>0</v>
      </c>
    </row>
    <row r="15" spans="1:16" x14ac:dyDescent="0.35">
      <c r="D15" s="2">
        <v>11</v>
      </c>
      <c r="E15" s="2">
        <v>11</v>
      </c>
      <c r="G15" s="40">
        <f t="shared" si="4"/>
        <v>92.40000000000002</v>
      </c>
      <c r="H15" s="33">
        <v>8.4</v>
      </c>
      <c r="J15" s="39">
        <f t="shared" si="0"/>
        <v>299.09448357628196</v>
      </c>
      <c r="K15" s="39">
        <f t="shared" si="1"/>
        <v>48.972000000000016</v>
      </c>
      <c r="L15" s="39">
        <f t="shared" si="2"/>
        <v>11.084661225168119</v>
      </c>
      <c r="M15" s="2">
        <v>0.47499999999999998</v>
      </c>
      <c r="N15" s="39">
        <f t="shared" si="3"/>
        <v>49.377642044909919</v>
      </c>
      <c r="O15" s="72">
        <f t="shared" si="5"/>
        <v>3.666666666666667</v>
      </c>
      <c r="P15" s="2">
        <v>0</v>
      </c>
    </row>
    <row r="16" spans="1:16" x14ac:dyDescent="0.35">
      <c r="D16" s="2">
        <v>12</v>
      </c>
      <c r="E16" s="2">
        <v>12</v>
      </c>
      <c r="G16" s="40">
        <f t="shared" si="4"/>
        <v>100.80000000000003</v>
      </c>
      <c r="H16" s="33">
        <v>8.4</v>
      </c>
      <c r="J16" s="39">
        <f t="shared" si="0"/>
        <v>310.88567425896292</v>
      </c>
      <c r="K16" s="39">
        <f t="shared" si="1"/>
        <v>53.424000000000014</v>
      </c>
      <c r="L16" s="39">
        <f t="shared" si="2"/>
        <v>11.947806778696696</v>
      </c>
      <c r="M16" s="2">
        <v>0.47499999999999998</v>
      </c>
      <c r="N16" s="39">
        <f t="shared" si="3"/>
        <v>49.735393850745325</v>
      </c>
      <c r="O16" s="72">
        <f t="shared" si="5"/>
        <v>4</v>
      </c>
      <c r="P16" s="2">
        <v>0</v>
      </c>
    </row>
    <row r="17" spans="1:16" x14ac:dyDescent="0.35">
      <c r="D17" s="2">
        <v>13</v>
      </c>
      <c r="E17" s="2">
        <v>13</v>
      </c>
      <c r="G17" s="40">
        <f t="shared" si="4"/>
        <v>109.20000000000003</v>
      </c>
      <c r="H17" s="33">
        <v>8.4</v>
      </c>
      <c r="J17" s="39">
        <f t="shared" si="0"/>
        <v>322.63957952840599</v>
      </c>
      <c r="K17" s="39">
        <f t="shared" si="1"/>
        <v>57.876000000000019</v>
      </c>
      <c r="L17" s="39">
        <f t="shared" si="2"/>
        <v>12.802610111073975</v>
      </c>
      <c r="M17" s="2">
        <v>0.47499999999999998</v>
      </c>
      <c r="N17" s="39">
        <f t="shared" si="3"/>
        <v>50.086939462562704</v>
      </c>
      <c r="O17" s="72">
        <f t="shared" si="5"/>
        <v>4.333333333333333</v>
      </c>
      <c r="P17" s="2">
        <v>0</v>
      </c>
    </row>
    <row r="18" spans="1:16" x14ac:dyDescent="0.35">
      <c r="A18" s="44" t="s">
        <v>79</v>
      </c>
      <c r="B18" s="45" t="s">
        <v>80</v>
      </c>
      <c r="D18" s="2">
        <v>14</v>
      </c>
      <c r="E18" s="2">
        <v>14</v>
      </c>
      <c r="G18" s="40">
        <f t="shared" si="4"/>
        <v>117.60000000000004</v>
      </c>
      <c r="H18" s="33">
        <v>8.4</v>
      </c>
      <c r="J18" s="39">
        <f t="shared" si="0"/>
        <v>334.35783886995705</v>
      </c>
      <c r="K18" s="39">
        <f t="shared" si="1"/>
        <v>62.328000000000024</v>
      </c>
      <c r="L18" s="39">
        <f t="shared" si="2"/>
        <v>13.649785893406975</v>
      </c>
      <c r="M18" s="2">
        <v>0.47499999999999998</v>
      </c>
      <c r="N18" s="39">
        <f t="shared" si="3"/>
        <v>50.432386543953299</v>
      </c>
      <c r="O18" s="72">
        <f t="shared" si="5"/>
        <v>4.6666666666666661</v>
      </c>
      <c r="P18" s="2">
        <v>0</v>
      </c>
    </row>
    <row r="19" spans="1:16" x14ac:dyDescent="0.35">
      <c r="A19" s="41" t="s">
        <v>77</v>
      </c>
      <c r="B19" s="46">
        <v>450</v>
      </c>
      <c r="D19" s="2">
        <v>15</v>
      </c>
      <c r="E19" s="2">
        <v>15</v>
      </c>
      <c r="G19" s="40">
        <v>126.4</v>
      </c>
      <c r="H19" s="40">
        <v>22.28</v>
      </c>
      <c r="J19" s="39">
        <f t="shared" ref="J19:J33" si="6">(SUM(K19:L19)*M19+N19+O19+P19)*(44/12)</f>
        <v>346.48052086534085</v>
      </c>
      <c r="K19" s="39">
        <f t="shared" si="1"/>
        <v>66.992000000000004</v>
      </c>
      <c r="L19" s="39">
        <f t="shared" ref="L19:L34" si="7">EXP(-1.0587+0.8836*LN(K19))+0.284</f>
        <v>14.529782353565455</v>
      </c>
      <c r="M19" s="2">
        <v>0.47499999999999998</v>
      </c>
      <c r="N19" s="39">
        <f t="shared" si="3"/>
        <v>50.771840890785739</v>
      </c>
      <c r="O19" s="72">
        <f t="shared" si="5"/>
        <v>4.9999999999999991</v>
      </c>
      <c r="P19" s="2">
        <v>0</v>
      </c>
    </row>
    <row r="20" spans="1:16" x14ac:dyDescent="0.35">
      <c r="D20" s="2">
        <v>16</v>
      </c>
      <c r="E20" s="2">
        <v>16</v>
      </c>
      <c r="G20" s="40">
        <f t="shared" si="4"/>
        <v>148.68</v>
      </c>
      <c r="H20" s="40">
        <v>22.28</v>
      </c>
      <c r="J20" s="39">
        <f t="shared" si="6"/>
        <v>373.3191906994312</v>
      </c>
      <c r="K20" s="39">
        <f t="shared" si="1"/>
        <v>78.80040000000001</v>
      </c>
      <c r="L20" s="39">
        <f t="shared" si="7"/>
        <v>16.727147240564925</v>
      </c>
      <c r="M20" s="2">
        <v>0.47499999999999998</v>
      </c>
      <c r="N20" s="39">
        <f t="shared" si="3"/>
        <v>51.105406463606862</v>
      </c>
      <c r="O20" s="72">
        <f t="shared" si="5"/>
        <v>5.3333333333333321</v>
      </c>
      <c r="P20" s="2">
        <v>0</v>
      </c>
    </row>
    <row r="21" spans="1:16" x14ac:dyDescent="0.35">
      <c r="D21" s="2">
        <v>17</v>
      </c>
      <c r="E21" s="2">
        <v>17</v>
      </c>
      <c r="G21" s="40">
        <f t="shared" si="4"/>
        <v>170.96</v>
      </c>
      <c r="H21" s="40">
        <v>22.28</v>
      </c>
      <c r="J21" s="39">
        <f t="shared" si="6"/>
        <v>400.07020464025152</v>
      </c>
      <c r="K21" s="39">
        <f t="shared" si="1"/>
        <v>90.608800000000002</v>
      </c>
      <c r="L21" s="39">
        <f t="shared" si="7"/>
        <v>18.886365736485434</v>
      </c>
      <c r="M21" s="2">
        <v>0.47499999999999998</v>
      </c>
      <c r="N21" s="39">
        <f t="shared" si="3"/>
        <v>51.433185419480445</v>
      </c>
      <c r="O21" s="72">
        <f t="shared" si="5"/>
        <v>5.6666666666666652</v>
      </c>
      <c r="P21" s="2">
        <v>0</v>
      </c>
    </row>
    <row r="22" spans="1:16" x14ac:dyDescent="0.35">
      <c r="A22" s="44" t="s">
        <v>83</v>
      </c>
      <c r="B22" s="45" t="s">
        <v>84</v>
      </c>
      <c r="D22" s="2">
        <v>18</v>
      </c>
      <c r="E22" s="2">
        <v>18</v>
      </c>
      <c r="G22" s="40">
        <f t="shared" si="4"/>
        <v>193.24</v>
      </c>
      <c r="H22" s="40">
        <v>22.28</v>
      </c>
      <c r="J22" s="39">
        <f t="shared" si="6"/>
        <v>426.74358273760038</v>
      </c>
      <c r="K22" s="39">
        <f t="shared" si="1"/>
        <v>102.41720000000001</v>
      </c>
      <c r="L22" s="39">
        <f t="shared" si="7"/>
        <v>21.012979643405131</v>
      </c>
      <c r="M22" s="2">
        <v>0.47499999999999998</v>
      </c>
      <c r="N22" s="39">
        <f t="shared" si="3"/>
        <v>51.755278143273578</v>
      </c>
      <c r="O22" s="72">
        <f t="shared" si="5"/>
        <v>5.9999999999999982</v>
      </c>
      <c r="P22" s="2">
        <v>0</v>
      </c>
    </row>
    <row r="23" spans="1:16" x14ac:dyDescent="0.35">
      <c r="A23" s="41" t="s">
        <v>77</v>
      </c>
      <c r="B23" s="7">
        <v>0.43</v>
      </c>
      <c r="D23" s="2">
        <v>19</v>
      </c>
      <c r="E23" s="2">
        <v>19</v>
      </c>
      <c r="G23" s="40">
        <f t="shared" si="4"/>
        <v>215.52</v>
      </c>
      <c r="H23" s="40">
        <v>22.28</v>
      </c>
      <c r="J23" s="39">
        <f t="shared" si="6"/>
        <v>453.34698161373473</v>
      </c>
      <c r="K23" s="39">
        <f t="shared" si="1"/>
        <v>114.22560000000001</v>
      </c>
      <c r="L23" s="39">
        <f t="shared" si="7"/>
        <v>23.111177437728916</v>
      </c>
      <c r="M23" s="2">
        <v>0.47499999999999998</v>
      </c>
      <c r="N23" s="39">
        <f t="shared" si="3"/>
        <v>52.07178327840036</v>
      </c>
      <c r="O23" s="72">
        <f t="shared" si="5"/>
        <v>6.3333333333333313</v>
      </c>
      <c r="P23" s="2">
        <v>0</v>
      </c>
    </row>
    <row r="24" spans="1:16" x14ac:dyDescent="0.35">
      <c r="D24" s="2">
        <v>20</v>
      </c>
      <c r="E24" s="2">
        <v>20</v>
      </c>
      <c r="G24" s="40">
        <v>237.8</v>
      </c>
      <c r="H24" s="40">
        <v>22.66</v>
      </c>
      <c r="J24" s="39">
        <f t="shared" si="6"/>
        <v>479.88645573355598</v>
      </c>
      <c r="K24" s="39">
        <f t="shared" si="1"/>
        <v>126.03400000000001</v>
      </c>
      <c r="L24" s="39">
        <f t="shared" si="7"/>
        <v>25.184231299517847</v>
      </c>
      <c r="M24" s="2">
        <v>0.47499999999999998</v>
      </c>
      <c r="N24" s="39">
        <f t="shared" si="3"/>
        <v>52.382797757032165</v>
      </c>
      <c r="O24" s="72">
        <f t="shared" si="5"/>
        <v>6.6666666666666643</v>
      </c>
      <c r="P24" s="2">
        <v>0</v>
      </c>
    </row>
    <row r="25" spans="1:16" x14ac:dyDescent="0.35">
      <c r="D25" s="2">
        <v>21</v>
      </c>
      <c r="E25" s="2">
        <v>21</v>
      </c>
      <c r="G25" s="40">
        <f t="shared" si="4"/>
        <v>260.46000000000004</v>
      </c>
      <c r="H25" s="40">
        <v>22.66</v>
      </c>
      <c r="J25" s="39">
        <f t="shared" si="6"/>
        <v>506.77829001794731</v>
      </c>
      <c r="K25" s="39">
        <f t="shared" si="1"/>
        <v>138.04380000000003</v>
      </c>
      <c r="L25" s="39">
        <f t="shared" si="7"/>
        <v>27.269555966740413</v>
      </c>
      <c r="M25" s="2">
        <v>0.47499999999999998</v>
      </c>
      <c r="N25" s="39">
        <f t="shared" si="3"/>
        <v>52.688416829783918</v>
      </c>
      <c r="O25" s="72">
        <f t="shared" si="5"/>
        <v>6.9999999999999973</v>
      </c>
      <c r="P25" s="2">
        <v>0</v>
      </c>
    </row>
    <row r="26" spans="1:16" x14ac:dyDescent="0.35">
      <c r="B26" s="40"/>
      <c r="D26" s="2">
        <v>22</v>
      </c>
      <c r="E26" s="2">
        <v>22</v>
      </c>
      <c r="G26" s="40">
        <f t="shared" si="4"/>
        <v>283.12000000000006</v>
      </c>
      <c r="H26" s="40">
        <v>22.66</v>
      </c>
      <c r="J26" s="39">
        <f t="shared" si="6"/>
        <v>533.61404128509901</v>
      </c>
      <c r="K26" s="39">
        <f t="shared" si="1"/>
        <v>150.05360000000005</v>
      </c>
      <c r="L26" s="39">
        <f t="shared" si="7"/>
        <v>29.333841558830976</v>
      </c>
      <c r="M26" s="2">
        <v>0.47499999999999998</v>
      </c>
      <c r="N26" s="39">
        <f t="shared" si="3"/>
        <v>52.988734094885309</v>
      </c>
      <c r="O26" s="72">
        <f t="shared" si="5"/>
        <v>7.3333333333333304</v>
      </c>
      <c r="P26" s="2">
        <v>0</v>
      </c>
    </row>
    <row r="27" spans="1:16" x14ac:dyDescent="0.35">
      <c r="A27" s="41" t="s">
        <v>110</v>
      </c>
      <c r="B27" s="40">
        <f>SUM(J5:J34)/30</f>
        <v>408.61060001268731</v>
      </c>
      <c r="D27" s="2">
        <v>23</v>
      </c>
      <c r="E27" s="2">
        <v>23</v>
      </c>
      <c r="G27" s="40">
        <f t="shared" si="4"/>
        <v>305.78000000000009</v>
      </c>
      <c r="H27" s="40">
        <v>22.66</v>
      </c>
      <c r="J27" s="39">
        <f t="shared" si="6"/>
        <v>560.39731299682285</v>
      </c>
      <c r="K27" s="39">
        <f t="shared" si="1"/>
        <v>162.06340000000006</v>
      </c>
      <c r="L27" s="39">
        <f t="shared" si="7"/>
        <v>31.378963418531832</v>
      </c>
      <c r="M27" s="2">
        <v>0.47499999999999998</v>
      </c>
      <c r="N27" s="39">
        <f t="shared" si="3"/>
        <v>53.283841526846018</v>
      </c>
      <c r="O27" s="72">
        <f t="shared" si="5"/>
        <v>7.6666666666666634</v>
      </c>
      <c r="P27" s="2">
        <v>0</v>
      </c>
    </row>
    <row r="28" spans="1:16" x14ac:dyDescent="0.35">
      <c r="A28" s="41" t="s">
        <v>111</v>
      </c>
      <c r="B28" s="40">
        <f>SUM(J41:J70)/30</f>
        <v>219.18293085630239</v>
      </c>
      <c r="D28" s="2">
        <v>24</v>
      </c>
      <c r="E28" s="2">
        <v>24</v>
      </c>
      <c r="G28" s="40">
        <f t="shared" si="4"/>
        <v>328.44000000000011</v>
      </c>
      <c r="H28" s="40">
        <v>22.66</v>
      </c>
      <c r="J28" s="39">
        <f t="shared" si="6"/>
        <v>587.13119121232091</v>
      </c>
      <c r="K28" s="39">
        <f t="shared" si="1"/>
        <v>174.07320000000007</v>
      </c>
      <c r="L28" s="39">
        <f t="shared" si="7"/>
        <v>33.406503174373789</v>
      </c>
      <c r="M28" s="2">
        <v>0.47499999999999998</v>
      </c>
      <c r="N28" s="39">
        <f t="shared" si="3"/>
        <v>53.573829504623582</v>
      </c>
      <c r="O28" s="72">
        <f t="shared" si="5"/>
        <v>7.9999999999999964</v>
      </c>
      <c r="P28" s="2">
        <v>0</v>
      </c>
    </row>
    <row r="29" spans="1:16" x14ac:dyDescent="0.35">
      <c r="A29" s="41" t="s">
        <v>112</v>
      </c>
      <c r="B29" s="40">
        <f>B27-B28</f>
        <v>189.42766915638492</v>
      </c>
      <c r="D29" s="2">
        <v>25</v>
      </c>
      <c r="E29" s="2">
        <v>25</v>
      </c>
      <c r="G29" s="40">
        <f t="shared" si="4"/>
        <v>351.10000000000014</v>
      </c>
      <c r="H29" s="40">
        <v>17.059999999999999</v>
      </c>
      <c r="J29" s="39">
        <f t="shared" si="6"/>
        <v>613.81835461750961</v>
      </c>
      <c r="K29" s="39">
        <f t="shared" si="1"/>
        <v>186.08300000000008</v>
      </c>
      <c r="L29" s="39">
        <f t="shared" si="7"/>
        <v>35.417811857135327</v>
      </c>
      <c r="M29" s="2">
        <v>0.47499999999999998</v>
      </c>
      <c r="N29" s="39">
        <f t="shared" si="3"/>
        <v>53.858786839302695</v>
      </c>
      <c r="O29" s="72">
        <f t="shared" si="5"/>
        <v>8.3333333333333304</v>
      </c>
      <c r="P29" s="2">
        <v>0</v>
      </c>
    </row>
    <row r="30" spans="1:16" x14ac:dyDescent="0.35">
      <c r="D30" s="2">
        <v>26</v>
      </c>
      <c r="E30" s="2">
        <v>26</v>
      </c>
      <c r="G30" s="40">
        <f t="shared" si="4"/>
        <v>368.16000000000014</v>
      </c>
      <c r="H30" s="40">
        <v>17.059999999999999</v>
      </c>
      <c r="J30" s="39">
        <f t="shared" si="6"/>
        <v>634.43500429345465</v>
      </c>
      <c r="K30" s="39">
        <f t="shared" si="1"/>
        <v>195.12480000000008</v>
      </c>
      <c r="L30" s="39">
        <f t="shared" si="7"/>
        <v>36.922065212017841</v>
      </c>
      <c r="M30" s="2">
        <v>0.47499999999999998</v>
      </c>
      <c r="N30" s="39">
        <f t="shared" si="3"/>
        <v>54.138800801294295</v>
      </c>
      <c r="O30" s="72">
        <f t="shared" si="5"/>
        <v>8.6666666666666643</v>
      </c>
      <c r="P30" s="2">
        <v>0</v>
      </c>
    </row>
    <row r="31" spans="1:16" x14ac:dyDescent="0.35">
      <c r="A31" s="40"/>
      <c r="B31" s="40"/>
      <c r="D31" s="2">
        <v>27</v>
      </c>
      <c r="E31" s="2">
        <v>27</v>
      </c>
      <c r="G31" s="40">
        <f t="shared" si="4"/>
        <v>385.22000000000014</v>
      </c>
      <c r="H31" s="40">
        <v>17.059999999999999</v>
      </c>
      <c r="J31" s="39">
        <f t="shared" si="6"/>
        <v>655.01974414677295</v>
      </c>
      <c r="K31" s="39">
        <f t="shared" si="1"/>
        <v>204.16660000000007</v>
      </c>
      <c r="L31" s="39">
        <f t="shared" si="7"/>
        <v>38.418223698110602</v>
      </c>
      <c r="M31" s="2">
        <v>0.47499999999999998</v>
      </c>
      <c r="N31" s="39">
        <f t="shared" si="3"/>
        <v>54.413957147062774</v>
      </c>
      <c r="O31" s="72">
        <f t="shared" si="5"/>
        <v>8.9999999999999982</v>
      </c>
      <c r="P31" s="2">
        <v>0</v>
      </c>
    </row>
    <row r="32" spans="1:16" x14ac:dyDescent="0.35">
      <c r="D32" s="2">
        <v>28</v>
      </c>
      <c r="E32" s="2">
        <v>28</v>
      </c>
      <c r="G32" s="40">
        <f t="shared" si="4"/>
        <v>402.28000000000014</v>
      </c>
      <c r="H32" s="40">
        <v>17.059999999999999</v>
      </c>
      <c r="J32" s="39">
        <f t="shared" si="6"/>
        <v>675.57357888541799</v>
      </c>
      <c r="K32" s="39">
        <f t="shared" si="1"/>
        <v>213.2084000000001</v>
      </c>
      <c r="L32" s="39">
        <f t="shared" si="7"/>
        <v>39.906686773263431</v>
      </c>
      <c r="M32" s="2">
        <v>0.47499999999999998</v>
      </c>
      <c r="N32" s="39">
        <f t="shared" si="3"/>
        <v>54.684340145389598</v>
      </c>
      <c r="O32" s="72">
        <f t="shared" si="5"/>
        <v>9.3333333333333321</v>
      </c>
      <c r="P32" s="2">
        <v>0</v>
      </c>
    </row>
    <row r="33" spans="4:16" x14ac:dyDescent="0.35">
      <c r="D33" s="2">
        <v>29</v>
      </c>
      <c r="E33" s="2">
        <v>29</v>
      </c>
      <c r="G33" s="40">
        <f t="shared" si="4"/>
        <v>419.34000000000015</v>
      </c>
      <c r="H33" s="40">
        <v>17.059999999999999</v>
      </c>
      <c r="J33" s="39">
        <f t="shared" si="6"/>
        <v>696.09744551053996</v>
      </c>
      <c r="K33" s="39">
        <f t="shared" si="1"/>
        <v>222.25020000000009</v>
      </c>
      <c r="L33" s="39">
        <f t="shared" si="7"/>
        <v>41.387818098237773</v>
      </c>
      <c r="M33" s="2">
        <v>0.47499999999999998</v>
      </c>
      <c r="N33" s="39">
        <f t="shared" si="3"/>
        <v>54.950032603181285</v>
      </c>
      <c r="O33" s="72">
        <f t="shared" si="5"/>
        <v>9.6666666666666661</v>
      </c>
      <c r="P33" s="2">
        <v>0</v>
      </c>
    </row>
    <row r="34" spans="4:16" ht="23.5" x14ac:dyDescent="0.55000000000000004">
      <c r="D34" s="2">
        <v>30</v>
      </c>
      <c r="E34" s="2">
        <v>30</v>
      </c>
      <c r="G34" s="70">
        <v>436.4</v>
      </c>
      <c r="H34" s="70"/>
      <c r="J34" s="47">
        <f>(SUM(K34:L34)*M34+N34+O34+P34)*(44/12)</f>
        <v>716.59222130437638</v>
      </c>
      <c r="K34" s="39">
        <f t="shared" si="1"/>
        <v>231.292</v>
      </c>
      <c r="L34" s="39">
        <f t="shared" si="7"/>
        <v>42.861950069665724</v>
      </c>
      <c r="M34" s="2">
        <v>0.47499999999999998</v>
      </c>
      <c r="N34" s="39">
        <f t="shared" si="3"/>
        <v>55.211115890829625</v>
      </c>
      <c r="O34" s="72">
        <f t="shared" si="5"/>
        <v>10</v>
      </c>
      <c r="P34" s="2">
        <v>0</v>
      </c>
    </row>
    <row r="35" spans="4:16" x14ac:dyDescent="0.35">
      <c r="E35" s="2" t="s">
        <v>114</v>
      </c>
      <c r="J35" s="39"/>
      <c r="K35" s="39"/>
      <c r="L35" s="39"/>
      <c r="N35" s="39"/>
    </row>
    <row r="36" spans="4:16" ht="23.5" x14ac:dyDescent="0.55000000000000004">
      <c r="D36" s="48" t="s">
        <v>81</v>
      </c>
      <c r="E36" s="2">
        <f>VLOOKUP(A5,A22:B23,2,0)</f>
        <v>0.43</v>
      </c>
      <c r="G36" s="49">
        <v>68.900000000000006</v>
      </c>
      <c r="H36" s="49"/>
      <c r="J36" s="47">
        <f>0.2*J24*E36</f>
        <v>41.27023519308581</v>
      </c>
      <c r="K36" s="39"/>
      <c r="L36" s="39"/>
      <c r="N36" s="39"/>
    </row>
    <row r="37" spans="4:16" x14ac:dyDescent="0.35">
      <c r="J37" s="39"/>
      <c r="K37" s="39"/>
      <c r="L37" s="39"/>
      <c r="N37" s="39"/>
    </row>
    <row r="38" spans="4:16" x14ac:dyDescent="0.35">
      <c r="J38" s="39"/>
      <c r="K38" s="39"/>
      <c r="L38" s="39"/>
      <c r="N38" s="39"/>
    </row>
    <row r="39" spans="4:16" x14ac:dyDescent="0.35">
      <c r="D39" s="77" t="s">
        <v>82</v>
      </c>
      <c r="E39" s="77"/>
      <c r="F39" s="77"/>
      <c r="G39" s="77"/>
      <c r="H39" s="77"/>
      <c r="I39" s="77"/>
      <c r="J39" s="77"/>
      <c r="K39" s="77"/>
      <c r="L39" s="77"/>
      <c r="M39" s="77"/>
      <c r="N39" s="77"/>
      <c r="O39" s="77"/>
      <c r="P39" s="77"/>
    </row>
    <row r="40" spans="4:16" ht="43.5" x14ac:dyDescent="0.35">
      <c r="D40" s="30" t="s">
        <v>69</v>
      </c>
      <c r="E40" s="30" t="s">
        <v>55</v>
      </c>
      <c r="F40" s="5"/>
      <c r="G40" s="30" t="s">
        <v>70</v>
      </c>
      <c r="H40" s="30"/>
      <c r="I40" s="5"/>
      <c r="J40" s="34" t="s">
        <v>85</v>
      </c>
      <c r="K40" s="35" t="s">
        <v>71</v>
      </c>
      <c r="L40" s="35" t="s">
        <v>72</v>
      </c>
      <c r="M40" s="36" t="s">
        <v>73</v>
      </c>
      <c r="N40" s="36" t="s">
        <v>74</v>
      </c>
      <c r="O40" s="36" t="s">
        <v>75</v>
      </c>
      <c r="P40" s="36" t="s">
        <v>76</v>
      </c>
    </row>
    <row r="41" spans="4:16" x14ac:dyDescent="0.35">
      <c r="D41" s="2">
        <v>1</v>
      </c>
      <c r="E41" s="2">
        <v>1</v>
      </c>
      <c r="G41" s="33">
        <v>1</v>
      </c>
      <c r="J41" s="39">
        <f t="shared" ref="J41:J55" si="8">(SUM(K41:L41)*M41+N41+O41+P41)*(44/12)</f>
        <v>169.27261344583385</v>
      </c>
      <c r="K41" s="39">
        <f t="shared" ref="K41" si="9">G41*0.4</f>
        <v>0.4</v>
      </c>
      <c r="L41" s="39">
        <f t="shared" ref="L41" si="10">EXP(-1.0587+0.8836*LN(K41))+0.284</f>
        <v>0.43838057009187725</v>
      </c>
      <c r="M41" s="2">
        <v>0.47499999999999998</v>
      </c>
      <c r="N41" s="39">
        <f t="shared" ref="N41" si="11">45+(25*(1-EXP(-0.0175*E41)))</f>
        <v>45.433694108373167</v>
      </c>
      <c r="O41" s="72">
        <f>1/3</f>
        <v>0.33333333333333331</v>
      </c>
      <c r="P41" s="2">
        <v>0</v>
      </c>
    </row>
    <row r="42" spans="4:16" x14ac:dyDescent="0.35">
      <c r="D42" s="2">
        <v>2</v>
      </c>
      <c r="E42" s="2">
        <v>2</v>
      </c>
      <c r="G42" s="33">
        <v>2</v>
      </c>
      <c r="J42" s="39">
        <f t="shared" si="8"/>
        <v>172.98132346078552</v>
      </c>
      <c r="K42" s="39">
        <f t="shared" ref="K42:K70" si="12">G42*0.4</f>
        <v>0.8</v>
      </c>
      <c r="L42" s="39">
        <f t="shared" ref="L42:L70" si="13">EXP(-1.0587+0.8836*LN(K42))+0.284</f>
        <v>0.56882804207733118</v>
      </c>
      <c r="M42" s="2">
        <v>0.47499999999999998</v>
      </c>
      <c r="N42" s="39">
        <f t="shared" ref="N42:N70" si="14">45+(25*(1-EXP(-0.0175*E42)))</f>
        <v>45.859864593560836</v>
      </c>
      <c r="O42" s="72">
        <f>O41+(1/3)</f>
        <v>0.66666666666666663</v>
      </c>
      <c r="P42" s="2">
        <v>0</v>
      </c>
    </row>
    <row r="43" spans="4:16" x14ac:dyDescent="0.35">
      <c r="D43" s="2">
        <v>3</v>
      </c>
      <c r="E43" s="2">
        <v>3</v>
      </c>
      <c r="G43" s="33">
        <v>3</v>
      </c>
      <c r="J43" s="39">
        <f t="shared" si="8"/>
        <v>176.64946375214174</v>
      </c>
      <c r="K43" s="39">
        <f t="shared" si="12"/>
        <v>1.2000000000000002</v>
      </c>
      <c r="L43" s="39">
        <f t="shared" si="13"/>
        <v>0.6915463247407827</v>
      </c>
      <c r="M43" s="2">
        <v>0.47499999999999998</v>
      </c>
      <c r="N43" s="39">
        <f t="shared" si="14"/>
        <v>46.278641973604969</v>
      </c>
      <c r="O43" s="72">
        <f t="shared" ref="O43:O70" si="15">O42+(1/3)</f>
        <v>1</v>
      </c>
      <c r="P43" s="2">
        <v>0</v>
      </c>
    </row>
    <row r="44" spans="4:16" x14ac:dyDescent="0.35">
      <c r="D44" s="2">
        <v>4</v>
      </c>
      <c r="E44" s="2">
        <v>4</v>
      </c>
      <c r="G44" s="33">
        <v>4</v>
      </c>
      <c r="J44" s="39">
        <f t="shared" si="8"/>
        <v>180.28266816793496</v>
      </c>
      <c r="K44" s="39">
        <f t="shared" si="12"/>
        <v>1.6</v>
      </c>
      <c r="L44" s="39">
        <f t="shared" si="13"/>
        <v>0.80950015526775454</v>
      </c>
      <c r="M44" s="2">
        <v>0.47499999999999998</v>
      </c>
      <c r="N44" s="39">
        <f t="shared" si="14"/>
        <v>46.690154502351291</v>
      </c>
      <c r="O44" s="72">
        <f t="shared" si="15"/>
        <v>1.3333333333333333</v>
      </c>
      <c r="P44" s="2">
        <v>0</v>
      </c>
    </row>
    <row r="45" spans="4:16" x14ac:dyDescent="0.35">
      <c r="D45" s="2">
        <v>5</v>
      </c>
      <c r="E45" s="2">
        <v>5</v>
      </c>
      <c r="G45" s="33">
        <v>5</v>
      </c>
      <c r="J45" s="39">
        <f t="shared" si="8"/>
        <v>183.88373911974665</v>
      </c>
      <c r="K45" s="39">
        <f t="shared" si="12"/>
        <v>2</v>
      </c>
      <c r="L45" s="39">
        <f t="shared" si="13"/>
        <v>0.92403324974123713</v>
      </c>
      <c r="M45" s="2">
        <v>0.47499999999999998</v>
      </c>
      <c r="N45" s="39">
        <f t="shared" si="14"/>
        <v>47.094528208728065</v>
      </c>
      <c r="O45" s="72">
        <f t="shared" si="15"/>
        <v>1.6666666666666665</v>
      </c>
      <c r="P45" s="2">
        <v>0</v>
      </c>
    </row>
    <row r="46" spans="4:16" x14ac:dyDescent="0.35">
      <c r="D46" s="2">
        <v>6</v>
      </c>
      <c r="E46" s="2">
        <v>6</v>
      </c>
      <c r="G46" s="33">
        <v>6</v>
      </c>
      <c r="J46" s="39">
        <f t="shared" si="8"/>
        <v>187.45446570511388</v>
      </c>
      <c r="K46" s="39">
        <f t="shared" si="12"/>
        <v>2.4000000000000004</v>
      </c>
      <c r="L46" s="39">
        <f t="shared" si="13"/>
        <v>1.0359121199166819</v>
      </c>
      <c r="M46" s="2">
        <v>0.47499999999999998</v>
      </c>
      <c r="N46" s="39">
        <f t="shared" si="14"/>
        <v>47.491886935343359</v>
      </c>
      <c r="O46" s="72">
        <f t="shared" si="15"/>
        <v>1.9999999999999998</v>
      </c>
      <c r="P46" s="2">
        <v>0</v>
      </c>
    </row>
    <row r="47" spans="4:16" x14ac:dyDescent="0.35">
      <c r="D47" s="2">
        <v>7</v>
      </c>
      <c r="E47" s="2">
        <v>7</v>
      </c>
      <c r="G47" s="33">
        <v>7</v>
      </c>
      <c r="J47" s="39">
        <f t="shared" si="8"/>
        <v>190.99615476418299</v>
      </c>
      <c r="K47" s="39">
        <f t="shared" si="12"/>
        <v>2.8000000000000003</v>
      </c>
      <c r="L47" s="39">
        <f t="shared" si="13"/>
        <v>1.145630906285219</v>
      </c>
      <c r="M47" s="2">
        <v>0.47499999999999998</v>
      </c>
      <c r="N47" s="39">
        <f t="shared" si="14"/>
        <v>47.882352376412911</v>
      </c>
      <c r="O47" s="72">
        <f t="shared" si="15"/>
        <v>2.333333333333333</v>
      </c>
      <c r="P47" s="2">
        <v>0</v>
      </c>
    </row>
    <row r="48" spans="4:16" x14ac:dyDescent="0.35">
      <c r="D48" s="2">
        <v>8</v>
      </c>
      <c r="E48" s="2">
        <v>8</v>
      </c>
      <c r="G48" s="33">
        <v>8</v>
      </c>
      <c r="J48" s="39">
        <f t="shared" si="8"/>
        <v>194.50984422969043</v>
      </c>
      <c r="K48" s="39">
        <f t="shared" si="12"/>
        <v>3.2</v>
      </c>
      <c r="L48" s="39">
        <f t="shared" si="13"/>
        <v>1.2535337972075757</v>
      </c>
      <c r="M48" s="2">
        <v>0.47499999999999998</v>
      </c>
      <c r="N48" s="39">
        <f t="shared" si="14"/>
        <v>48.266044115029857</v>
      </c>
      <c r="O48" s="72">
        <f t="shared" si="15"/>
        <v>2.6666666666666665</v>
      </c>
      <c r="P48" s="2">
        <v>0</v>
      </c>
    </row>
    <row r="49" spans="3:16" x14ac:dyDescent="0.35">
      <c r="D49" s="2">
        <v>9</v>
      </c>
      <c r="E49" s="2">
        <v>9</v>
      </c>
      <c r="G49" s="33">
        <v>9</v>
      </c>
      <c r="J49" s="39">
        <f t="shared" si="8"/>
        <v>197.9964055782313</v>
      </c>
      <c r="K49" s="39">
        <f t="shared" si="12"/>
        <v>3.6</v>
      </c>
      <c r="L49" s="39">
        <f t="shared" si="13"/>
        <v>1.3598737755073136</v>
      </c>
      <c r="M49" s="2">
        <v>0.47499999999999998</v>
      </c>
      <c r="N49" s="39">
        <f t="shared" si="14"/>
        <v>48.643079659788015</v>
      </c>
      <c r="O49" s="72">
        <f t="shared" si="15"/>
        <v>3</v>
      </c>
      <c r="P49" s="2">
        <v>0</v>
      </c>
    </row>
    <row r="50" spans="3:16" x14ac:dyDescent="0.35">
      <c r="D50" s="2">
        <v>10</v>
      </c>
      <c r="E50" s="2">
        <v>10</v>
      </c>
      <c r="G50" s="33">
        <v>10</v>
      </c>
      <c r="J50" s="39">
        <f t="shared" si="8"/>
        <v>201.45659915401507</v>
      </c>
      <c r="K50" s="39">
        <f t="shared" si="12"/>
        <v>4</v>
      </c>
      <c r="L50" s="39">
        <f t="shared" si="13"/>
        <v>1.4648443075426878</v>
      </c>
      <c r="M50" s="2">
        <v>0.47499999999999998</v>
      </c>
      <c r="N50" s="39">
        <f t="shared" si="14"/>
        <v>49.013574480769819</v>
      </c>
      <c r="O50" s="72">
        <f t="shared" si="15"/>
        <v>3.3333333333333335</v>
      </c>
      <c r="P50" s="2">
        <v>0</v>
      </c>
    </row>
    <row r="51" spans="3:16" x14ac:dyDescent="0.35">
      <c r="D51" s="2">
        <v>11</v>
      </c>
      <c r="E51" s="2">
        <v>11</v>
      </c>
      <c r="G51" s="33">
        <v>11</v>
      </c>
      <c r="J51" s="39">
        <f t="shared" si="8"/>
        <v>204.89110666587024</v>
      </c>
      <c r="K51" s="39">
        <f t="shared" si="12"/>
        <v>4.4000000000000004</v>
      </c>
      <c r="L51" s="39">
        <f t="shared" si="13"/>
        <v>1.5685979273240849</v>
      </c>
      <c r="M51" s="2">
        <v>0.47499999999999998</v>
      </c>
      <c r="N51" s="39">
        <f t="shared" si="14"/>
        <v>49.377642044909919</v>
      </c>
      <c r="O51" s="72">
        <f t="shared" si="15"/>
        <v>3.666666666666667</v>
      </c>
      <c r="P51" s="2">
        <v>0</v>
      </c>
    </row>
    <row r="52" spans="3:16" x14ac:dyDescent="0.35">
      <c r="D52" s="2">
        <v>12</v>
      </c>
      <c r="E52" s="2">
        <v>12</v>
      </c>
      <c r="G52" s="33">
        <v>12</v>
      </c>
      <c r="J52" s="39">
        <f t="shared" si="8"/>
        <v>208.30055153226181</v>
      </c>
      <c r="K52" s="39">
        <f t="shared" si="12"/>
        <v>4.8000000000000007</v>
      </c>
      <c r="L52" s="39">
        <f t="shared" si="13"/>
        <v>1.6712578447056297</v>
      </c>
      <c r="M52" s="2">
        <v>0.47499999999999998</v>
      </c>
      <c r="N52" s="39">
        <f t="shared" si="14"/>
        <v>49.735393850745325</v>
      </c>
      <c r="O52" s="72">
        <f t="shared" si="15"/>
        <v>4</v>
      </c>
      <c r="P52" s="2">
        <v>0</v>
      </c>
    </row>
    <row r="53" spans="3:16" x14ac:dyDescent="0.35">
      <c r="C53" s="6"/>
      <c r="D53" s="2">
        <v>13</v>
      </c>
      <c r="E53" s="2">
        <v>13</v>
      </c>
      <c r="G53" s="33">
        <v>13</v>
      </c>
      <c r="J53" s="39">
        <f t="shared" si="8"/>
        <v>211.68551227484491</v>
      </c>
      <c r="K53" s="39">
        <f t="shared" si="12"/>
        <v>5.2</v>
      </c>
      <c r="L53" s="39">
        <f t="shared" si="13"/>
        <v>1.7729255635748027</v>
      </c>
      <c r="M53" s="2">
        <v>0.47499999999999998</v>
      </c>
      <c r="N53" s="39">
        <f t="shared" si="14"/>
        <v>50.086939462562704</v>
      </c>
      <c r="O53" s="72">
        <f t="shared" si="15"/>
        <v>4.333333333333333</v>
      </c>
      <c r="P53" s="2">
        <v>0</v>
      </c>
    </row>
    <row r="54" spans="3:16" x14ac:dyDescent="0.35">
      <c r="C54" s="6"/>
      <c r="D54" s="2">
        <v>14</v>
      </c>
      <c r="E54" s="2">
        <v>14</v>
      </c>
      <c r="G54" s="33">
        <v>14</v>
      </c>
      <c r="J54" s="39">
        <f t="shared" si="8"/>
        <v>215.04653170320947</v>
      </c>
      <c r="K54" s="39">
        <f t="shared" si="12"/>
        <v>5.6000000000000005</v>
      </c>
      <c r="L54" s="39">
        <f t="shared" si="13"/>
        <v>1.8736860847480963</v>
      </c>
      <c r="M54" s="2">
        <v>0.47499999999999998</v>
      </c>
      <c r="N54" s="39">
        <f t="shared" si="14"/>
        <v>50.432386543953299</v>
      </c>
      <c r="O54" s="72">
        <f t="shared" si="15"/>
        <v>4.6666666666666661</v>
      </c>
      <c r="P54" s="2">
        <v>0</v>
      </c>
    </row>
    <row r="55" spans="3:16" x14ac:dyDescent="0.35">
      <c r="C55" s="6"/>
      <c r="D55" s="2">
        <v>15</v>
      </c>
      <c r="E55" s="2">
        <v>15</v>
      </c>
      <c r="G55" s="33">
        <v>15</v>
      </c>
      <c r="J55" s="39">
        <f t="shared" si="8"/>
        <v>218.38412343121371</v>
      </c>
      <c r="K55" s="39">
        <f t="shared" si="12"/>
        <v>6</v>
      </c>
      <c r="L55" s="39">
        <f t="shared" si="13"/>
        <v>1.9736115779900529</v>
      </c>
      <c r="M55" s="2">
        <v>0.47499999999999998</v>
      </c>
      <c r="N55" s="39">
        <f t="shared" si="14"/>
        <v>50.771840890785739</v>
      </c>
      <c r="O55" s="72">
        <f t="shared" si="15"/>
        <v>4.9999999999999991</v>
      </c>
      <c r="P55" s="2">
        <v>0</v>
      </c>
    </row>
    <row r="56" spans="3:16" x14ac:dyDescent="0.35">
      <c r="C56" s="6"/>
      <c r="D56" s="2">
        <v>16</v>
      </c>
      <c r="E56" s="2">
        <v>16</v>
      </c>
      <c r="G56" s="33">
        <v>16</v>
      </c>
      <c r="J56" s="39">
        <f t="shared" ref="J56:J69" si="16">(SUM(K56:L56)*M56+N56+O56+P56)*(44/12)</f>
        <v>221.69877663562158</v>
      </c>
      <c r="K56" s="39">
        <f t="shared" si="12"/>
        <v>6.4</v>
      </c>
      <c r="L56" s="39">
        <f t="shared" si="13"/>
        <v>2.0727640460330425</v>
      </c>
      <c r="M56" s="2">
        <v>0.47499999999999998</v>
      </c>
      <c r="N56" s="39">
        <f t="shared" si="14"/>
        <v>51.105406463606862</v>
      </c>
      <c r="O56" s="72">
        <f t="shared" si="15"/>
        <v>5.3333333333333321</v>
      </c>
      <c r="P56" s="2">
        <v>0</v>
      </c>
    </row>
    <row r="57" spans="3:16" x14ac:dyDescent="0.35">
      <c r="D57" s="2">
        <v>17</v>
      </c>
      <c r="E57" s="2">
        <v>17</v>
      </c>
      <c r="G57" s="33">
        <v>17</v>
      </c>
      <c r="J57" s="39">
        <f t="shared" si="16"/>
        <v>224.99095961897595</v>
      </c>
      <c r="K57" s="39">
        <f t="shared" si="12"/>
        <v>6.8000000000000007</v>
      </c>
      <c r="L57" s="39">
        <f t="shared" si="13"/>
        <v>2.1711973032171716</v>
      </c>
      <c r="M57" s="2">
        <v>0.47499999999999998</v>
      </c>
      <c r="N57" s="39">
        <f t="shared" si="14"/>
        <v>51.433185419480445</v>
      </c>
      <c r="O57" s="72">
        <f t="shared" si="15"/>
        <v>5.6666666666666652</v>
      </c>
      <c r="P57" s="2">
        <v>0</v>
      </c>
    </row>
    <row r="58" spans="3:16" x14ac:dyDescent="0.35">
      <c r="D58" s="2">
        <v>18</v>
      </c>
      <c r="E58" s="2">
        <v>18</v>
      </c>
      <c r="G58" s="33">
        <v>18</v>
      </c>
      <c r="J58" s="39">
        <f t="shared" si="16"/>
        <v>228.26112253619715</v>
      </c>
      <c r="K58" s="39">
        <f t="shared" si="12"/>
        <v>7.2</v>
      </c>
      <c r="L58" s="39">
        <f t="shared" si="13"/>
        <v>2.2689584751353222</v>
      </c>
      <c r="M58" s="2">
        <v>0.47499999999999998</v>
      </c>
      <c r="N58" s="39">
        <f t="shared" si="14"/>
        <v>51.755278143273578</v>
      </c>
      <c r="O58" s="72">
        <f t="shared" si="15"/>
        <v>5.9999999999999982</v>
      </c>
      <c r="P58" s="2">
        <v>0</v>
      </c>
    </row>
    <row r="59" spans="3:16" x14ac:dyDescent="0.35">
      <c r="D59" s="2">
        <v>19</v>
      </c>
      <c r="E59" s="2">
        <v>19</v>
      </c>
      <c r="G59" s="33">
        <v>19</v>
      </c>
      <c r="J59" s="39">
        <f t="shared" si="16"/>
        <v>231.50969952213313</v>
      </c>
      <c r="K59" s="39">
        <f t="shared" si="12"/>
        <v>7.6000000000000005</v>
      </c>
      <c r="L59" s="39">
        <f t="shared" si="13"/>
        <v>2.3660891554696319</v>
      </c>
      <c r="M59" s="2">
        <v>0.47499999999999998</v>
      </c>
      <c r="N59" s="39">
        <f t="shared" si="14"/>
        <v>52.07178327840036</v>
      </c>
      <c r="O59" s="72">
        <f t="shared" si="15"/>
        <v>6.3333333333333313</v>
      </c>
      <c r="P59" s="2">
        <v>0</v>
      </c>
    </row>
    <row r="60" spans="3:16" x14ac:dyDescent="0.35">
      <c r="D60" s="2">
        <v>20</v>
      </c>
      <c r="E60" s="2">
        <v>20</v>
      </c>
      <c r="G60" s="33">
        <v>20</v>
      </c>
      <c r="J60" s="39">
        <f t="shared" si="16"/>
        <v>234.73711038088032</v>
      </c>
      <c r="K60" s="39">
        <f t="shared" si="12"/>
        <v>8</v>
      </c>
      <c r="L60" s="39">
        <f t="shared" si="13"/>
        <v>2.462626312335674</v>
      </c>
      <c r="M60" s="2">
        <v>0.47499999999999998</v>
      </c>
      <c r="N60" s="39">
        <f t="shared" si="14"/>
        <v>52.382797757032165</v>
      </c>
      <c r="O60" s="72">
        <f t="shared" si="15"/>
        <v>6.6666666666666643</v>
      </c>
      <c r="P60" s="2">
        <v>0</v>
      </c>
    </row>
    <row r="61" spans="3:16" x14ac:dyDescent="0.35">
      <c r="D61" s="2">
        <v>21</v>
      </c>
      <c r="E61" s="2">
        <v>21</v>
      </c>
      <c r="G61" s="33">
        <v>21</v>
      </c>
      <c r="J61" s="39">
        <f t="shared" si="16"/>
        <v>237.94376194850059</v>
      </c>
      <c r="K61" s="39">
        <f t="shared" si="12"/>
        <v>8.4</v>
      </c>
      <c r="L61" s="39">
        <f t="shared" si="13"/>
        <v>2.5586030082064499</v>
      </c>
      <c r="M61" s="2">
        <v>0.47499999999999998</v>
      </c>
      <c r="N61" s="39">
        <f t="shared" si="14"/>
        <v>52.688416829783918</v>
      </c>
      <c r="O61" s="72">
        <f t="shared" si="15"/>
        <v>6.9999999999999973</v>
      </c>
      <c r="P61" s="2">
        <v>0</v>
      </c>
    </row>
    <row r="62" spans="3:16" x14ac:dyDescent="0.35">
      <c r="D62" s="2">
        <v>22</v>
      </c>
      <c r="E62" s="2">
        <v>22</v>
      </c>
      <c r="G62" s="33">
        <v>22</v>
      </c>
      <c r="J62" s="39">
        <f t="shared" si="16"/>
        <v>241.13004920825117</v>
      </c>
      <c r="K62" s="39">
        <f t="shared" si="12"/>
        <v>8.8000000000000007</v>
      </c>
      <c r="L62" s="39">
        <f t="shared" si="13"/>
        <v>2.6540489788226802</v>
      </c>
      <c r="M62" s="2">
        <v>0.47499999999999998</v>
      </c>
      <c r="N62" s="39">
        <f t="shared" si="14"/>
        <v>52.988734094885309</v>
      </c>
      <c r="O62" s="72">
        <f t="shared" si="15"/>
        <v>7.3333333333333304</v>
      </c>
      <c r="P62" s="2">
        <v>0</v>
      </c>
    </row>
    <row r="63" spans="3:16" x14ac:dyDescent="0.35">
      <c r="D63" s="2">
        <v>23</v>
      </c>
      <c r="E63" s="2">
        <v>23</v>
      </c>
      <c r="G63" s="33">
        <v>23</v>
      </c>
      <c r="J63" s="39">
        <f t="shared" si="16"/>
        <v>244.29635621545572</v>
      </c>
      <c r="K63" s="39">
        <f t="shared" si="12"/>
        <v>9.2000000000000011</v>
      </c>
      <c r="L63" s="39">
        <f t="shared" si="13"/>
        <v>2.7489911038713308</v>
      </c>
      <c r="M63" s="2">
        <v>0.47499999999999998</v>
      </c>
      <c r="N63" s="39">
        <f t="shared" si="14"/>
        <v>53.283841526846018</v>
      </c>
      <c r="O63" s="72">
        <f t="shared" si="15"/>
        <v>7.6666666666666634</v>
      </c>
      <c r="P63" s="2">
        <v>0</v>
      </c>
    </row>
    <row r="64" spans="3:16" x14ac:dyDescent="0.35">
      <c r="D64" s="2">
        <v>24</v>
      </c>
      <c r="E64" s="2">
        <v>24</v>
      </c>
      <c r="G64" s="33">
        <v>24</v>
      </c>
      <c r="J64" s="39">
        <f t="shared" si="16"/>
        <v>247.44305687396084</v>
      </c>
      <c r="K64" s="39">
        <f t="shared" si="12"/>
        <v>9.6000000000000014</v>
      </c>
      <c r="L64" s="39">
        <f t="shared" si="13"/>
        <v>2.8434537934972464</v>
      </c>
      <c r="M64" s="2">
        <v>0.47499999999999998</v>
      </c>
      <c r="N64" s="39">
        <f t="shared" si="14"/>
        <v>53.573829504623582</v>
      </c>
      <c r="O64" s="72">
        <f t="shared" si="15"/>
        <v>7.9999999999999964</v>
      </c>
      <c r="P64" s="2">
        <v>0</v>
      </c>
    </row>
    <row r="65" spans="4:16" x14ac:dyDescent="0.35">
      <c r="D65" s="2">
        <v>25</v>
      </c>
      <c r="E65" s="2">
        <v>25</v>
      </c>
      <c r="G65" s="33">
        <v>25</v>
      </c>
      <c r="J65" s="39">
        <f t="shared" si="16"/>
        <v>250.57051559544396</v>
      </c>
      <c r="K65" s="39">
        <f t="shared" si="12"/>
        <v>10</v>
      </c>
      <c r="L65" s="39">
        <f t="shared" si="13"/>
        <v>2.9374593085809728</v>
      </c>
      <c r="M65" s="2">
        <v>0.47499999999999998</v>
      </c>
      <c r="N65" s="39">
        <f t="shared" si="14"/>
        <v>53.858786839302695</v>
      </c>
      <c r="O65" s="72">
        <f t="shared" si="15"/>
        <v>8.3333333333333304</v>
      </c>
      <c r="P65" s="2">
        <v>0</v>
      </c>
    </row>
    <row r="66" spans="4:16" x14ac:dyDescent="0.35">
      <c r="D66" s="2">
        <v>26</v>
      </c>
      <c r="E66" s="2">
        <v>26</v>
      </c>
      <c r="G66" s="33">
        <v>26</v>
      </c>
      <c r="J66" s="39">
        <f t="shared" si="16"/>
        <v>253.67908786519769</v>
      </c>
      <c r="K66" s="39">
        <f t="shared" si="12"/>
        <v>10.4</v>
      </c>
      <c r="L66" s="39">
        <f t="shared" si="13"/>
        <v>3.0310280283296573</v>
      </c>
      <c r="M66" s="2">
        <v>0.47499999999999998</v>
      </c>
      <c r="N66" s="39">
        <f t="shared" si="14"/>
        <v>54.138800801294295</v>
      </c>
      <c r="O66" s="72">
        <f t="shared" si="15"/>
        <v>8.6666666666666643</v>
      </c>
      <c r="P66" s="2">
        <v>0</v>
      </c>
    </row>
    <row r="67" spans="4:16" x14ac:dyDescent="0.35">
      <c r="D67" s="2">
        <v>27</v>
      </c>
      <c r="E67" s="2">
        <v>27</v>
      </c>
      <c r="G67" s="33">
        <v>27</v>
      </c>
      <c r="J67" s="39">
        <f t="shared" si="16"/>
        <v>256.76912073246609</v>
      </c>
      <c r="K67" s="39">
        <f t="shared" si="12"/>
        <v>10.8</v>
      </c>
      <c r="L67" s="39">
        <f t="shared" si="13"/>
        <v>3.1241786755421863</v>
      </c>
      <c r="M67" s="2">
        <v>0.47499999999999998</v>
      </c>
      <c r="N67" s="39">
        <f t="shared" si="14"/>
        <v>54.413957147062774</v>
      </c>
      <c r="O67" s="72">
        <f t="shared" si="15"/>
        <v>8.9999999999999982</v>
      </c>
      <c r="P67" s="2">
        <v>0</v>
      </c>
    </row>
    <row r="68" spans="4:16" x14ac:dyDescent="0.35">
      <c r="D68" s="2">
        <v>28</v>
      </c>
      <c r="E68" s="2">
        <v>28</v>
      </c>
      <c r="G68" s="33">
        <v>28</v>
      </c>
      <c r="J68" s="39">
        <f t="shared" si="16"/>
        <v>259.84095323932388</v>
      </c>
      <c r="K68" s="39">
        <f t="shared" si="12"/>
        <v>11.200000000000001</v>
      </c>
      <c r="L68" s="39">
        <f t="shared" si="13"/>
        <v>3.2169285075635448</v>
      </c>
      <c r="M68" s="2">
        <v>0.47499999999999998</v>
      </c>
      <c r="N68" s="39">
        <f t="shared" si="14"/>
        <v>54.684340145389598</v>
      </c>
      <c r="O68" s="72">
        <f t="shared" si="15"/>
        <v>9.3333333333333321</v>
      </c>
      <c r="P68" s="2">
        <v>0</v>
      </c>
    </row>
    <row r="69" spans="4:16" x14ac:dyDescent="0.35">
      <c r="D69" s="2">
        <v>29</v>
      </c>
      <c r="E69" s="2">
        <v>29</v>
      </c>
      <c r="G69" s="33">
        <v>29</v>
      </c>
      <c r="J69" s="39">
        <f t="shared" si="16"/>
        <v>262.89491679903767</v>
      </c>
      <c r="K69" s="39">
        <f t="shared" si="12"/>
        <v>11.600000000000001</v>
      </c>
      <c r="L69" s="39">
        <f t="shared" si="13"/>
        <v>3.3092934791934012</v>
      </c>
      <c r="M69" s="2">
        <v>0.47499999999999998</v>
      </c>
      <c r="N69" s="39">
        <f t="shared" si="14"/>
        <v>54.950032603181285</v>
      </c>
      <c r="O69" s="72">
        <f t="shared" si="15"/>
        <v>9.6666666666666661</v>
      </c>
      <c r="P69" s="2">
        <v>0</v>
      </c>
    </row>
    <row r="70" spans="4:16" ht="23.5" x14ac:dyDescent="0.55000000000000004">
      <c r="D70" s="2">
        <v>30</v>
      </c>
      <c r="E70" s="2">
        <v>30</v>
      </c>
      <c r="G70" s="33">
        <v>30</v>
      </c>
      <c r="J70" s="47">
        <f t="shared" ref="J70" si="17">(SUM(K70:L70)*M70+N70+O70+P70)*(44/12)</f>
        <v>265.93133553255109</v>
      </c>
      <c r="K70" s="39">
        <f t="shared" si="12"/>
        <v>12</v>
      </c>
      <c r="L70" s="39">
        <f t="shared" si="13"/>
        <v>3.4012883824932687</v>
      </c>
      <c r="M70" s="2">
        <v>0.47499999999999998</v>
      </c>
      <c r="N70" s="39">
        <f t="shared" si="14"/>
        <v>55.211115890829625</v>
      </c>
      <c r="O70" s="72">
        <f t="shared" si="15"/>
        <v>10</v>
      </c>
      <c r="P70" s="2">
        <v>0</v>
      </c>
    </row>
  </sheetData>
  <mergeCells count="1">
    <mergeCell ref="D39:P39"/>
  </mergeCells>
  <dataValidations disablePrompts="1" count="1">
    <dataValidation type="list" allowBlank="1" showInputMessage="1" showErrorMessage="1" sqref="A5" xr:uid="{81E49C4E-2F64-4B0C-BCB7-FE054F6106AF}">
      <formula1>$A$14:$A$14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1799F6-D053-4EA5-B805-73473AB603E0}">
  <sheetPr>
    <tabColor theme="9" tint="-0.249977111117893"/>
  </sheetPr>
  <dimension ref="A1:D17"/>
  <sheetViews>
    <sheetView zoomScale="85" zoomScaleNormal="85" workbookViewId="0">
      <selection activeCell="B8" sqref="B8"/>
    </sheetView>
  </sheetViews>
  <sheetFormatPr baseColWidth="10" defaultColWidth="10.7265625" defaultRowHeight="14.5" x14ac:dyDescent="0.35"/>
  <cols>
    <col min="1" max="1" width="16.6328125" bestFit="1" customWidth="1"/>
    <col min="2" max="2" width="13.54296875" bestFit="1" customWidth="1"/>
    <col min="4" max="4" width="12.81640625" bestFit="1" customWidth="1"/>
  </cols>
  <sheetData>
    <row r="1" spans="1:4" x14ac:dyDescent="0.35">
      <c r="A1" t="s">
        <v>0</v>
      </c>
    </row>
    <row r="3" spans="1:4" x14ac:dyDescent="0.35">
      <c r="A3" t="s">
        <v>103</v>
      </c>
    </row>
    <row r="4" spans="1:4" x14ac:dyDescent="0.35">
      <c r="A4" t="s">
        <v>1</v>
      </c>
      <c r="B4">
        <v>0.51990000000000003</v>
      </c>
    </row>
    <row r="6" spans="1:4" x14ac:dyDescent="0.35">
      <c r="A6" t="s">
        <v>2</v>
      </c>
    </row>
    <row r="7" spans="1:4" x14ac:dyDescent="0.35">
      <c r="A7" t="s">
        <v>3</v>
      </c>
      <c r="B7" s="57" t="s">
        <v>13</v>
      </c>
      <c r="C7" s="57" t="s">
        <v>12</v>
      </c>
      <c r="D7" s="57" t="s">
        <v>102</v>
      </c>
    </row>
    <row r="8" spans="1:4" x14ac:dyDescent="0.35">
      <c r="A8" s="57" t="s">
        <v>5</v>
      </c>
      <c r="B8" s="1">
        <f>'Calcul 1 pour 1 ha'!B27</f>
        <v>408.61060001268731</v>
      </c>
      <c r="C8" s="1">
        <f>+B8*$B$4</f>
        <v>212.43665094659616</v>
      </c>
      <c r="D8" s="58">
        <f>C8*0.9</f>
        <v>191.19298585193656</v>
      </c>
    </row>
    <row r="9" spans="1:4" x14ac:dyDescent="0.35">
      <c r="A9" s="57" t="s">
        <v>6</v>
      </c>
      <c r="B9" s="1">
        <f>'Calcul 1 pour 1 ha'!J36</f>
        <v>41.27023519308581</v>
      </c>
      <c r="C9" s="1">
        <f t="shared" ref="C9:C16" si="0">+B9*$B$4</f>
        <v>21.456395276885313</v>
      </c>
      <c r="D9" s="58">
        <f t="shared" ref="D9:D11" si="1">C9*0.9</f>
        <v>19.310755749196783</v>
      </c>
    </row>
    <row r="10" spans="1:4" x14ac:dyDescent="0.35">
      <c r="A10" s="57" t="s">
        <v>10</v>
      </c>
      <c r="B10" s="1">
        <f>'Calcul 1 pour 1 ha'!B28</f>
        <v>219.18293085630239</v>
      </c>
      <c r="C10" s="1">
        <f t="shared" si="0"/>
        <v>113.95320575219162</v>
      </c>
      <c r="D10" s="58">
        <f t="shared" si="1"/>
        <v>102.55788517697246</v>
      </c>
    </row>
    <row r="11" spans="1:4" x14ac:dyDescent="0.35">
      <c r="A11" s="57" t="s">
        <v>11</v>
      </c>
      <c r="B11" s="1">
        <f>+SUM(B8:B9)-B10</f>
        <v>230.69790434947072</v>
      </c>
      <c r="C11" s="1">
        <f t="shared" si="0"/>
        <v>119.93984047128983</v>
      </c>
      <c r="D11" s="58">
        <f t="shared" si="1"/>
        <v>107.94585642416085</v>
      </c>
    </row>
    <row r="12" spans="1:4" x14ac:dyDescent="0.35">
      <c r="B12" s="1"/>
      <c r="C12" s="1"/>
    </row>
    <row r="13" spans="1:4" x14ac:dyDescent="0.35">
      <c r="B13" s="1"/>
      <c r="C13" s="1"/>
    </row>
    <row r="14" spans="1:4" x14ac:dyDescent="0.35">
      <c r="A14" t="s">
        <v>4</v>
      </c>
      <c r="B14" s="1"/>
      <c r="C14" s="1"/>
    </row>
    <row r="15" spans="1:4" x14ac:dyDescent="0.35">
      <c r="A15" t="s">
        <v>7</v>
      </c>
      <c r="B15" s="1">
        <v>485</v>
      </c>
      <c r="C15" s="1">
        <f t="shared" si="0"/>
        <v>252.15150000000003</v>
      </c>
    </row>
    <row r="16" spans="1:4" x14ac:dyDescent="0.35">
      <c r="A16" t="s">
        <v>8</v>
      </c>
      <c r="B16" s="1">
        <v>391</v>
      </c>
      <c r="C16" s="1">
        <f t="shared" si="0"/>
        <v>203.2809</v>
      </c>
    </row>
    <row r="17" spans="1:1" x14ac:dyDescent="0.35">
      <c r="A17" t="s">
        <v>9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Document</vt:lpstr>
      <vt:lpstr>VAN</vt:lpstr>
      <vt:lpstr>Calcul 1 pour 1 ha</vt:lpstr>
      <vt:lpstr>Calcul parcelle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Raphaele Carteron</dc:creator>
  <cp:lastModifiedBy>Raphaele Carteron</cp:lastModifiedBy>
  <dcterms:created xsi:type="dcterms:W3CDTF">2020-02-29T16:20:50Z</dcterms:created>
  <dcterms:modified xsi:type="dcterms:W3CDTF">2020-08-15T14:04:31Z</dcterms:modified>
</cp:coreProperties>
</file>